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aw tables (SNIP)" sheetId="1" r:id="rId4"/>
    <sheet state="visible" name="raw data metabase (Ministry of " sheetId="2" r:id="rId5"/>
    <sheet state="hidden" name="Opendata InvestmentProjects RD" sheetId="3" r:id="rId6"/>
    <sheet state="hidden" name="Opendata Budget for Investment " sheetId="4" r:id="rId7"/>
    <sheet state="hidden" name="Hoja 11" sheetId="5" r:id="rId8"/>
    <sheet state="hidden" name="Opendata Procurement Process fo" sheetId="6" r:id="rId9"/>
    <sheet state="hidden" name="Opendata Contract for Investmen" sheetId="7" r:id="rId10"/>
    <sheet state="hidden" name="BudgetLine by investment Projec" sheetId="8" r:id="rId11"/>
    <sheet state="hidden" name="Emergency data (Procurement Pro" sheetId="9" r:id="rId12"/>
    <sheet state="hidden" name="Emergency data (Budget)" sheetId="10" r:id="rId13"/>
    <sheet state="hidden" name="Emergency budget raw data" sheetId="11" r:id="rId14"/>
  </sheets>
  <definedNames/>
  <calcPr/>
  <extLst>
    <ext uri="GoogleSheetsCustomDataVersion2">
      <go:sheetsCustomData xmlns:go="http://customooxmlschemas.google.com/" r:id="rId15" roundtripDataChecksum="tEqdoHoWa1a9tb0+g/njXE4eckNPZC8Mnu9E/LvACIk="/>
    </ext>
  </extLst>
</workbook>
</file>

<file path=xl/sharedStrings.xml><?xml version="1.0" encoding="utf-8"?>
<sst xmlns="http://schemas.openxmlformats.org/spreadsheetml/2006/main" count="11561" uniqueCount="3288">
  <si>
    <t>Datos Sin Procesar Proyectos de Inversion / Raw Data Investment Projects</t>
  </si>
  <si>
    <t>Dataset Related</t>
  </si>
  <si>
    <t>Dataset Name ( With Link )</t>
  </si>
  <si>
    <t>URL</t>
  </si>
  <si>
    <t>Desciption</t>
  </si>
  <si>
    <t>Dominican Republic Investment Projects (investment-projects.csv)</t>
  </si>
  <si>
    <t>BID_BASE_CIA_END_MIP</t>
  </si>
  <si>
    <t>https://mapainversionesanalytics.blob.core.windows.net/sourceraw/DOM/SNIP/BID_BASE_CIA_END_MIP/CSV/2024/05/24/BID_Base_Cla_end_mip.csv</t>
  </si>
  <si>
    <t xml:space="preserve"> https://docs.google.com/spreadsheets/d/1L2X8LZWSr9EseLdXPIwij-LkwwJieAxDWbdq3I1MYtM/edit?gid=287136599#gid=287136599</t>
  </si>
  <si>
    <t>-</t>
  </si>
  <si>
    <t>BID_BASE_CLA_INSTITUCIONES_SNIP_MIP</t>
  </si>
  <si>
    <t>https://mapainversionesanalytics.blob.core.windows.net/sourceraw/DOM/SNIP/BID_BASE_CLA_INSTITUCIONES_SNIP_MIP/CSV/2024/05/24/BID_Base_Cla_Instituciones_snip_mip.csv</t>
  </si>
  <si>
    <t xml:space="preserve"> https://docs.google.com/spreadsheets/d/1L2X8LZWSr9EseLdXPIwij-LkwwJieAxDWbdq3I1MYtM/edit?gid=287136599#gid=287136600</t>
  </si>
  <si>
    <t>BID_BASE_CRONOGRAMAS_PROYECTO_FISICO_MIP</t>
  </si>
  <si>
    <t>https://mapainversionesanalytics.blob.core.windows.net/sourceraw/DOM/SNIP/BID_BASE_CRONOGRAMAS_PROYECTO_FISICO_MIP/CSV/2024/05/24/BID_Base_cronogramas_proyecto_fisico_mip.csv</t>
  </si>
  <si>
    <t xml:space="preserve"> https://docs.google.com/spreadsheets/d/1L2X8LZWSr9EseLdXPIwij-LkwwJieAxDWbdq3I1MYtM/edit?gid=287136599#gid=287136601</t>
  </si>
  <si>
    <t>BID_BASE_FASES_MIP</t>
  </si>
  <si>
    <t>https://mapainversionesanalytics.blob.core.windows.net/sourceraw/DOM/SNIP/BID_BASE_FASES_MIP/CSV/2024/05/24/BID_Base_Fases_mip.csv</t>
  </si>
  <si>
    <t xml:space="preserve"> https://docs.google.com/spreadsheets/d/1L2X8LZWSr9EseLdXPIwij-LkwwJieAxDWbdq3I1MYtM/edit?gid=287136599#gid=287136602</t>
  </si>
  <si>
    <t>BID_BASE_FICHAS_PROYECTOS_MIP</t>
  </si>
  <si>
    <t>https://mapainversionesanalytics.blob.core.windows.net/sourceraw/DOM/SNIP/BID_BASE_FICHAS_PROYECTOS_MIP/CSV/2024/05/24/BID_Base_Fichas_Proyectos_mip.csv</t>
  </si>
  <si>
    <t xml:space="preserve"> https://docs.google.com/spreadsheets/d/1L2X8LZWSr9EseLdXPIwij-LkwwJieAxDWbdq3I1MYtM/edit?gid=287136599#gid=287136603</t>
  </si>
  <si>
    <t>BID_BASE_PRESUPUESTO_MIP</t>
  </si>
  <si>
    <t>https://mapainversionesanalytics.blob.core.windows.net/sourceraw/DOM/SNIP/BID_BASE_PRESUPUESTO_MIP/CSV/2024/05/24/BID_Base_presupuesto_mip.csv</t>
  </si>
  <si>
    <t xml:space="preserve"> https://docs.google.com/spreadsheets/d/1L2X8LZWSr9EseLdXPIwij-LkwwJieAxDWbdq3I1MYtM/edit?gid=287136599#gid=287136604</t>
  </si>
  <si>
    <t>BID_BASE_PROEJE_FISICA_MIP</t>
  </si>
  <si>
    <t>https://mapainversionesanalytics.blob.core.windows.net/sourceraw/DOM/SNIP/BID_BASE_PROEJE_FISICA_MIP/CSV/2024/05/24/BID_Base_proeje_fisica_mip.csv</t>
  </si>
  <si>
    <t xml:space="preserve"> https://docs.google.com/spreadsheets/d/1L2X8LZWSr9EseLdXPIwij-LkwwJieAxDWbdq3I1MYtM/edit?gid=287136599#gid=287136605</t>
  </si>
  <si>
    <t>BID_BASE_UBICACIONES_GEOGRAFICAS_MIP</t>
  </si>
  <si>
    <t>https://mapainversionesanalytics.blob.core.windows.net/sourceraw/DOM/SNIP/BID_BASE_UBICACIONES_GEOGRAFICAS_MIP/CSV/2024/05/24/BID_Base_ubicaciones_geograficas_mip.csv</t>
  </si>
  <si>
    <t xml:space="preserve"> https://docs.google.com/spreadsheets/d/1L2X8LZWSr9EseLdXPIwij-LkwwJieAxDWbdq3I1MYtM/edit?gid=287136599#gid=287136606</t>
  </si>
  <si>
    <t>Vistas de Origen en SQL Server</t>
  </si>
  <si>
    <t>[MapaInversion].[BID_Base_Cla_end_mip]</t>
  </si>
  <si>
    <t>Extended example data</t>
  </si>
  <si>
    <t>Column_name</t>
  </si>
  <si>
    <t>Type</t>
  </si>
  <si>
    <t>Length</t>
  </si>
  <si>
    <t>Prec</t>
  </si>
  <si>
    <t>Scale</t>
  </si>
  <si>
    <t>Nullable</t>
  </si>
  <si>
    <t>Example Value</t>
  </si>
  <si>
    <t>Description (Spanish)</t>
  </si>
  <si>
    <t>Description (English)</t>
  </si>
  <si>
    <t>id_end</t>
  </si>
  <si>
    <t>cod_eje</t>
  </si>
  <si>
    <t>cod_objgen</t>
  </si>
  <si>
    <t>cod_objesp</t>
  </si>
  <si>
    <t>cod_linacc</t>
  </si>
  <si>
    <t>cod_end</t>
  </si>
  <si>
    <t>nivel</t>
  </si>
  <si>
    <t>nivel_txt</t>
  </si>
  <si>
    <t>end_des</t>
  </si>
  <si>
    <t>activo</t>
  </si>
  <si>
    <t>activo_txt</t>
  </si>
  <si>
    <t>estado</t>
  </si>
  <si>
    <t>bandeja</t>
  </si>
  <si>
    <t>usu_ins</t>
  </si>
  <si>
    <t>fec_ins</t>
  </si>
  <si>
    <t>usu_upd</t>
  </si>
  <si>
    <t>fec_upd</t>
  </si>
  <si>
    <t>int</t>
  </si>
  <si>
    <t>no</t>
  </si>
  <si>
    <t>Identificacion de la Entidad</t>
  </si>
  <si>
    <t>0.0.0.0</t>
  </si>
  <si>
    <t>Eje estratégico</t>
  </si>
  <si>
    <t>No definido</t>
  </si>
  <si>
    <t>S</t>
  </si>
  <si>
    <t>Si</t>
  </si>
  <si>
    <t>registrado</t>
  </si>
  <si>
    <t>Codigo Unidad Ejecutora</t>
  </si>
  <si>
    <t>1.1.1.0</t>
  </si>
  <si>
    <t>Linea de acción</t>
  </si>
  <si>
    <t>Pendiente de Asignación</t>
  </si>
  <si>
    <t>Codigo objetivo General</t>
  </si>
  <si>
    <t>1.1.1.1</t>
  </si>
  <si>
    <t>Racionalizar y normalizar la estructura organizativa del Estado, incluyendo tanto las funciones institucionales como la dotación de personal, para eliminar la duplicidad y dispersión de funciones y organismos y propiciar el acercamiento de los servicios públicos a la población en el territorio, mediante la adecuada descentralización y desconcentración de la provisión de los mismos cuando corresponda</t>
  </si>
  <si>
    <t>Codigo Objetivo Especifico</t>
  </si>
  <si>
    <t>1.1.1.2</t>
  </si>
  <si>
    <t>Establecer un marco jurídico acorde con el derecho administrativo moderno que propicie la conformación de un Estado transparente, ágil e inteligente</t>
  </si>
  <si>
    <t xml:space="preserve">Codigo Linea </t>
  </si>
  <si>
    <t>1.1.1.3</t>
  </si>
  <si>
    <t>Fortalecer el sistema de control interno y externo y los mecanismos de acceso a la información de la administración pública, como medio de garantizar la transparencia, la rendición de cuentas y la calidad del gasto público</t>
  </si>
  <si>
    <t>varchar</t>
  </si>
  <si>
    <t>1.1.1.4</t>
  </si>
  <si>
    <t xml:space="preserve">Codiigo Entidad </t>
  </si>
  <si>
    <t>Promover la gestión integrada de procesos institucionales, basada en medición, seguimiento y evaluación sistemática</t>
  </si>
  <si>
    <t xml:space="preserve">Codigo Nivel </t>
  </si>
  <si>
    <t>1.1.1.5</t>
  </si>
  <si>
    <t>Fortalecer el Servicio Civil y la Carrera Administrativa, respetando la equidad de género, para dotar a la Administración Pública de personal idóneo y seleccionado por concurso que actúe con apego a la ética, transparencia y rendición de cuentas, para asegurar mecanismos de ingreso, estabilidad y promoción por méritos e idoneidad profesional y ética del personal de la administración pública</t>
  </si>
  <si>
    <t>Nivel Texto</t>
  </si>
  <si>
    <t>1.1.1.6</t>
  </si>
  <si>
    <t>Fomentar la cultura de democracia, tolerancia y uso correcto del poder público, para generar una valoración positiva de la población sobre el servicio público</t>
  </si>
  <si>
    <t>Entidad Descripcion</t>
  </si>
  <si>
    <t>1.1.1.7</t>
  </si>
  <si>
    <t>Promover la continua capacitación de los servidores públicos para dotarles de las competencias requeridas para una gestión que se oriente a la obtención de resultados en beneficio de la sociedad y del desarrollo nacional y local</t>
  </si>
  <si>
    <t>Indicador de Registro Activo Codigo (S) es SI</t>
  </si>
  <si>
    <t>1.1.1.8</t>
  </si>
  <si>
    <t>Garantizar, mediante acciones afirmativas, la igualdad de oportunidades para hombres y mujeres en los puestos de administración pública y en los mandos directivos</t>
  </si>
  <si>
    <t>Indicador de Registro Activo Texto (SI) es SI</t>
  </si>
  <si>
    <t>Estado del registro</t>
  </si>
  <si>
    <t>yes</t>
  </si>
  <si>
    <t>Usuario que insertó el registro, Campos utilizados por la institucion para uso interno</t>
  </si>
  <si>
    <t>smalldatetime</t>
  </si>
  <si>
    <t>Fecha de inserción, Campos utilizados por la institucion para uso interno</t>
  </si>
  <si>
    <t>Usuario de Actualizacion Indicativo</t>
  </si>
  <si>
    <t>Fecha de Actualizacion</t>
  </si>
  <si>
    <t>[MapaInversion].[BID_Base_Cla_Instituciones_snip_mip]</t>
  </si>
  <si>
    <t>Información de las instituciones del gobierno y sus caracteristicas o atributos asociados.</t>
  </si>
  <si>
    <t>id_institucion</t>
  </si>
  <si>
    <t>descripcion</t>
  </si>
  <si>
    <t>sigla</t>
  </si>
  <si>
    <t>id_division</t>
  </si>
  <si>
    <t>id_division_txt</t>
  </si>
  <si>
    <t>tipo_institucion</t>
  </si>
  <si>
    <t>tipo_institucion_txt</t>
  </si>
  <si>
    <t>capitulo</t>
  </si>
  <si>
    <t>subcapitulo</t>
  </si>
  <si>
    <t>ue</t>
  </si>
  <si>
    <t>Identificador de la Institucion del Estado</t>
  </si>
  <si>
    <t>GABINETE DE POLITICAS SOCIALES</t>
  </si>
  <si>
    <t>GCPS</t>
  </si>
  <si>
    <t>DESARROLLO SOCIAL</t>
  </si>
  <si>
    <t>Sectorial</t>
  </si>
  <si>
    <t>MINISTERIO DE DEFENSA</t>
  </si>
  <si>
    <t>Descripción de la institucion del estado, Se entiende por institución todo tipo de organización social, ya sea pública o privada, creada con la finalidad de cumplir un objetivo dentro de la comunidad y cuyo funcionamiento está orientado a normas y estructuras dentro de las cuales cada miembro cuenta con una misión o trabajo a cumplir para alcanzar las metas propuestas de forma general.</t>
  </si>
  <si>
    <t>MINISTERIO DE INTERIOR Y POLICIA</t>
  </si>
  <si>
    <t>MIP</t>
  </si>
  <si>
    <t>DESARROLLO INSTITUCIONAL</t>
  </si>
  <si>
    <t>MIDE</t>
  </si>
  <si>
    <t>Siglas de la institucion del estado</t>
  </si>
  <si>
    <t>Identificador de la division</t>
  </si>
  <si>
    <t>MINISTERIO DE HACIENDA</t>
  </si>
  <si>
    <t>MH</t>
  </si>
  <si>
    <t>Division de la institucion</t>
  </si>
  <si>
    <t>DIRECCION GENERAL DE CATASTRO NACIONAL</t>
  </si>
  <si>
    <t>DGCN</t>
  </si>
  <si>
    <t>DESARROLLO TERRITORIAL Y MEDIO AMBIENTE</t>
  </si>
  <si>
    <t>Tipo de institucion codigo</t>
  </si>
  <si>
    <t>MINISTERIO DE EDUCACION</t>
  </si>
  <si>
    <t>MINERD</t>
  </si>
  <si>
    <t>Tipo de Institución Texto</t>
  </si>
  <si>
    <t>MINISTERIO DE SALUD PUBLICA Y ASISTENCIA SOCIAL</t>
  </si>
  <si>
    <t>MISPAS</t>
  </si>
  <si>
    <t>MINISTERIO DE TRABAJO</t>
  </si>
  <si>
    <t>MIT</t>
  </si>
  <si>
    <t>MINISTERIO DE AGRICULTURA</t>
  </si>
  <si>
    <t>MA</t>
  </si>
  <si>
    <t>DESARROLLO PRODUCTIVO</t>
  </si>
  <si>
    <t>Capitulo, ,Identifica el primernivel de jerarquía dentro del nivel institucional.</t>
  </si>
  <si>
    <t>DIRECCION GENERAL DE GANADERIA</t>
  </si>
  <si>
    <t>DGG</t>
  </si>
  <si>
    <t>Subcapitulo,Identifica el segundo nivel de jerarquía dentro del nivel institucional.</t>
  </si>
  <si>
    <t>Unidad Ejecutora</t>
  </si>
  <si>
    <t>Estado del Registro</t>
  </si>
  <si>
    <t>[MapaInversion].[BID_Base_cronogramas_proyecto_fisico_mip]</t>
  </si>
  <si>
    <t>Información sobre el avance de componentes y productos asociados a proyectos de inversión. El avance se registra por trimestres.</t>
  </si>
  <si>
    <t xml:space="preserve"> Extraccion Query For Products (Components of the Project)</t>
  </si>
  <si>
    <t>id_cronograma</t>
  </si>
  <si>
    <t>id_proyecto</t>
  </si>
  <si>
    <t>fase</t>
  </si>
  <si>
    <t>id_componente</t>
  </si>
  <si>
    <t>id_componente_txt</t>
  </si>
  <si>
    <t>id_producto</t>
  </si>
  <si>
    <t>id_producto_txt</t>
  </si>
  <si>
    <t>id_um</t>
  </si>
  <si>
    <t>id_um_txt</t>
  </si>
  <si>
    <t>meta</t>
  </si>
  <si>
    <t>meta_txt</t>
  </si>
  <si>
    <t>meta_alcanzada</t>
  </si>
  <si>
    <t>meta_alcanzada_txt</t>
  </si>
  <si>
    <t>en_ejecucion</t>
  </si>
  <si>
    <t>en_ejecucion_txt</t>
  </si>
  <si>
    <t>periodo_1</t>
  </si>
  <si>
    <t>periodo_1_txt</t>
  </si>
  <si>
    <t>periodo_2</t>
  </si>
  <si>
    <t>periodo_2_txt</t>
  </si>
  <si>
    <t>periodo_3</t>
  </si>
  <si>
    <t>periodo_3_txt</t>
  </si>
  <si>
    <t>periodo_4</t>
  </si>
  <si>
    <t>periodo_4_txt</t>
  </si>
  <si>
    <t>resto</t>
  </si>
  <si>
    <t>resto_txt</t>
  </si>
  <si>
    <t>meta_alcanzada_en_ejecucion</t>
  </si>
  <si>
    <t>meta_alcanzada_en_ejecucion_txt</t>
  </si>
  <si>
    <t>total</t>
  </si>
  <si>
    <t>total_txt</t>
  </si>
  <si>
    <t>id_fase</t>
  </si>
  <si>
    <t>Identificador del Cronograma Fisico del Proyecto</t>
  </si>
  <si>
    <t>SELECT  
      proy.[id_proyecto]
          ,proy.cod_snip as  Codigo_BPIN
          ,dense_rank() OVER (ORDER BY  proy.[id_proyecto],proy.descripcion) AS Id_Objetivo_Especifico
        ,cfisico.Id_Producto
      ,upper(cfisico.[id_producto_txt]) Nombre_Producto
      ,cfisico.[id_um_txt] [Unidad_Producto]
          , cfisico.[meta] cantidad_producto
  FROM [MapaInversion].[BID_Base_Fichas_Proyectos_mip] proy
    inner join [MapaInversion].[BID_Base_Fases_mip] fase
        on fase.id_proyecto=proy.id_proyecto 
  inner join 
  [MapaInversion].[BID_Base_cronogramas_proyecto_fisico_mip] cfisico
  on cfisico.id_proyecto=fase.id_proyecto and cfisico.id_fase=fase.id_fase</t>
  </si>
  <si>
    <t>Inversión</t>
  </si>
  <si>
    <t>Construccion de la planta fisica</t>
  </si>
  <si>
    <t>Escuelas Construidas</t>
  </si>
  <si>
    <t>Aulas</t>
  </si>
  <si>
    <t>500.00</t>
  </si>
  <si>
    <t>0.00</t>
  </si>
  <si>
    <t>.00</t>
  </si>
  <si>
    <t>Identificador único del proyecto de Inversión ( Sistema SNIP )</t>
  </si>
  <si>
    <t>CONSTRUCCION ESCUELA BÁSICA AZUA 1 EN EL MUNICIPIO DE AZUA</t>
  </si>
  <si>
    <t>20.00</t>
  </si>
  <si>
    <t>Fase del componente</t>
  </si>
  <si>
    <t>CONSTRUCCION ESCUELA BÁSICA DE BARRERAS MINICIPIO DE AZUA</t>
  </si>
  <si>
    <t>17.00</t>
  </si>
  <si>
    <t>Identificador del componente</t>
  </si>
  <si>
    <t>CONSTRUCCION LICEO AZUA 1 MUNICIPIO AZUA</t>
  </si>
  <si>
    <t>Liceos Construidos</t>
  </si>
  <si>
    <t>18.00</t>
  </si>
  <si>
    <t>Descripción del componente</t>
  </si>
  <si>
    <t>CONSTRUCCION LICEO ANA MARIA ALCANTARA MUNICIPIO GUAYABAL</t>
  </si>
  <si>
    <t>14.00</t>
  </si>
  <si>
    <t>Identificador del producto</t>
  </si>
  <si>
    <t>CONSTRUCCION ESCUELA BÁSICA LAS CHARCAS MUNICIPIO LAS CHARCAS</t>
  </si>
  <si>
    <t>22.00</t>
  </si>
  <si>
    <t>Descripción del producto</t>
  </si>
  <si>
    <t>CONSTRUCCION PLANTEL JUAN BAUTISTA CAMBIAZO MUNICIPIO</t>
  </si>
  <si>
    <t>identificador de la unidad de medida de la Meta</t>
  </si>
  <si>
    <t>CONSTRUCCION ESCUELA BÁSICA PADRE LAS CASAS MUNICIPIO PADRE LAS CASAS</t>
  </si>
  <si>
    <t>26.00</t>
  </si>
  <si>
    <t>Descripción de la unidad de medida de la meta</t>
  </si>
  <si>
    <t>CONSTRUCCION PLANTEL JUAN PABLO II MUNICIPIO LAS YAYAS DE VIAJAMA</t>
  </si>
  <si>
    <t>12.00</t>
  </si>
  <si>
    <t>numeric</t>
  </si>
  <si>
    <t>Meta Propuesta</t>
  </si>
  <si>
    <t xml:space="preserve"> Extraccion Query For Activities(Productos of the Component)</t>
  </si>
  <si>
    <t>CONSTRUCCION PLANTEL 19 DE MARZO #2 MUNICIPIO PERALTA</t>
  </si>
  <si>
    <t>21.00</t>
  </si>
  <si>
    <t>nvarchar</t>
  </si>
  <si>
    <t>Meta en Texto</t>
  </si>
  <si>
    <t>SELECT  
      proy.[id_proyecto]
          ,proy.cod_snip as  Codigo_BPIN
          ,dense_rank() OVER (ORDER BY  proy.[id_proyecto],proy.descripcion) AS Id_Objetivo_Especifico
           ,cast(ltrim(rtrim(replace(replace(replace(replace(replace(replace(replace(replace(replace(replace(Replace(replace(replace(proy.descripcion,'“',''),'”',''),'"',''),':',''),Char(9),''),Char(10),''),Char(13),''),'/',''),'\',''),'°',''),'º',''),'+',''),'=',''))) as varchar(4000))
         AS Nombre_Objetivo_Especifico
        ,cfisico.Id_Producto
         -- ,cast(concat(proy.[id_proyecto],id_producto) as int) as [Id_Actividad]
                    ,cast(concat(id_producto,id_componente) as int) as [Id_Actividad]
           ,(case when cfisico.id_componente=0 then proy.nombre COLLATE DATABASE_DEFAULT
          else cfisico.[id_componente_txt] end ) as           [Nombre_Actividad]
  FROM [MapaInversion].[BID_Base_Fichas_Proyectos_mip] proy
    inner join [MapaInversion].[BID_Base_Fases_mip] fase
        on fase.id_proyecto=proy.id_proyecto 
  inner join 
  [MapaInversion].[BID_Base_cronogramas_proyecto_fisico_mip] cfisico
  on cfisico.id_proyecto=fase.id_proyecto and cfisico.id_fase=fase.id_fase</t>
  </si>
  <si>
    <t>Meta alcanzada</t>
  </si>
  <si>
    <t>Meta alcanzada en texto</t>
  </si>
  <si>
    <t xml:space="preserve">Meta en ejecucion </t>
  </si>
  <si>
    <t>Meta en ejecucion Texto</t>
  </si>
  <si>
    <t>Avance en Metas del Producto en Trimestre 1</t>
  </si>
  <si>
    <t>Avance en Metas del Producto en Trimestre 1 en texto</t>
  </si>
  <si>
    <t>Avance en Metas del Producto en Trimestre 2</t>
  </si>
  <si>
    <t>Avance en Metas del Producto en Trimestre 2 en texto</t>
  </si>
  <si>
    <t>Avance en Metas del Producto en Trimestre 3</t>
  </si>
  <si>
    <t>Avance en Metas del Producto en Trimestre 3 en texto</t>
  </si>
  <si>
    <t>Avance en Metas del Producto en Trimestre 4</t>
  </si>
  <si>
    <t>Avance en Metas del Producto en Trimestre 4  en texto</t>
  </si>
  <si>
    <t>Meta alcanzada en ejeucion</t>
  </si>
  <si>
    <t>Meta alcanzada en ejecucion Texto</t>
  </si>
  <si>
    <t xml:space="preserve">Total </t>
  </si>
  <si>
    <t>Total Texto</t>
  </si>
  <si>
    <t>Identificador de la Fase del Proyecto</t>
  </si>
  <si>
    <t>[MapaInversion].[BID_Base_Fases_mip]</t>
  </si>
  <si>
    <t>Fases por Proyecto de inversión</t>
  </si>
  <si>
    <t xml:space="preserve"> Extraccion Query For phase of the project</t>
  </si>
  <si>
    <t>id_proyecto_txt</t>
  </si>
  <si>
    <t>fase_txt</t>
  </si>
  <si>
    <t>id_moneda</t>
  </si>
  <si>
    <t>id_moneda_txt</t>
  </si>
  <si>
    <t>tipo_cambio</t>
  </si>
  <si>
    <t>costo_moneda_original</t>
  </si>
  <si>
    <t>costo_moneda_original_txt</t>
  </si>
  <si>
    <t>costo_rd</t>
  </si>
  <si>
    <t>costo_rd_txt</t>
  </si>
  <si>
    <t>inicio</t>
  </si>
  <si>
    <t>fin</t>
  </si>
  <si>
    <t>programacion</t>
  </si>
  <si>
    <t>costo_total_fg</t>
  </si>
  <si>
    <t>costo_total_CE</t>
  </si>
  <si>
    <t>costo_total_Do</t>
  </si>
  <si>
    <t xml:space="preserve">Identificador codigo de fase </t>
  </si>
  <si>
    <t>SELECT  
      proy.[id_proyecto]
          ,proy.cod_snip as  Codigo_BPIN
          ,        dense_rank() OVER (ORDER BY fase.fase) AS Id_Fase
          ,fase.fase_txt as Fase
        ,cfisico.Id_Producto
          ,cast(concat(id_producto,id_componente) as int) as [Id_Actividad]
  FROM [MapaInversion].[BID_Base_Fichas_Proyectos_mip] proy
    inner join [MapaInversion].[BID_Base_Fases_mip] fase
        on fase.id_proyecto=proy.id_proyecto
         inner join 
  [MapaInversion].[BID_Base_cronogramas_proyecto_fisico_mip] cfisico
  on cfisico.id_proyecto=fase.id_proyecto and cfisico.id_fase=fase.id_fase</t>
  </si>
  <si>
    <t>FORTALECIMIENTO - INSTITUCIONAL DE LA GESTION INTEGRAL DE AGUA POTABLE, ALCANTARILLADO EN SIETE PROVINCIAS</t>
  </si>
  <si>
    <t>I</t>
  </si>
  <si>
    <t>Dólar</t>
  </si>
  <si>
    <t>43645838.36</t>
  </si>
  <si>
    <t>43,645,838.36</t>
  </si>
  <si>
    <t>1809120000.00</t>
  </si>
  <si>
    <t>1,809,120,000.00</t>
  </si>
  <si>
    <t>752557629.00</t>
  </si>
  <si>
    <t>1056562371.00</t>
  </si>
  <si>
    <t>CONSTRUCCIÓN , AMPLIACION Y REHABILITACION DE SISTEMAS DE AGUA POTABLE Y SANEAMIENTO EN LA PROVINCIA DE INDEPENDENCIA</t>
  </si>
  <si>
    <t>4920574.00</t>
  </si>
  <si>
    <t>4,920,574.00</t>
  </si>
  <si>
    <t>203957791.00</t>
  </si>
  <si>
    <t>203,957,791.00</t>
  </si>
  <si>
    <t>162855998.00</t>
  </si>
  <si>
    <t>41101793.00</t>
  </si>
  <si>
    <t>CONSTRUCCIÓN , AMPLIACION Y REHABILITACION DE SISTEMAS DE AGUA POTABLE Y SANEAMIENTO EN LA PROVINCIA SAN CRISTOBAL</t>
  </si>
  <si>
    <t>Descripción del proyecto de Inversión</t>
  </si>
  <si>
    <t>8449112.59</t>
  </si>
  <si>
    <t>8,449,112.59</t>
  </si>
  <si>
    <t>350215717.00</t>
  </si>
  <si>
    <t>350,215,717.00</t>
  </si>
  <si>
    <t>171913573.00</t>
  </si>
  <si>
    <t>178302144.00</t>
  </si>
  <si>
    <t>Identificador de la fase del proyecto (A, I)</t>
  </si>
  <si>
    <t>AMPLIACIÓN Y REHABILITACION DE SISTEMAS DE AGUA POTABLE Y SANEAMIENTO EN LA PROVINCIA DE BARAHONA</t>
  </si>
  <si>
    <t>4282223.00</t>
  </si>
  <si>
    <t>4,282,223.00</t>
  </si>
  <si>
    <t>177498140.00</t>
  </si>
  <si>
    <t>177,498,140.00</t>
  </si>
  <si>
    <t>108973599.00</t>
  </si>
  <si>
    <t>68524541.00</t>
  </si>
  <si>
    <t>Identificador de la fase del proyecto (Preinversion, Inversion)</t>
  </si>
  <si>
    <t>CONSTRUCCIÓN SISTEMAS DE ABASTECIMIENTO DE AGUA POTABLE AL DISTRITO MUNICIPAL DE LOS BOTADOS Y COMUNIDADES RURALES, MUNICIPIO YAMASA, PROVINCIA MONTE PLATA</t>
  </si>
  <si>
    <t>573793014.00</t>
  </si>
  <si>
    <t>573,793,014.00</t>
  </si>
  <si>
    <t>460717709.00</t>
  </si>
  <si>
    <t>113075305.00</t>
  </si>
  <si>
    <t>Identificador de la Moneda</t>
  </si>
  <si>
    <t>CONSTRUCCIÓN DE LA CIRCUNVALACION DE AZUA 1RA. ETAPA, EN LA PROVINCIA AZUA</t>
  </si>
  <si>
    <t>2673108286.00</t>
  </si>
  <si>
    <t>2,673,108,286.00</t>
  </si>
  <si>
    <t>989140607.00</t>
  </si>
  <si>
    <t>1683967679.00</t>
  </si>
  <si>
    <t>Identificador texto de la moneda</t>
  </si>
  <si>
    <t>MEJORAMIENTO DEL SISTEMA DE DISTRIBUCION ELECTRICA A NIVEL NACIONAL</t>
  </si>
  <si>
    <t>275000000.00</t>
  </si>
  <si>
    <t>275,000,000.00</t>
  </si>
  <si>
    <t>16084750000.00</t>
  </si>
  <si>
    <t>16,084,750,000.00</t>
  </si>
  <si>
    <t>Tipo o Tasa de Cambio</t>
  </si>
  <si>
    <t>REHABILITACIÓN DE REDES Y NORMALIZACIÓN DE USUARIOS DEL SERVICIO DE ENERGIA</t>
  </si>
  <si>
    <t>601402696.00</t>
  </si>
  <si>
    <t>601,402,696.00</t>
  </si>
  <si>
    <t>28793134338.00</t>
  </si>
  <si>
    <t>28,793,134,338.00</t>
  </si>
  <si>
    <t>28615494005.00</t>
  </si>
  <si>
    <t>177640333.00</t>
  </si>
  <si>
    <t>Costo del proyecto en la moneda origina</t>
  </si>
  <si>
    <t>APOYO AL DESARROLLO DE CAPACIDADES DEL SISTEMA NACIONAL DE INVERSIÓN PÚBLICA - SNIP EN INSTITUCIONES SECTORIALES Y MUNICIPALES PILOTOS DE LA REP. DOM.</t>
  </si>
  <si>
    <t>1538799.74</t>
  </si>
  <si>
    <t>1,538,799.74</t>
  </si>
  <si>
    <t>70000000.00</t>
  </si>
  <si>
    <t>70,000,000.00</t>
  </si>
  <si>
    <t>Costo del Proyecto en la moneda original en texto</t>
  </si>
  <si>
    <t>CONSTRUCCIÓN PRESA DE MONTE GRANDE, REHABILITACION Y COMPLEMENTACION DE LA PRESA DE SABANA YEGUA, PROVINCIA AZUA</t>
  </si>
  <si>
    <t>818572076.00</t>
  </si>
  <si>
    <t>818,572,076.00</t>
  </si>
  <si>
    <t>32898411719.00</t>
  </si>
  <si>
    <t>32,898,411,719.00</t>
  </si>
  <si>
    <t>11516462292.00</t>
  </si>
  <si>
    <t>21381949427.00</t>
  </si>
  <si>
    <t>Costo del proyecto en la moneda dominicana</t>
  </si>
  <si>
    <t>Costo del proyecto en la moneda dominicana en texto</t>
  </si>
  <si>
    <t>Inicio del Proyecto</t>
  </si>
  <si>
    <t>Fin del Proyecto</t>
  </si>
  <si>
    <t>Año en que se programo el proyecto (Programacion Plurianual</t>
  </si>
  <si>
    <t>Costo toatal (Pendiente, son campos nuevos=</t>
  </si>
  <si>
    <t>[MapaInversion].[BID_Base_Fichas_Proyectos_mip]</t>
  </si>
  <si>
    <t>Información referente a proyectos de inversion, se identifica cada uno de los proyectos asi como también sus caracteristicas asociadas.</t>
  </si>
  <si>
    <t xml:space="preserve"> Extraccion Query For Main Information of Project Data</t>
  </si>
  <si>
    <t>cod_snip</t>
  </si>
  <si>
    <t>cod_snip_historico</t>
  </si>
  <si>
    <t>id_tipologia</t>
  </si>
  <si>
    <t>id_tipologia_txt</t>
  </si>
  <si>
    <t>estado_proyecto</t>
  </si>
  <si>
    <t>estado_proyecto_txt</t>
  </si>
  <si>
    <t>fase_actual</t>
  </si>
  <si>
    <t>fase_actual_txt</t>
  </si>
  <si>
    <t>tipo_proyecto</t>
  </si>
  <si>
    <t>tipo_proyecto_txt</t>
  </si>
  <si>
    <t>nombre</t>
  </si>
  <si>
    <t>id_proceso</t>
  </si>
  <si>
    <t>id_proceso_txt</t>
  </si>
  <si>
    <t>objeto</t>
  </si>
  <si>
    <t>duracion_preinversion</t>
  </si>
  <si>
    <t>duracion_inversion</t>
  </si>
  <si>
    <t>costo_total</t>
  </si>
  <si>
    <t>costo_total_txt</t>
  </si>
  <si>
    <t>prioridad_institucional</t>
  </si>
  <si>
    <t>id_funcional</t>
  </si>
  <si>
    <t>id_funcional_txt</t>
  </si>
  <si>
    <t>problema_central</t>
  </si>
  <si>
    <t>id_end_txt</t>
  </si>
  <si>
    <t>id_politica_transversal</t>
  </si>
  <si>
    <t>id_politica_transversal_txt</t>
  </si>
  <si>
    <t>id_plan_im</t>
  </si>
  <si>
    <t>id_institucion_responsable</t>
  </si>
  <si>
    <t>id_institucion_responsable_txt</t>
  </si>
  <si>
    <t>id_institucion_responsable_des_txt</t>
  </si>
  <si>
    <t>id_institucion_ejecutora</t>
  </si>
  <si>
    <t>id_institucion_ejecutora_txt</t>
  </si>
  <si>
    <t>id_institucion_ejecutora_des_txt</t>
  </si>
  <si>
    <t>involucrados</t>
  </si>
  <si>
    <t>area_influencia</t>
  </si>
  <si>
    <t>area_influencia_txt</t>
  </si>
  <si>
    <t>poblacion_beneficiada</t>
  </si>
  <si>
    <t>descripcion_pob</t>
  </si>
  <si>
    <t>motivacion</t>
  </si>
  <si>
    <t>proposito</t>
  </si>
  <si>
    <t>es_previo_concepto</t>
  </si>
  <si>
    <t>es_previo_concepto_txt</t>
  </si>
  <si>
    <t>subproyecto</t>
  </si>
  <si>
    <t>subproyecto_txt</t>
  </si>
  <si>
    <t>poblacion_referencia</t>
  </si>
  <si>
    <t>des_poblacion_ref</t>
  </si>
  <si>
    <t>poblacion_afectada</t>
  </si>
  <si>
    <t>des_poblacion_afe</t>
  </si>
  <si>
    <t>origen</t>
  </si>
  <si>
    <t>origen_txt</t>
  </si>
  <si>
    <t>funcion</t>
  </si>
  <si>
    <t>cod_sub_funcion</t>
  </si>
  <si>
    <t>str_funcional_txt</t>
  </si>
  <si>
    <t>fec_inicio</t>
  </si>
  <si>
    <t>fec_fin</t>
  </si>
  <si>
    <t>descripcion_end</t>
  </si>
  <si>
    <t>es_idea_proyecto</t>
  </si>
  <si>
    <t>seccion</t>
  </si>
  <si>
    <t>Identificador único del proyecto de Inversión ( Sistema Meypd)</t>
  </si>
  <si>
    <t>SELECT   distinct  fp.[id_proyecto]   Id_Proyecto, [cod_snip] Codigo_BPIN,
cast(ltrim(rtrim(replace(replace(replace(replace(replace(replace(replace(replace(replace(replace(Replace(replace(replace([nombre],'“',''),'”',''),'"',''),':',''),Char(9),''),Char(10),''),Char(13),''),'/',''),'\',''),'°',''),'º',''),'+',''),'=',''))) as varchar(4000)) 
as Nombre_Proyecto, 
 [fec_inicio] Año_Inicio_Proyecto,[fec_fin] Año_Final_Proyecto, 
fase.costo_rd as Vlr_Total_Proyecto_Fuentes_Regalias, 
                 fase.costo_rd as        Vlr_Total_Proyecto_Todas_Las_Fuentes,
				 [descripcion]  as Objetivo_General, [tipo_proyecto], 
				   replace(substring([funcion],1,7),'.','') as Id_Sector,
     substring([funcion],10,len([funcion])) as Nombre_Sector,
					--	dbo.RemoveChars(replace(Id_Ejecutor,' ','')), 2057
						[id_institucion_ejecutora] as Id_Ejecutor,  [id_institucion_ejecutora_des_txt] Nombre_Ejecutor, 
                        [poblacion_beneficiada] as Numero_Beneficiarios,[id_institucion_responsable] AS Id_OCAD,[id_institucion_responsable_des_txt] Nombre_OCAD
--,fase.fase_txt
FROM            [MapaInversion].[BID_Base_Fichas_Proyectos_mip] fp
inner join (Select * from [MapaInversion].[BID_Base_Fases_mip]  fase where costo_rd=(Select max(costo_rd) from [MapaInversion].[BID_Base_Fases_mip]  fase1 where fase.[id_proyecto]=fase1.[id_proyecto]))fase
on fp.[id_proyecto]=fase.[id_proyecto]</t>
  </si>
  <si>
    <t>CAPITAL FIJO</t>
  </si>
  <si>
    <t>A</t>
  </si>
  <si>
    <t>Arrastre</t>
  </si>
  <si>
    <t>MEJORAMIENTO DE LA SANIDAD E INOCUIDAD AGROALIMENTARIA EN LA REPUBLICA DOMINICANA (PATCA III)</t>
  </si>
  <si>
    <t>MEJORAMIENTO</t>
  </si>
  <si>
    <t>DE LA SANIDAD E INOCUIDAD AGROALIMENTARIA EN LA REPUBLICA DOMINICANA (PATCA III)</t>
  </si>
  <si>
    <t>450000000.00</t>
  </si>
  <si>
    <t>450,000,000.00</t>
  </si>
  <si>
    <t>Baja productividad de la agropecuaria dominicana</t>
  </si>
  <si>
    <t>3.5.3.8</t>
  </si>
  <si>
    <t>SA</t>
  </si>
  <si>
    <t>El Programa se ejecutará durante cinco (6) años a nivel nacional con la participación de productores y técnicos directa o indirectamente vinculado a la Sanidad e Inocuidad Agroalimentaria del país.  Inocuidad Agroalimentaria, a través del cual se promoverá: (i) el establecimiento de un Sistema Nacional de Trazabilidad; (ii) el establecimiento de un Programa de Buenas Prácticas Agrícolas y Ganaderas (BPA y BPG), en coordinación con el sector privado, el cual estará asociado a la creación de un Sistema Nacional de Certificación BPA y BPG; (iii) el fortalecimiento de los Sistemas Nacionales de Inspección y Control; (iv) fortalecimiento la Red Dominicana de Laboratorios de Análisis de Alimentos (REDLAA) y; (v) la reconversión del Laboratorio Veterinario Central (LAVECEN) para que actué como el  Laboratorio Nacional de Referencia.  Sanidad Animal, a través del cual se apoyará: (i) un Programa Específico de Control y Erradicación de Enfermedades Animales; (ii) el Sistema Nacional de Vigilancia Epidemiológica; (iii) el incremento de la capacidad y calidad operativa de las Divisiones de Diagnóstico y Producción del Laboratorio Veterinario Central (LAVECEN); (iv) el fortalecimiento institucional de la Dirección General de Ganadería (DIGEGA), con énfasis en la División de Análisis de Riesgo. Sanidad Vegetal, con el que se prevé apoyar: (i) el fortalecimiento del Sistema Nacional de Vigilancia, Notificación y  Monitoreo Fitosanitario; (ii) el Plan Nacional de Emergencia Fitosanitaria; (iii) el fortalecimiento institucional del Departamento de Sanidad Vegetal de la SEA, con énfasis en la Sistematización y Automatización de Registros; (iv) la Asistencia Técnica a programas específicos en renglones no tradicionales y tradicionales de exportación y cultivos tradiciones de importancia para autosuficiencia alimentaria nacional; (v) apoyo a la aplicación de la Ley 311 y su Reglamento 322 sobre registro y uso de plaguicidas.  Cuarentena Agropecuaria, a través del cual se busca desarrollar:  (i) un Programa Permanente de Promoción en Cuarentena Agropecuaria para garantizar cumplimiento de las medidas cuarentenarias en los aeropuertos, puertos y puestos fronterizos a través de las Leyes 4990 de Sanidad Vegetal y 4030 de Sanidad Animal; (ii) el fortalecimiento de la División de Análisis de Riesgo del Departamento de Sanidad Vegetal de la SEA; (iii) un Programa Nacional de Diagnóstico de Plagas Cuarentenarias.</t>
  </si>
  <si>
    <t>El Mnisterio de Agricultura será el Organismo Ejecutor quien actuará a través de la Oficina de Ejecución de Proyectos (OEP), creada por Resolución Ministerial No.14-2010 del 12 de marzo del 2010.</t>
  </si>
  <si>
    <t>Nacional</t>
  </si>
  <si>
    <t>Productores Agropecuarios a nivel nacional.</t>
  </si>
  <si>
    <t>Crear capacidades  para mejorar las condiciones fitozoosanitarias y de inocuidad adecuadas en los productos agropecuarios para favorecer el acceso de los mismos a los mercados nacionales e internacionales y de este modo garantizar al consumidor un bien de alta calidad y confiabilidad.</t>
  </si>
  <si>
    <t>El objetivo es mejorar el estado sanitario del país y a favorecer el acceso con los productos dominicanos a los mercados nacionales e internacionales. Fortalecer la capacidad gubernamental de proveer los servicios de carácter público dejando al sector privado las áreas de actividad que le corresponden en la provisión de los servicios necesarios para asegurar que la producción nacional agropecuaria y agroindustrial pueda cumplir con los requisitos y normas exigidas por el comercio internacional y la salud pública. Desarrollar programas permanentes de capacitación y entrenamiento a técnicos y productores  en las áreas de Inocuidad Agroalimentaria, Sanidad Vegetal, Sanidad Animal y Cuarentena Agropecuaria.</t>
  </si>
  <si>
    <t>N</t>
  </si>
  <si>
    <t>No</t>
  </si>
  <si>
    <t>Normal</t>
  </si>
  <si>
    <t>reevaluacion</t>
  </si>
  <si>
    <t>2015-10-03 00:00:00.000</t>
  </si>
  <si>
    <t>2018-09-21 20:16:26.037</t>
  </si>
  <si>
    <t>2.2.00 - Agropecuaria, caza, pesca y silvicultura</t>
  </si>
  <si>
    <t>2.2.01 -  Agropecuaria</t>
  </si>
  <si>
    <t>Desarrollar un sistema de sanidad e inocuidad agroalimentaria integrado, moderno y eficiente que involucre a todos los actores de la cadena productiva para preservar la salud de los consumidores e incrementar la competitividad</t>
  </si>
  <si>
    <t>1 - Gobierno Central</t>
  </si>
  <si>
    <t>Identificador del proyecto de inversión del istema Snip</t>
  </si>
  <si>
    <t>CONSTRUCCIÓN ACUEDUCTO MULTIPLE DE PERAVIA (BANI), PROVINCIA PERAVIA</t>
  </si>
  <si>
    <t>CONSTRUCCIÓN</t>
  </si>
  <si>
    <t>ACUEDUCTO MULTIPLE DE PERAVIA (BANI), PROVINCIA PERAVIA</t>
  </si>
  <si>
    <t>5887667884.00</t>
  </si>
  <si>
    <t>5,887,667,884.00</t>
  </si>
  <si>
    <t>Baja cobertura en la prestación de servicios eficientes y sostenibles de Agua Potable y Saneamiento mediante la APS en la provincia Peravia.</t>
  </si>
  <si>
    <t>2.5.2.3</t>
  </si>
  <si>
    <t>CT</t>
  </si>
  <si>
    <t>Este proyecto contempla el mejoramiento del entorno ambiental a través de  procedimientos de capacitación específicos para la región y la rehabilitación de dicho acueducto. Con la ejecución de dicho proyecto se reducirán las enfermedades hídricas y habrá  mejores condiciones de vida. Sus principales componentes son: Obra de toma conectada a la tubería del acueducto Valdesia –Santo Domingo, Línea de aducción de 16.0 Km. de longitud, Línea principal de conducción de 62.0 km de longitud, Depósitos reguladores, Acondicionamiento depósitos reguladores en Nizao, Calderas, Baní, Boca Canasta, Matanzas 1, Sombrero- El Llano, Pizarrete Y Cañafistol, Estación de bombeo en Güera y Complementación y rehabilitación de redes de distribución.</t>
  </si>
  <si>
    <t>INAPA</t>
  </si>
  <si>
    <t>INSTITUTO NACIONAL DE AGUAS POTABLES Y ALCANTARILLADOS</t>
  </si>
  <si>
    <t>• Ejecutor: INAPA  • Unidad de Supervisión  • Contratista: ACCIONA AGUA-ABI-KARRAM, MORILLA  • Otros: Gobernación Provincial, Síndicos Municipales, Juntas de Vecinos</t>
  </si>
  <si>
    <t>Municipal</t>
  </si>
  <si>
    <t>Habitantes de las comunidades Baní, Paya, Guera, El Fundo, Cañafistol, Mata Gorda, Boca Canasta, Pizarrete, Matanzas, Santana, Catalina, Nizao, Don Gregorio, Carretón, Sombrero, Arroyo Hondo, Quija Quieta, Los Tumbaos, Calderas y Base Naval de la provincia Peravia.</t>
  </si>
  <si>
    <t>Los municipios de Baní y Nizao, así como los distritos municipales: Santana, Catalina, El Carretón, Cañafistol,  Matanzas, Paya, Villa Sombrero, Pizarrete y Santana poseen sistema de abastecimiento de agua potable, que en general funcionan pero con precariedades, debido al crecimiento poblacional de la zona por lo que en el año 2009, se diseña el Acueducto Múltiple de Peravia con fines de mejorar el suministro de agua potable de la zona. E l ineficiente servicio de Agua Potable y El inadecuado sistema de Saneamiento en la provincia Peravia, han motivado para la ejecución de este Proyecto. Según los múltiples informes de evaluación emitidos por técnicos del INAPA, los municipios de Baní y Nizao tienen serias limitaciones para el acceso al recurso agua potable, por tanto se ven en la necesidad de adquirir por diversos medios el agua necesaria para realizar sus actividades diarias.</t>
  </si>
  <si>
    <t>Reducir el déficit de agua en los municipios Baní y Nizao.</t>
  </si>
  <si>
    <t>paralizado</t>
  </si>
  <si>
    <t>2020-12-11 15:08:47.317</t>
  </si>
  <si>
    <t>4.1.00 - Vivienda y Servicios Comunitarios</t>
  </si>
  <si>
    <t>4.1.03 -  Abastecimiento de agua potable</t>
  </si>
  <si>
    <t>Desarrollar nuevas infraestructuras de redes que permitan la ampliación de la cobertura de los servicios de agua potable, alcantarillado sanitario y pluvial, tratamiento de aguas servidas y protección del subsuelo, con un enfoque de desarrollo sostenible y con prioridad en las zonas tradicionalmente excluidas</t>
  </si>
  <si>
    <t>4 - Empresas</t>
  </si>
  <si>
    <t>Identificador del proyecto de inversión del istema Snip (Algunos proyectos fueron migrados de una version anterior por lo que tienen un codigo historico diferente)</t>
  </si>
  <si>
    <t>PRESA DE MONTE GRANDE, REHABILITACION Y COMPLEMENTACION DE LA PRESA DE SABANA YEGUA, PROVINCIA AZUA</t>
  </si>
  <si>
    <t>16144286025.00</t>
  </si>
  <si>
    <t>16,144,286,025.00</t>
  </si>
  <si>
    <t>Bajo aprovechamiento de las aguas en la producción agrícola y pecuaria.</t>
  </si>
  <si>
    <t>4.1.4.5</t>
  </si>
  <si>
    <t>Complejo de obras hidráulicas para el desarrollo regional del suroeste de la República Dominicana. La presa Monte Grande es de almacenamiento de agua para el desarrollo hídrico y la última aguas abajo de la cuenca del río Yaque del Sur. El Proyecto consiste en cinco grandes componentes de obra y un componente de estudios y diseño. El componente de obras incluye las siguientes construcciones: 1) La rehabilitación y complementación de la Presa de Sabana Yegua, 2) La construcción de la Presa Monte Grande, 3) La rehabilitación y ampliación del Sistema de Riego de la cuenca baja del rio Yaque del Sur , 4) Las obras para la Mitigación de Inundaciones, y 5) La construcción del Centro Poblado.</t>
  </si>
  <si>
    <t>MIMARENA</t>
  </si>
  <si>
    <t>MINISTERIO  DE MEDIO AMBIENTE Y RECURSOS NATURALES</t>
  </si>
  <si>
    <t>INDRHI</t>
  </si>
  <si>
    <t>INSTITUTO NACIONAL DE RECURSOS HIDRÁULICOS (INDRHI)</t>
  </si>
  <si>
    <t>Provincial</t>
  </si>
  <si>
    <t>habitantes.</t>
  </si>
  <si>
    <t>El rio Yaque del Sur y su red de afluentes constituyen una de las cuencas más importantes del país dado su extensión el volumen de agua que aporta y la importancia económica desde punto de vista de agua potable, agrícola, energética y conservación  ecológica. La presa Monte Grande busca servir de almacenamiento de agua para el desarrollo hídrico aguas abajo de la cuenca del río Yaque del Sur, para la mejora de las condiciones sociales y económicas de los habitantes de la región suroeste a través de: la mitigación de la escasez de agua para uso agrícola y ganadero en épocas de sequía severa, la disponibilidad de agua permanente para los cultivos de cientos de productores agrícolas, y la contribución a la preservación del medio ambiente.</t>
  </si>
  <si>
    <t>Mitigar la escasez de agua para uso agrícola y ganadero en épocas de sequía severa, garantizar la disponibilidad de agua permanente para los cultivos de cientos de productores agrícolas, contribuir a la preservación del medio ambiente y en consecuencia mejorar las condiciones sociales y económicas de los habitantes de la región suroeste.</t>
  </si>
  <si>
    <t>ejecucion</t>
  </si>
  <si>
    <t>2024-03-19 13:57:58.653</t>
  </si>
  <si>
    <t>2.3.00 - Riego</t>
  </si>
  <si>
    <t>2.3.01 -  Riego</t>
  </si>
  <si>
    <t>Expandir y dar mantenimiento a la infraestructura para la regulación de los volúmenes de agua, mediante la priorización de inversiones en obras de propósitos múltiples, con un enfoque de desarrollo sostenible</t>
  </si>
  <si>
    <t>3 - Instituciones Públicas Descentralizadas y Autónomas</t>
  </si>
  <si>
    <t>Identificador de Tipos de Proyectos</t>
  </si>
  <si>
    <t>AMPLIACIÓN ACUEDUCTO ORIENTAL, BARRERA DE SALINIDAD Y TRASVASE AL MUNICIPIO SANTO DOMINGO NORTE, PROVINCIA SANTO DOMINGO</t>
  </si>
  <si>
    <t>AMPLIACIÓN</t>
  </si>
  <si>
    <t>ACUEDUCTO ORIENTAL, BARRERA DE SALINIDAD Y TRASVASE AL MUNICIPIO SANTO DOMINGO NORTE, PROVINCIA SANTO DOMINGO</t>
  </si>
  <si>
    <t>4165644000.00</t>
  </si>
  <si>
    <t>4,165,644,000.00</t>
  </si>
  <si>
    <t>Deficiencia en el abastecimiento de agua potable en el Municipio de Santo Domingo Este</t>
  </si>
  <si>
    <t>El proyecto consiste en la ampliación del acueducto del municipio de Santo Domingo Este, el cual contempla la construcción de un nuevo módulo de tratamiento en el sistema Barrera para así adicionar 2 m3/s a la producción diaria de los cuales 1 m3/s será derivado para reforzar el abastecimiento del municipio de Santo Domingo Norte; la construcción de 3 depósitos reguladores de 8 Millones de Galones cada uno y la colocación de más de 41 km de redes de distintos diámetros para así brindar un abastecimiento continuo y de calidad, así como cubrir con la demanda de agua potable en el municipio por los próximos 25 años.Este Proyecto consta de la construcción de una planta potabilizadora, el trasvase a la zona norte y las interconexiones al acueducto oriental. La construcción de la red de distribución de Agua Potable en diámetros desde 16” hasta 3” PVC (SDR -21) y Empalme en tuberías de P.V.C. en diámetros de 24”, 12”, 4” y 3” para abastecer a las comunidades de Villa Tropicalia, Mendoza, Cristo Salvador, Bo. La Campana y El Bonito.</t>
  </si>
  <si>
    <t>CAASD</t>
  </si>
  <si>
    <t>CORPORACIÓN DEL ACUEDUCTO Y ALCANTARILLADO DE SANTO DOMINGO</t>
  </si>
  <si>
    <t>Con la ampliación del sistema se logrará un abastecimiento continuo y de calidad al municipio de Santo Domingo Este, garantizando que se cubrirá la demanda de agua potable por los próximos 25 años. Del mismo modo, con el trasvase se logrará reforzar el abastecimiento del Municipio de Santo Domingo Norte, mejorando la distribución en sectores como Sabana Perdida, Brisa del este, Los Palmares, Salome Ureña, Nueva Barquita, entre otros.</t>
  </si>
  <si>
    <t>Proporcionar un servicio de distribución de agua potable eficiente en los municipios de Santo Domingo Este y Norte.</t>
  </si>
  <si>
    <t>2024-04-30 16:02:07.190</t>
  </si>
  <si>
    <t>Tipologia de Proyectos Texto</t>
  </si>
  <si>
    <t>EQUIPAMIENTO DE UNIDADES PARA SERVICIOS SANITARIOS EN LA REPUBLICA DOMINICANA</t>
  </si>
  <si>
    <t>EQUIPAMIENTO</t>
  </si>
  <si>
    <t>DE UNIDADES PARA SERVICIOS SANITARIOS EN LA REPUBLICA DOMINICANA</t>
  </si>
  <si>
    <t>200000000.00</t>
  </si>
  <si>
    <t>200,000,000.00</t>
  </si>
  <si>
    <t>Bajos niveles de higiene y salubridad.</t>
  </si>
  <si>
    <t>2.5.1.2</t>
  </si>
  <si>
    <t>XX</t>
  </si>
  <si>
    <t>Se equipará a los hogares dominicanos de aparatos sanitarios o letrinas, dependiendo de las instalaciones sanitarias de los mismos.</t>
  </si>
  <si>
    <t>INVI</t>
  </si>
  <si>
    <t>INSTITUTO NACIONAL DE LA VIVIENDA</t>
  </si>
  <si>
    <t>Grabe el formulario para ingresar los Grupos Involucrados asociados al proyecto.</t>
  </si>
  <si>
    <t>Familias</t>
  </si>
  <si>
    <t>La falta de higiene y el indebido tratamiento de los residuos sanitarios, causan enfemedades mortales en la población. Se genera un gasto para el tratamiento de estas enfermedades por parte del Estado Dominicano.</t>
  </si>
  <si>
    <t>Altos niveles de higiene y salubridad.</t>
  </si>
  <si>
    <t>2017-12-14 07:26:48.967</t>
  </si>
  <si>
    <t>2021-02-05 13:04:01.537</t>
  </si>
  <si>
    <t>4.1.01 -  Urbanizacion y servicios comunitarios</t>
  </si>
  <si>
    <t>Elevar la calidad del entorno y el acceso a servicios básicos e infraestructura comunitaria en aquellos asentamientos susceptibles de mejoramiento</t>
  </si>
  <si>
    <t>identificador del estado del proyecto</t>
  </si>
  <si>
    <t>CREACION DE CONOCIMIENTO</t>
  </si>
  <si>
    <t>Nuevo</t>
  </si>
  <si>
    <t>CATASTRO NACIONAL DE LA REPÚBLICA DOMINICANA</t>
  </si>
  <si>
    <t>CATASTRO</t>
  </si>
  <si>
    <t>NACIONAL DE LA REPÚBLICA DOMINICANA</t>
  </si>
  <si>
    <t>1029443200.00</t>
  </si>
  <si>
    <t>1,029,443,200.00</t>
  </si>
  <si>
    <t>Obsolescencia Información Catastral</t>
  </si>
  <si>
    <t>1.1.1.12</t>
  </si>
  <si>
    <t>Este proyecto consiste en preparar una base de datos sobre los bienes inmuebles de la República Dominicana, en sus aspectos: físico, jurídico y económico.  La inversión se realizara principalmente en tres actividades importantes: * Realizar un levantamiento catastral, cuyo objetivo es recopilar información existente, preparar base cartográfica y cargar la información en el sistema catastral.  a) Recopilar datos mediante encuestas, de acuerdo al modelo catastral establecido, para identificar y caracterizar los bienes inmuebles radicados en el territorio de la República Dominicana, con expresión de su: Tipificación, Superficies, Usos o aprovechamientos, Valores, Titulares, Documentación gráfica y cartográfica, b) Base Cartográfica en los nucleos urbanos y todo el territorio, c) Proceso de producción cartográfica, d) Apoyo y aerotriangulación, e) Recopilación de información existente, f) Accesibilidad/Conectividad,   * Desarrollo de Tecnología: Sistema de Información y aplicaciones, Equipamiento hardware y software,   * Análisis de Resultados</t>
  </si>
  <si>
    <t>• Ministerio de Hacienda.  • Dirección General de Impuestos Internos.  • Ministerio de Obras Públicas.  • Ayuntamientos.  • Administración General de Bienes Nacionales.  • Jurisdicción Inmobiliaria.  • Dirección General de Reordenamiento Territorial.  • Ministerio de Agricultura.  • Ministerio de Medio Ambiente</t>
  </si>
  <si>
    <t>NUCLEOS URBANOS</t>
  </si>
  <si>
    <t>La información generada a través de la organización de un catastro multifinalitario, permite potenciar el incremento de la contribución fiscal, aumentando de forma rápida y eficiente los ingresos por tributos a la propiedad inmueble. Es imprescindible abordar un proyecto de catastro integral que permita al Estado conocer en materia de inmuebles, cantidad, localización, propietarios y su valor.  Además de servir de fuente de información para fortalecer los ingresos, coadyuve en el proceso de registro y titulación de tierras y como elemento clave para la toma de decisiones que tengan al territorio y a sus habitantes como elemento de actividad. Un catastro inmobiliario moderno y actualizado permite al gobierno dominicano contar con un instrumento de desarrollo para poner al servicio de las instituciones Durante los años 2009 y 2010, la Dirección General del Catastro Nacional ha agotado todo un proceso de modernización institucional, en las que se enmarcan varias estrategias. (i) La propuesta de una nueva ley de catastro acorde con el nuevo esquema institucional del Ministerio de Hacienda; (ii) La adopción de nuevas tecnologías; (iii) La capacitación de los recursos humanos; (iv) Y la actualización de procesos y procedimientos metodológicos en las actividades catastrales</t>
  </si>
  <si>
    <t>Implementar un nuevo Catastro Nacional con base en la formación, conservación y actualización del inventario de todos los bienes inmuebles del país para contribuir a los planes de desarrollo e impulsar el avance del país y las políticas públicas del Estado Dominicano.</t>
  </si>
  <si>
    <t>2022-07-04 12:44:09.540</t>
  </si>
  <si>
    <t>1.1.00 - Administración General</t>
  </si>
  <si>
    <t>1.1.02 - Gestion administrativa, financiera, fiscal, economica y planificacion</t>
  </si>
  <si>
    <t>Asegurar la debida articulación entre la planificación estratégica y operativa, la dotación de recursos humanos y materiales y la gestión financiera, a fin de potenciar la eficiencia y eficacia de las políticas públicas a los niveles central y local</t>
  </si>
  <si>
    <t>estado del proyecto</t>
  </si>
  <si>
    <t>CAPITAL HUMANO</t>
  </si>
  <si>
    <t>PREVENCIÓN DE DESASTRES Y GESTION DE RIESGOS EN REPUBLICA DOMINICANA</t>
  </si>
  <si>
    <t>PREVENCIÓN</t>
  </si>
  <si>
    <t>DE DESASTRES Y GESTION DE RIESGOS EN REPUBLICA DOMINICANA</t>
  </si>
  <si>
    <t>214500000.00</t>
  </si>
  <si>
    <t>214,500,000.00</t>
  </si>
  <si>
    <t>4.2.1.1</t>
  </si>
  <si>
    <t>En términos específicos, el proyecto se ejecutará en forma experimental un programa local de gestión de riesgos en 5 municipios, se incorporan medidas básicas de mitigación para proteger a las escuelas y los estudiantes en caso de desastres naturales y proporcional al Vice ministerio de Planificación  la capacidad técnica para supervisar la puesta en marcha y el desempeño de la política nacional de gestión de riesgos y su respectivo plan, así como promover el desarrollo económico y social del país de una manera que contribuya a reducir el riesgo.</t>
  </si>
  <si>
    <t>VIPLAN</t>
  </si>
  <si>
    <t>VICEMINISTERIO DE PLANIFICACION</t>
  </si>
  <si>
    <t>El Ministerio de Economía, Planificación y Desarrollo a través de la Dirección de Ordenamiento y Desarrollo Territorial, es la entidad responsable del proyecto como la entidad ejecutora y la entidad beneficiaria. Otros involucrados con el proyecto son el Ministerio de Educación y los Municipios participantes.</t>
  </si>
  <si>
    <t>Beneficiados. El proyecto trabaja en cinco municipios  de la República Dominicana Padre Las Casas Azua Sabana Grande de Boyá Monte Plata Bajos de Haina San Cristóbal San José de Ocoa San José de Ocoa San Felipe Puerto Plata</t>
  </si>
  <si>
    <t>La República Dominicana, se encuentra entre los países con mayor nivel de exposición  a las amenazas naturales. Tras el paso del huracán George en el año 1998, el país  ha adoptado varias medidas tendientes a dotarse de mayor capacidad para reducir el impacto de los desastres y asegurar una respuesta efectiva y eficaz en situaciones de emergencia. Esto significó cambios relevantes en la institucionalidad y enfoque con el cual el país abordaba  las emergencias y los desastres.  Es altamente vulnerable, ya que el país se ve afectado ante la ocurrencia de fenómenos naturales o antropicos como son huracanes, terremoto, entre otros de forma  constante. La población afectada es de 75,000 habitantes a los municipios detallados más adelante y la población a la cual el proyecto beneficiara directamente es de 40,000 Un apoyo inicial fue  otorgado a través del programa de Emergencia Huracán George (1152/OC-DR), aprobado en el 2002 y finalizado en el 2006. Dicha operación contribuyo al establecimiento del Sistema Nacional de Prevención, Mitigación y Respuesta a Riesgos.</t>
  </si>
  <si>
    <t>Contribuir a incorporar la Gestión del Riesgo en la planificación para el desarrollo de la República Dominicana tanto a nivel sectorial como local, para de esta forma reducir el impacto de los desastres, tanto en la pérdida de vidas humanas como en los daños provocados.</t>
  </si>
  <si>
    <t>2019-11-18 14:45:13.160</t>
  </si>
  <si>
    <t>3.2.00 - Protección de la biodiversidad y ordenación de desechos</t>
  </si>
  <si>
    <t>3.2.01 -  Protección de la biodiversidad y el paisaje</t>
  </si>
  <si>
    <t>Fortalecer las instituciones que integran el Sistema Nacional de Prevención, Mitigación y Respuesta ante Desastres y su coordinación para que puedan desarrollar su labor con eficiencia</t>
  </si>
  <si>
    <t>Identificador de Fase del proyecto</t>
  </si>
  <si>
    <t>CONSTRUCCIÓN DE ARCHIVOS REGIONALES, EN LA REPÚBLICA DOMINICANA</t>
  </si>
  <si>
    <t>DE ARCHIVOS REGIONALES, EN LA REPÚBLICA DOMINICANA</t>
  </si>
  <si>
    <t>179388770.00</t>
  </si>
  <si>
    <t>179,388,770.00</t>
  </si>
  <si>
    <t>Limitada accesibilidad y disperción del patrimonio documental histórico regional.</t>
  </si>
  <si>
    <t>1.1.1.9</t>
  </si>
  <si>
    <t>PS</t>
  </si>
  <si>
    <t>Este proyecto contribuirá a la implementación del sistema de archivos regionales para que puedan cumplir su objetivo de recibir y preservar toda la documentación del sector público y privado, de las demarcaciones definidas a nivel regional que están en el ámbito de actuación del AGN; a fin de cubrir la demanda de los servicios de archivos.</t>
  </si>
  <si>
    <t>CULTURA</t>
  </si>
  <si>
    <t>MINISTERIO DE CULTURA</t>
  </si>
  <si>
    <t>AGN</t>
  </si>
  <si>
    <t>ARCHIVO GENERAL DE LA NACION</t>
  </si>
  <si>
    <t>Usuarios</t>
  </si>
  <si>
    <t>Establecer una estrategia de desarrollo, que busca la homologación y regulación de los procesos archivisticos, así como de las funciones de acopiar, organizar, conservar, custodiar y difundir el patrimonio documental.</t>
  </si>
  <si>
    <t>Eficientizar los servicios del AGN mediante la creación y modernización del Sistema de Archivos Nacionales con el fin de ofrecer servicios de accesibilidad de la documentación pública y la preservación del acervo cultural.</t>
  </si>
  <si>
    <t>2021-07-23 10:54:50.267</t>
  </si>
  <si>
    <t>Consolidar y fortalecer el Sistema Estadístico Nacional con estándares nacionales únicos, a fin de generar información confiable, necesaria, suficiente, oportuna, desagregada por sexo y de uso colectivo para establecer un correcto diagnóstico de la realidad nacional y de los distintos grupos poblacionales, que permita planificar el desarrollo y ejecutar políticas públicas eficaces y eficientes a todos los niveles</t>
  </si>
  <si>
    <t>Descripción de fase del proyecto</t>
  </si>
  <si>
    <t>CONSTRUCCIÓN ACUEDUCTO MULTIPLE HERMANAS MIRABAL, PROVINCIA HERMANAS MIRABAL</t>
  </si>
  <si>
    <t>ACUEDUCTO MULTIPLE HERMANAS MIRABAL, PROVINCIA HERMANAS MIRABAL</t>
  </si>
  <si>
    <t>4857359990.00</t>
  </si>
  <si>
    <t>4,857,359,990.00</t>
  </si>
  <si>
    <t>Baja cobertura en la prestación de servicios eficientes y sostenibles de Agua Potable y Saneamiento mediante la APS en la provincia Hermanas Mirabal</t>
  </si>
  <si>
    <t>El Proyecto plantea la construcción de nuevas obras para el acueducto de la Provincia Hermana Mirabal, atendiendo a los municipios Villa Tapia –Salcedo-Tenares-Cayetano Germosen y comunidades aledañas, las obras a construir son: Línea aducción desde Empalme en el sitio Rranchito a Pta. Potabilizadora L=9,500.00 ml Tub. F24” HD. Construcción Pta. Potabilizadora  500 lps, Filtración rápida. Construcción  estación de bombeo.  Línea de impulsión EB- DR  L=18,040.00 ml Tub. F 24-16-12” HD. Construcción Deposito Reguladores (4) Vitrificado Capacidad 2.64 millones de Gls. Línea matriz y red distribución  Villa Tapia- Salcedo-Tenares 78,187.46 Ml tub F20-16-8-6-4-3” HD y PVC.- Construcción acometida desde tub. F 3 y 4”  (21,900 uds.)</t>
  </si>
  <si>
    <t>Moradores de las comunidades de Villa Tapia- El Coco-Los Indios, Salcedo, Tenares, Cayetano Germosen y comunidades aledañas.</t>
  </si>
  <si>
    <t>El acueducto de Hermanas Mirabal fue diseñado en el año 1990 para abastecer de agua los municipios de Salcedo, Villa Tapia- Tenares- Cayetano Germosén, y comunidades aledañas. En la actualidad el sistema opera con deficiencia debido al crecimiento poblacional, al fin de la vida útil del mismo, a la falta de planificación y a una mala operación. Inapa decidió en el año de 2009, cumpliendo con su misión y visión de acuerdo con la ley 5994 de suministrar agua potable y saneamiento a las áreas en su jurisdicción, el diseño de la rehabilitación y ampliación de  este sistema.</t>
  </si>
  <si>
    <t>Dotar de servicios de agua potable y saneamiento con calidad, continuidad, costo y cobertura de forma sostenible a la provincia Hermanas Mirabal.</t>
  </si>
  <si>
    <t>2020-12-09 11:04:07.417</t>
  </si>
  <si>
    <t>Identificador del Tipo de Proyecto</t>
  </si>
  <si>
    <t>AMPLIACIÓN ALCANTARILLADO SANITARIO BARRIO LAS CARMELITAS EN LA PROVINCIA DE LA VEGA</t>
  </si>
  <si>
    <t>ALCANTARILLADO SANITARIO BARRIO LAS CARMELITAS EN LA PROVINCIA DE LA VEGA</t>
  </si>
  <si>
    <t>96679168.00</t>
  </si>
  <si>
    <t>96,679,168.00</t>
  </si>
  <si>
    <t>Sin dotación de Servicio de Alcantarillado Sanitario en la zona Sur Oeste de la Cuidad lo cual provoca contaminación de las aguas del antiguo cauce del Rio Camu.</t>
  </si>
  <si>
    <t>El Alcantarillado Sanitario del Barrio La Carmelita esta diseñado para trabajar por gravedad. Consiste en la construccion de la linea conductora y red recolectora del alcantarillado sanitario, colocacion de acometidas domiciliarias y correcion de averias en lineas de conduccion existentes.  Una vez terminadas las dos etapas del proyecto, se garantizara el suministro de los servicios basicos de Alcantarillado Sanitario al Barrio La Carmelita. El Barrio La Carmelita se encuentra ubicado en la parte Sur-Oeste del Municipio de La Vega.</t>
  </si>
  <si>
    <t>CORAAVEGA</t>
  </si>
  <si>
    <t>CORPORACIÓN DEL ACUEDUCTO Y ALCANTARILLADO DE LA VEGA</t>
  </si>
  <si>
    <t>CORAAVEGA, LA COMUNIDAD Y LOS HABITANTES DEL BARRIO CARMELITA</t>
  </si>
  <si>
    <t>El Barrio Las Carmelitas no posee los servicios de Agua Potable ni de Alcantarillado Sanitario, provocando esto que todas las descargas de aguas residuales vayan a parar a una cañada que se encuentra en la parte baja del sector (antiguo cauce del río Camú), que cruza una gran parte de la cuidad llevando esta contaminación consigo hasta ser vertida sin ningún tratamiento a las aguas del río Camú. Existe una infraestructura sin terminar que lleva 9 años en construcción.</t>
  </si>
  <si>
    <t>Dotar el Servicio de Alcantarillado Sanitario la zona Sur Oeste de la Cuidad y evitar la contaminación de las aguas del antiguo cauce del río Camú. Su finalidad principal es la conexión del servicio de Alcantarillado Sanitario de la parte Sur Oeste de la ciudad, para ser conducida a través del colecto norte hasta la planta de tratamiento ubicada en Pontón, para así controlar las descargas hacia el río y evitar la contaminación de las aguas del antiguo cauce del río Camú. En síntesis, contribuir al mejoramiento de las condiciones socio ambientales del barrio Las Carmelitas y barrios circundantes.</t>
  </si>
  <si>
    <t>2018-09-18 19:36:33.777</t>
  </si>
  <si>
    <t>3.1.00 - Protección del aire, agua y suelo</t>
  </si>
  <si>
    <t>3.1.03 -  Ordenación de aguas residuales, drenaje y alcantarillado</t>
  </si>
  <si>
    <t>Descripción del tipo de proyecto</t>
  </si>
  <si>
    <t>Descripción del proyecto</t>
  </si>
  <si>
    <t xml:space="preserve"> Extraccion Query For Status of the Project </t>
  </si>
  <si>
    <t>Identificador del Tipo de Proceso del Proyecto</t>
  </si>
  <si>
    <t>SELECT distinct [id_proyecto] as [ID_Proyecto], [cod_snip] as Codigo_BPIN,[fec_upd] as Fecha_Registro,1 AS Actual_Si_No
      ,  DENSE_RANK()  OVER (ORDER BY estado) AS Id_Estado
      ,upper(replace(estado,'ejecucion', 'ejecución')) AS Nombre_Estado
        ,DENSE_RANK()  OVER (ORDER BY [estado_proyecto]) AS Id_Fase
       ,upper([estado_proyecto_txt]) AS Nombre_Fase
      ,DENSE_RANK()  OVER (ORDER BY [estado_proyecto])  AS Id_Destino_Recursos
        ,upper([estado_proyecto]) AS Nombre_Destino_Recursos
  FROM [MapaInversion].[BID_Base_Fichas_Proyectos_mip]</t>
  </si>
  <si>
    <t>Texto del tipo de proceso del Proyecto</t>
  </si>
  <si>
    <t xml:space="preserve">Objeto del Proyecto </t>
  </si>
  <si>
    <t>Duracion del proyecto durante el proceso de preinversion</t>
  </si>
  <si>
    <t>Duracion del proyecto durante el proceso de Inversion</t>
  </si>
  <si>
    <t xml:space="preserve"> Extraccion Query For Expecific Objetives of the project</t>
  </si>
  <si>
    <t>Costo total del proyecto</t>
  </si>
  <si>
    <t>SELECT  
      proy.[id_proyecto]
          ,proy.cod_snip as  Codigo_BPIN
           ,dense_rank() OVER (ORDER BY proy.[id_proyecto],proy.descripcion) AS Id_Objetivo_Especifico
           ,cast(ltrim(rtrim(replace(replace(replace(replace(replace(replace(replace(replace(replace(replace(Replace(replace(replace(proy.descripcion,'“',''),'”',''),'"',''),':',''),Char(9),''),Char(10),''),Char(13),''),'/',''),'\',''),'°',''),'º',''),'+',''),'=',''))) as varchar(4000))
         AS Nombre_Objetivo_Especifico
  FROM [MapaInversion].[BID_Base_Fichas_Proyectos_mip] proy</t>
  </si>
  <si>
    <t>Prioridad del Proyecto a nivel institucional</t>
  </si>
  <si>
    <t>Identificador funcional del Proyecto</t>
  </si>
  <si>
    <t>Identificador funcional del Proyecto texto</t>
  </si>
  <si>
    <t>Descricion del Problema central del proyecto de inversion</t>
  </si>
  <si>
    <t>Identificacion de la entidad</t>
  </si>
  <si>
    <t>Identificacion de la entidad en texto</t>
  </si>
  <si>
    <t>Identificacion de la politica transversal</t>
  </si>
  <si>
    <t>Politica transversal definida para el proyecto</t>
  </si>
  <si>
    <t>Descripcion del Proyecto de Inversión en el SNIP ( Sistema de inversión pública )</t>
  </si>
  <si>
    <t>Identificador de la institucion responsable</t>
  </si>
  <si>
    <t>Siglas de la institucion responsable</t>
  </si>
  <si>
    <t>Descripción de la institucion responsable</t>
  </si>
  <si>
    <t>Identificador de la institucion ejecutora</t>
  </si>
  <si>
    <t>Siglas de la institucion ejecutora</t>
  </si>
  <si>
    <t>Descripción de la institucion ejecutora</t>
  </si>
  <si>
    <t>Tipo de Institucion</t>
  </si>
  <si>
    <t>(Creo son los beneficiarios por definir)</t>
  </si>
  <si>
    <t>Idenficiador Area de Influencia del Proyecto (Provincial o Municipal)</t>
  </si>
  <si>
    <t>Texto Area de Influencia del Proyecto</t>
  </si>
  <si>
    <t>Poblacion beneficiaria</t>
  </si>
  <si>
    <t>Descripcion de la Poblacion o Unidad Medidad de la Poblacion beneficiaria</t>
  </si>
  <si>
    <t>Motivación del proyecto</t>
  </si>
  <si>
    <t>Propósito del proyecto</t>
  </si>
  <si>
    <t>Definicion si existio concepto previo (S es SI)</t>
  </si>
  <si>
    <t>Texto de definicion concepto previo</t>
  </si>
  <si>
    <t>Indica si el proyecto es un subproyecto (N es NO)</t>
  </si>
  <si>
    <t>Indicador en texto si es un supbproyecto</t>
  </si>
  <si>
    <t xml:space="preserve">Problacion de referencia </t>
  </si>
  <si>
    <t>Pobacion afectada</t>
  </si>
  <si>
    <t>Descripcion de la Poblacion o Unidad Medidad de la Poblacion afectada</t>
  </si>
  <si>
    <t>Origen Identificador</t>
  </si>
  <si>
    <t>Texto del identifiador de Origen)</t>
  </si>
  <si>
    <t>Estado del proyecto</t>
  </si>
  <si>
    <t>datetime2</t>
  </si>
  <si>
    <t>Funcion a la que pertenece el proyecto, el simil en otras plataformas es el equivalente al sector del proyecto)</t>
  </si>
  <si>
    <t>Codigo de la subcion del proyecto</t>
  </si>
  <si>
    <t>Funcion del proyecto en texto</t>
  </si>
  <si>
    <t>Fecha inicio del Proyecto</t>
  </si>
  <si>
    <t>Fecha Fin del Proyecto</t>
  </si>
  <si>
    <t>Fecha de Programacion</t>
  </si>
  <si>
    <t>Descripcion del Proyecto Final</t>
  </si>
  <si>
    <t>Indenfica si es una idea de proyecto</t>
  </si>
  <si>
    <t xml:space="preserve">Seccion a la que pertenece el proyecto </t>
  </si>
  <si>
    <t>[MapaInversion].[BID_Base_presupuesto_mip]</t>
  </si>
  <si>
    <t>Presupuesto asociado a proyectos de inversión por periodo/año</t>
  </si>
  <si>
    <t xml:space="preserve"> Extraccion Query For Financial Information of the project</t>
  </si>
  <si>
    <t>id_ppto</t>
  </si>
  <si>
    <t>periodo</t>
  </si>
  <si>
    <t>id_institucion_txt</t>
  </si>
  <si>
    <t>id_institucion_sig_txt</t>
  </si>
  <si>
    <t>id_fte_gral</t>
  </si>
  <si>
    <t>id_fte_gral_txt</t>
  </si>
  <si>
    <t>id_fte_gral_cod</t>
  </si>
  <si>
    <t>id_fte_esp</t>
  </si>
  <si>
    <t>id_fte_esp_txt</t>
  </si>
  <si>
    <t>id_fte_esp_cod</t>
  </si>
  <si>
    <t>id_org_fin</t>
  </si>
  <si>
    <t>id_org_fin_txt</t>
  </si>
  <si>
    <t>id_org_fin_cod</t>
  </si>
  <si>
    <t>id_objetal</t>
  </si>
  <si>
    <t>id_objetal_txt</t>
  </si>
  <si>
    <t>id_objetal_cod</t>
  </si>
  <si>
    <t>programado</t>
  </si>
  <si>
    <t>programado_txt</t>
  </si>
  <si>
    <t>aprobado</t>
  </si>
  <si>
    <t>aprobado_txt</t>
  </si>
  <si>
    <t>aumentos</t>
  </si>
  <si>
    <t>aumentos_txt</t>
  </si>
  <si>
    <t>disminucion</t>
  </si>
  <si>
    <t>disminucion_txt</t>
  </si>
  <si>
    <t>vigente</t>
  </si>
  <si>
    <t>vigente_txt</t>
  </si>
  <si>
    <t>ejecutado</t>
  </si>
  <si>
    <t>ejecutado_txt</t>
  </si>
  <si>
    <t>ejecutado_t1</t>
  </si>
  <si>
    <t>ejecutado_t1_txt</t>
  </si>
  <si>
    <t>ejecutado_t2</t>
  </si>
  <si>
    <t>ejecutado_t2_txt</t>
  </si>
  <si>
    <t>ejecutado_t3</t>
  </si>
  <si>
    <t>ejecutado_t3_txt</t>
  </si>
  <si>
    <t>ejecutado_t4</t>
  </si>
  <si>
    <t>ejecutado_t4_txt</t>
  </si>
  <si>
    <t>id_ppto_dc</t>
  </si>
  <si>
    <t>Identificador del presupuesto</t>
  </si>
  <si>
    <t>SELECT DISTINCT proy.[cod_snip] as Codigo_BPIN,
proy.[id_proyecto] as Id_Proyecto 
      ,fase.[costo_rd] as Valor_Aprobado
          , [id_fte_esp] as Id_Tipo_Recurso 
          ,[id_fte_esp_txt] AS Nombre_Tipo_Recurso
          ,[id_institucion] AS Id_Entidad
          ,[id_institucion_txt] AS Nombre_Entidad
      ,[id_org_fin_cod] AS Id_Tipo_Entidad
     ,[id_org_fin_txt] Nombre_Tipo_Entidad
          ,DENSE_RANK() OVER (ORDER BY [fase]) as Id_Etapa     
      ,[fase_txt] as Nombre_Etapa
           ,1 AS Es_Fuente_Regalias_Si_No 
          ,[fec_inicio] as Fecha_Inicio_Vigencia
          ,[fec_fin]  as Fecha_Final_Vigencia 
     ,[cod_region]  as Id_Region
              ,[cod_region_id]
          ,RTRIM(LTRIM([cod_region_txt])) as Nombre_Region
      ,[cod_provincia] as Id_Departamento
            ,[cod_provincia_id] 
      ,RTRIM(LTRIM([cod_provincia_txt]))  as Nombre_Departamento
         ,[cod_municipio] as Id_Municipio
      ,RTRIM(LTRIM(UPPER([cod_municipio_txt]))) as Nombre_Municipio
          ,proy.area_influencia
     ,proy.area_influencia_txt
  FROM  [MapaInversion].[BID_Base_Fichas_Proyectos_mip] proy
  inner join (Select * from (SELECT [id_geografico]
      ,[id_proyecto]
      ,[cod_snip]
      ,[id_proyecto_txt]
      ,[id_clageo]
      ,[area_influencia]
      ,[area_influencia_txt]
      ,case when [cod_region]='11' or [cod_region]='12'  then '00' 
          else [cod_region] end as [cod_region]
      ,[cod_region_txt]
      ,[cod_region_id]
      ,case   when [cod_region]='11' or [cod_region]='12'  then '00000' 
           when [cod_region]='01' and [cod_provincia]='00' then '1001' 
          when [cod_region]='01' and [cod_provincia]='01' then '25' 
           when [cod_region]='01' and [cod_provincia]='02' then '18' 
          when [cod_region]='01' and [cod_provincia]='03' then '09' 
         when [cod_region]='02' and [cod_provincia]='00' then '1002' 
          when [cod_region]='02' and [cod_provincia]='01' then '13' 
           when [cod_region]='02' and [cod_provincia]='02' then '28' 
          when [cod_region]='02' and [cod_provincia]='03' then '24' 
          when [cod_region]='03' and [cod_provincia]='00' then '1003' 
          when [cod_region]='03' and [cod_provincia]='01' then '06' 
           when [cod_region]='03' and [cod_provincia]='02' then '19' 
          when [cod_region]='03' and [cod_provincia]='03' then '14' 
            when [cod_region]='03' and [cod_provincia]='04' then '20' 
                          when [cod_region]='04' and [cod_provincia]='00' then '1004' 
          when [cod_region]='04' and [cod_provincia]='01' then '27' 
           when [cod_region]='04' and [cod_provincia]='02' then '26' 
          when [cod_region]='04' and [cod_provincia]='03' then '15' 
            when [cod_region]='04' and [cod_provincia]='04' then '05' 
                                  when [cod_region]='05' and [cod_provincia]='00' then '1005' 
          when [cod_region]='05' and [cod_provincia]='01' and cod_municipio != '00' then '21' 
           when [cod_region]='05' and [cod_provincia]='02' and cod_municipio not in ('00','04','05','06','08','07','09') then '17' 
          when [cod_region]='05' and [cod_provincia]='03' and cod_municipio != '00' then '31' 
            when [cod_region]='05' and [cod_provincia]='04' and cod_municipio != '00' then '02' 
        when [cod_region]='06' and [cod_provincia]='00' then '1006' 
          when [cod_region]='06' and [cod_provincia]='01' and cod_municipio != '00'  then '04' 
           when [cod_region]='06' and [cod_provincia]='02' and cod_municipio != '00'  then '03' 
          when [cod_region]='06' and [cod_provincia]='03' and cod_municipio not in ('00','03','04','05')  then '16' 
          when [cod_region]='06' and [cod_provincia]='04' and cod_municipio not in ('00','08','10','11','07','09')  then '10' 
        when [cod_region]='07' and [cod_provincia]='00' and [cod_municipio]='00' then '1007' 
        when [cod_region]='07' and [cod_provincia] = '02' and [cod_municipio] != '00' then [cod_provincia]
        when [cod_region]='07' and [cod_provincia] = '07' and [cod_municipio] != '00' then [cod_provincia]
        when [cod_region]='07' and [cod_provincia] = '22' and [cod_municipio] != '00' then [cod_provincia]
                 when [cod_region]='08' and [cod_provincia]='00' then '1008' 
          when [cod_region]='08' and [cod_provincia]='01'  then '12' 
           when [cod_region]='08' and [cod_provincia]='02'  then '11' 
             when [cod_region]='08' and [cod_provincia]='03'  then '08' 
                 when [cod_region]='09' and [cod_provincia]='00' then '1009' 
          when [cod_region]='09' and [cod_provincia]='01'  then '23' 
           when [cod_region]='09' and [cod_provincia]='02'  then '30' 
             when [cod_region]='09' and [cod_provincia]='03'  then '29' 
                 when [cod_region]='10' and [cod_provincia]='00'  then '1010' 
          when [cod_region]='10' and [cod_provincia]='01' then '01' 
           when [cod_region]='10' and [cod_provincia]='02'  then '32' 
          else [cod_provincia] end as [cod_provincia]
      ,[cod_provincia_txt]
      ,[cod_provincia_id]
      ,case   when [cod_region]='11' or [cod_region]='12' and ([cod_municipio]='00' or [cod_municipio]=99) then '00000' 
           when [cod_region]='01' and [cod_provincia]='00' and ([cod_municipio]='00' or [cod_municipio]=99) then '99901' 
          when [cod_region]='01' and [cod_provincia]='01' and ([cod_municipio]='00' or [cod_municipio]=99) then '25000' 
           when [cod_region]='01' and [cod_provincia]='02' and ([cod_municipio]='00' or [cod_municipio]=99) then '18000' 
          when [cod_region]='01' and [cod_provincia]='03' and ([cod_municipio]='00' or [cod_municipio]=99) then '09000' 
          when [cod_region]='01' and [cod_provincia]='01' and ([cod_municipio]='03' or [cod_municipio]=99) then '02' 
                    when [cod_region]='01' and [cod_provincia]='01' and ([cod_municipio]='04' or [cod_municipio]=99) then '03' 
         when [cod_region]='01' and [cod_provincia]='01' and ([cod_municipio]='05' or [cod_municipio]=99) then '04' 
                 when [cod_region]='01' and [cod_provincia]='01' and ([cod_municipio]='06' or [cod_municipio]=99) then '05' 
                                  when [cod_region]='01' and [cod_provincia]='01' and ([cod_municipio]='07' or [cod_municipio]=99) then '06' 
                                              when [cod_region]='01' and [cod_provincia]='01' and ([cod_municipio]='08' or [cod_municipio]=99) then '07'        
                                                 when [cod_region]='01' and [cod_provincia]='01' and ([cod_municipio]='09' or [cod_municipio]=99) then '08'        
                                                 when [cod_region]='01' and [cod_provincia]='01' and ([cod_municipio]='02' or [cod_municipio]=99) then '09'         
         when [cod_region]='02' and [cod_provincia]='00' and ([cod_municipio]='00' or [cod_municipio]=99) then '99902' 
          when [cod_region]='02' and [cod_provincia]='01' and ([cod_municipio]='00' or [cod_municipio]=99) then '13000' 
           when [cod_region]='02' and [cod_provincia]='02' and ([cod_municipio]='00' or [cod_municipio]=99) then '28000' 
          when [cod_region]='02' and [cod_provincia]='03' and ([cod_municipio]='00' or [cod_municipio]=99) then '24000' 
          when [cod_region]='03' and [cod_provincia]='00' and ([cod_municipio]='00' or [cod_municipio]=99) then '99903' 
          when [cod_region]='03' and [cod_provincia]='01' and ([cod_municipio]='00' or [cod_municipio]=99) then '06000' 
           when [cod_region]='03' and [cod_provincia]='02' and ([cod_municipio]='00' or [cod_municipio]=99) then '19000' 
          when [cod_region]='03' and [cod_provincia]='03' and ([cod_municipio]='00' or [cod_municipio]=99) then '14000' 
            when [cod_region]='03' and [cod_provincia]='04' and ([cod_municipio]='00' or [cod_municipio]=99)then '20000'
                 when [cod_region]='03' and [cod_provincia]='01' and ([cod_municipio]='05' or [cod_municipio]=99) then '04'  
                 when [cod_region]='03' and [cod_provincia]='01' and ([cod_municipio]='06' or [cod_municipio]=99) then '05'  
                  when [cod_region]='03' and [cod_provincia]='01' and ([cod_municipio]='07' or [cod_municipio]=99) then '06'  
                   when [cod_region]='03' and [cod_provincia]='01' and ([cod_municipio]='04' or [cod_municipio]=99) then '07'  
                          when [cod_region]='04' and [cod_provincia]='00' and ([cod_municipio]='00' or [cod_municipio]=99) then '99904' 
          when [cod_region]='04' and [cod_provincia]='01' and ([cod_municipio]='00' or [cod_municipio]=99) then '27000' 
           when [cod_region]='04' and [cod_provincia]='02' and ([cod_municipio]='00' or [cod_municipio]=99) then '26000' 
          when [cod_region]='04' and [cod_provincia]='03' and ([cod_municipio]='00' or [cod_municipio]=99) then '15000' 
            when [cod_region]='04' and [cod_provincia]='04' and ([cod_municipio]='00' or [cod_municipio]=99) then '05000' 
                   when [cod_region]='04' and [cod_provincia]='04' and ([cod_municipio]='04' or [cod_municipio]=99) then '03' 
                     when [cod_region]='04' and [cod_provincia]='04' and ([cod_municipio]='03' or [cod_municipio]=99) then '04' 
          when [cod_region]='05' and [cod_provincia]='00' and ([cod_municipio]='00' or [cod_municipio]=99) then '99905' 
                 when [cod_region]='05' and [cod_provincia]='04' and ([cod_municipio]='03' or [cod_municipio]=99) then '02' 
                 when [cod_region]='05' and [cod_provincia]='04' and ([cod_municipio]='04' or [cod_municipio]=99) then '03' 
                 when [cod_region]='05' and [cod_provincia]='04' and ([cod_municipio]='05' or [cod_municipio]=99) then '04' 
                 when [cod_region]='05' and [cod_provincia]='04' and ([cod_municipio]='06' or [cod_municipio]=99) then '05' 
                 when [cod_region]='05' and [cod_provincia]='04' and ([cod_municipio]='07' or [cod_municipio]=99) then '06' 
                 when [cod_region]='05' and [cod_provincia]='04' and ([cod_municipio]='10' or [cod_municipio]=99) then '07' 
                          when [cod_region]='05' and [cod_provincia]='04' and ([cod_municipio]='02' or [cod_municipio]=99) then '09' 
                 when [cod_region]='05' and [cod_provincia]='04' and ([cod_municipio]='09' or [cod_municipio]=99) then '10' 
                           when [cod_region]='05' and [cod_provincia]='01' and ([cod_municipio]='06' or [cod_municipio]=99) then '02' 
                 when [cod_region]='05' and [cod_provincia]='01' and ([cod_municipio]='02' or [cod_municipio]=99) then '03' 
                  when [cod_region]='05' and [cod_provincia]='01' and ([cod_municipio]='08' or [cod_municipio]=99) then '05' 
                 when [cod_region]='05' and [cod_provincia]='01' and ([cod_municipio]='07' or [cod_municipio]=99) then '06' 
                  when [cod_region]='05' and [cod_provincia]='01' and ([cod_municipio]='05' or [cod_municipio]=99) then '07' 
                 when [cod_region]='05' and [cod_provincia]='01' and ([cod_municipio]='03' or [cod_municipio]=99) then '08' 
                  when [cod_region]='06' and [cod_provincia]='00' and ([cod_municipio]='00' or [cod_municipio]=99) then '99906' 
                  when [cod_region]='06' and [cod_provincia]='02' and ([cod_municipio]='04' or [cod_municipio]=99) then '03' 
                    when [cod_region]='06' and [cod_provincia]='02' and ([cod_municipio]='05' or [cod_municipio]=99) then '04' 
                         when [cod_region]='06' and [cod_provincia]='02' and ([cod_municipio]='03' or [cod_municipio]=99) then '05' 
                          when [cod_region]='06' and [cod_provincia]='01' and ([cod_municipio]='05' or [cod_municipio]=99) then '04' 
                    when [cod_region]='06' and [cod_provincia]='01' and ([cod_municipio]='07' or [cod_municipio]=99) then '05' 
                         when [cod_region]='06' and [cod_provincia]='01' and ([cod_municipio]='08' or [cod_municipio]=99) then '06' 
                          when [cod_region]='06' and [cod_provincia]='01' and ([cod_municipio]='10' or [cod_municipio]=99) then '07' 
                    when [cod_region]='06' and [cod_provincia]='01' and ([cod_municipio]='09' or [cod_municipio]=99) then '08' 
                         when [cod_region]='06' and [cod_provincia]='01' and ([cod_municipio]='04' or [cod_municipio]=99) then '09' 
             when [cod_region]='06' and [cod_provincia]='01' and ([cod_municipio]='06' or [cod_municipio]=99) then '10' 
                         when [cod_region]='06' and [cod_provincia]='04' and ([cod_municipio]='05' or [cod_municipio]=99) then '04' 
                         when [cod_region]='06' and [cod_provincia]='04' and ([cod_municipio]='06' or [cod_municipio]=99) then '05' 
             when [cod_region]='06' and [cod_provincia]='04' and ([cod_municipio]='04' or [cod_municipio]=99) then '06' 
             when [cod_region]='06' and [cod_provincia]='04' and [cod_municipio]='08'  then concat([cod_region] ,cod_provincia,cod_municipio)
             when [cod_region]='06' and [cod_provincia]='04' and [cod_municipio]='11'  then concat([cod_region] ,cod_provincia,cod_municipio)
                        when [cod_region]='07' and [cod_provincia]='00' and ([cod_municipio]='00' or [cod_municipio]=99) then '99907' 
                        when [cod_region]='07' and [cod_provincia] IN ('02','07','22') and [cod_municipio]='00' then concat([cod_provincia],'000')
                        when [cod_region]='07' and [cod_provincia] = '02' then concat([cod_region] ,cod_provincia,cod_municipio)
                        when [cod_region]='07' and [cod_provincia] = '07' then concat([cod_region] ,cod_provincia,cod_municipio)
                        when [cod_region]='07' and [cod_provincia] = '22' then concat([cod_region] ,cod_provincia,cod_municipio)
                 when [cod_region]='08' and [cod_provincia]='00' and ([cod_municipio]='00' or [cod_municipio]=99) then '99908' 
          when [cod_region]='08' and [cod_provincia]='01' and ([cod_municipio]='00' or [cod_municipio]=99) then '12000' 
           when [cod_region]='08' and [cod_provincia]='02' and ([cod_municipio]='00' or [cod_municipio]=99) then '11000' 
             when [cod_region]='08' and [cod_provincia]='03' and ([cod_municipio]='00' or [cod_municipio]=99) then '08000' 
                 when [cod_region]='09' and [cod_provincia]='00' and ([cod_municipio]='00' or [cod_municipio]=99) then '99909' 
          when [cod_region]='09' and [cod_provincia]='01' and ([cod_municipio]='00' or [cod_municipio]=99) then '23000' 
           when [cod_region]='09' and [cod_provincia]='02' and ([cod_municipio]='00' or [cod_municipio]=99) then '30000' 
             when [cod_region]='09' and [cod_provincia]='03' and ([cod_municipio]='00' or [cod_municipio]=99) then '29000' 
                 when [cod_region]='10' and [cod_provincia]='00' and ([cod_municipio]='00' or [cod_municipio]=99)  then '99910' 
          when [cod_region]='10' and [cod_provincia]='01' and ([cod_municipio]='00' or [cod_municipio]=99)  then '01000' 
           when [cod_region]='10' and [cod_provincia]='01' and ([cod_municipio]='01' or [cod_municipio]=99)  then '100101' 
           when [cod_region]='10' and [cod_provincia]='02' and ([cod_municipio]='00' or [cod_municipio]=99) then '32000' 
           when [cod_municipio]= '00' then concat([cod_provincia],[cod_municipio],'0')
          else [cod_municipio] end as [cod_municipio]
      ,[cod_municipio_txt]
      ,[activo_clageo]
      ,[activo_clageo_txt]
      ,[porcentaje]
      ,[estado]
      ,[bandeja]
      ,[usu_ins]
      ,[fec_ins]
      ,[usu_upd]
      ,[fec_upd]
  FROM [MapaInversion].[BID_Base_ubicaciones_geograficas_mip])t) u
  on proy.[id_proyecto]=u.id_proyecto
inner join (Select * from [MapaInversion].[BID_Base_Fases_mip]  fase where costo_rd=(Select max(costo_rd) from [MapaInversion].[BID_Base_Fases_mip]  fase1 where fase.[id_proyecto]=fase1.[id_proyecto]))fase
on proy.[id_proyecto]=fase.[id_proyecto]
  inner join [MapaInversion].[BID_Base_presupuesto_mip] presupuesto
  on presupuesto.id_proyecto=proy.id_proyecto and fase.id_fase=presupuesto.id_fase and proy.cod_snip=presupuesto.cod_snip
  order by [cod_region], [cod_provincia],[cod_municipio]</t>
  </si>
  <si>
    <t>Diseño de la Encuesta para el Catastro Nacional y Desarrollo de Tecnología</t>
  </si>
  <si>
    <t>CREDITO EXTERNO</t>
  </si>
  <si>
    <t>FONDO PARA CREDITO EXTERNO</t>
  </si>
  <si>
    <t>Otros Bancos</t>
  </si>
  <si>
    <t>Otros servicios técnicos profesionales</t>
  </si>
  <si>
    <t>2.2.8.7.06</t>
  </si>
  <si>
    <t>35840000.00</t>
  </si>
  <si>
    <t>35,840,000.00</t>
  </si>
  <si>
    <t>P</t>
  </si>
  <si>
    <t>Priorización</t>
  </si>
  <si>
    <t>Periodo de la linea presupuestal</t>
  </si>
  <si>
    <t>Equipos de cómputo</t>
  </si>
  <si>
    <t>2.6.1.3.01</t>
  </si>
  <si>
    <t>9820000.00</t>
  </si>
  <si>
    <t>9,820,000.00</t>
  </si>
  <si>
    <t>Identificador de la institucion</t>
  </si>
  <si>
    <t>Material para limpieza</t>
  </si>
  <si>
    <t>2.3.9.1.01</t>
  </si>
  <si>
    <t>1227500.00</t>
  </si>
  <si>
    <t>1,227,500.00</t>
  </si>
  <si>
    <t>Descripción de la institucion</t>
  </si>
  <si>
    <t>Programas de informática</t>
  </si>
  <si>
    <t>2.6.8.3.01</t>
  </si>
  <si>
    <t>14730000.00</t>
  </si>
  <si>
    <t>14,730,000.00</t>
  </si>
  <si>
    <t>Siglas de la institucion</t>
  </si>
  <si>
    <t>Alquilleres y rentas de edificios y locales</t>
  </si>
  <si>
    <t>2.2.5.1.01</t>
  </si>
  <si>
    <t>Muebles de oficina y estantería</t>
  </si>
  <si>
    <t>2.6.1.1.01</t>
  </si>
  <si>
    <t>12275000.00</t>
  </si>
  <si>
    <t>12,275,000.00</t>
  </si>
  <si>
    <t>Descripción del proyecto asociado</t>
  </si>
  <si>
    <t>Obras para edificación no residencial</t>
  </si>
  <si>
    <t>2.7.1.2.01</t>
  </si>
  <si>
    <t>73650000.00</t>
  </si>
  <si>
    <t>73,650,000.00</t>
  </si>
  <si>
    <t>Identificador del proyecto de inversión</t>
  </si>
  <si>
    <t>Alquiler de equipo educacional</t>
  </si>
  <si>
    <t>2.2.5.3.01</t>
  </si>
  <si>
    <t>4910000.00</t>
  </si>
  <si>
    <t>4,910,000.00</t>
  </si>
  <si>
    <t>Alquileres de equipos de transporte, tracción y elevación</t>
  </si>
  <si>
    <t>2.2.5.4.01</t>
  </si>
  <si>
    <t>2455000.00</t>
  </si>
  <si>
    <t>2,455,000.00</t>
  </si>
  <si>
    <t>identificador del componente</t>
  </si>
  <si>
    <t>Otros alquileres</t>
  </si>
  <si>
    <t>2.2.5.8.01</t>
  </si>
  <si>
    <t>Identificador de la Fuente Genera</t>
  </si>
  <si>
    <t>Descripción de la Fuente Genera</t>
  </si>
  <si>
    <t>Código de la Fuente General</t>
  </si>
  <si>
    <t>Identificador de la Fuente Específica</t>
  </si>
  <si>
    <t>Descripción de la Fuente Específica</t>
  </si>
  <si>
    <t xml:space="preserve"> Extraccion Query For FinancialAdvance or Progress of the Project</t>
  </si>
  <si>
    <t>Código de la Fuente Específica</t>
  </si>
  <si>
    <t>SELECT           left(proy.[cod_snip],15) as Codigo_BPIN,
      proy.id_proyecto
      ,([vigente]) Vigente
      ,([ejecutado]) Ejecutado
          ,([ejecutado]) /NULLIF((fase.costo_rd), 0)*100 AvanceFinanciero
  FROM  [MapaInversion].[BID_Base_Fichas_Proyectos_mip] proy
    inner join [MapaInversion].[BID_Base_Fases_mip] fase on fase.id_proyecto=proy.id_proyecto 
    inner join ( select id_proyecto
                                                ,id_fase
                                                ,cod_snip
                                                , sum(vigente) vigente
                                                , sum(ejecutado) ejecutado 
                                 from [MapaInversion].[BID_Base_presupuesto_mip]
                                 group by id_proyecto,id_fase,cod_snip) pre on pre.id_proyecto=proy.id_proyecto and fase.id_fase=pre.id_fase and proy.cod_snip=pre.cod_snip</t>
  </si>
  <si>
    <t>Identificador del Organismo Financiador</t>
  </si>
  <si>
    <t>Descripción del Organismo Financiador</t>
  </si>
  <si>
    <t>Código del Organismo Financiador</t>
  </si>
  <si>
    <t>Idenfiticador del Objeto de Gasto</t>
  </si>
  <si>
    <t>Despcripcion del Objeto de gasto</t>
  </si>
  <si>
    <t>Codigo del obbjeto de gasto</t>
  </si>
  <si>
    <t>Valor Inicial Programado para el proyecto</t>
  </si>
  <si>
    <t xml:space="preserve"> Extraccion Query For Complete budget for Financial Advance of the Project</t>
  </si>
  <si>
    <r>
      <rPr>
        <rFont val="Arial"/>
        <color theme="1"/>
      </rPr>
      <t>V</t>
    </r>
    <r>
      <rPr>
        <rFont val="Arial"/>
        <color theme="1"/>
        <sz val="11.0"/>
      </rPr>
      <t>alor Inicial Programado para el proyecto en texto</t>
    </r>
  </si>
  <si>
    <t>SELECT DISTINCT presupuesto.periodo
	,proy.[cod_snip] as Codigo_BPIN
	,proy.[id_proyecto] as Id_Proyecto 
	,[costo_total] as Valor_Aprobado
	, [id_fte_esp] as Id_Tipo_Recurso 
	,[id_fte_esp_txt] AS Nombre_Tipo_Recurso
	,[id_institucion] AS Id_Entidad
	,[id_institucion_txt] AS Nombre_Entidad
	,[id_org_fin_cod] AS Id_Tipo_Entidad
	,[id_org_fin_txt] Nombre_Tipo_Entidad
	,[id_componente] 
      ,[id_componente_txt]
	,dense_rank() OVER (ORDER BY fase.fase) AS Id_Fase
	,fase.fase_txt as Fase
	,SUM([vigente]) Vigente
	,SUM([ejecutado]) Ejecutado
FROM  [MapaInversion].[BID_Base_Fichas_Proyectos_mip] proy
inner join [MapaInversion].[BID_Base_Fases_mip] fase
	on fase.id_proyecto=proy.id_proyecto 
inner join [MapaInversion].[BID_Base_presupuesto_mip] presupuesto
	on presupuesto.id_proyecto=proy.id_proyecto 
	and fase.id_fase=presupuesto.id_fase 
	and proy.cod_snip=presupuesto.cod_snip
group by presupuesto.periodo
	,proy.[cod_snip] 
	,proy.[id_proyecto]
	,[costo_total] 
	, [id_fte_esp]
	,[id_fte_esp_txt] 
	,[id_institucion]
	,[id_institucion_txt]
	,[id_org_fin_cod] 
	,[id_org_fin_txt],fase.fase,fase.fase_txt
	,[id_componente] 
      ,[id_componente_txt]</t>
  </si>
  <si>
    <t>Valor Inical Aprobado para el proyecto</t>
  </si>
  <si>
    <t>Valor Inical Aprobado para el proyecto en texto</t>
  </si>
  <si>
    <t xml:space="preserve">Valor de aumento para el proyecto </t>
  </si>
  <si>
    <t>Valor de aumento para el proyecto en texto</t>
  </si>
  <si>
    <t>Valor de disminucion para el proyecto</t>
  </si>
  <si>
    <t>Valor de disminucion para el proyecto en texto</t>
  </si>
  <si>
    <t>Valor Vigente del Proyecto (RD$)</t>
  </si>
  <si>
    <t>Valor Vigente del Proyecto(RD$) en texto</t>
  </si>
  <si>
    <t>Valor ejecutado del Proyecto</t>
  </si>
  <si>
    <t>Valor ejecutado del Proyecto en texto</t>
  </si>
  <si>
    <t>Valor ejecutado del  proyecto en el primer trimestre</t>
  </si>
  <si>
    <t>Valor ejecutado del  proyecto en el primer trimestre en texto</t>
  </si>
  <si>
    <t>Valor ejecutado del  proyecto en el segundo trimestre</t>
  </si>
  <si>
    <t>Valor ejecutado del  proyecto en el segundo trimestre en texto</t>
  </si>
  <si>
    <t>Valor ejecutado del  proyecto en el tercer trimestre</t>
  </si>
  <si>
    <t>Valor ejecutado del  proyecto en el tercer trimestre en texto</t>
  </si>
  <si>
    <t>Valor ejecutado del  proyecto en el cuarto trimestre</t>
  </si>
  <si>
    <t>Valor ejecutado del  proyecto en el cuarto trimestre en texto</t>
  </si>
  <si>
    <t>Origen del Proyecto (P= Priorizacion)</t>
  </si>
  <si>
    <t>Identificador del Presupuesto (Por revisar)</t>
  </si>
  <si>
    <t>[MapaInversion].[BID_Base_proeje_fisica_mip]</t>
  </si>
  <si>
    <t>Proyectos con Avance físico</t>
  </si>
  <si>
    <t xml:space="preserve"> Extraccion Query For Phisical Advance of the Project </t>
  </si>
  <si>
    <t>id_pefisica</t>
  </si>
  <si>
    <t>id_documento</t>
  </si>
  <si>
    <t>id_cla_producto</t>
  </si>
  <si>
    <t>trimestre</t>
  </si>
  <si>
    <t>enero</t>
  </si>
  <si>
    <t>enero_txt</t>
  </si>
  <si>
    <t>febrero</t>
  </si>
  <si>
    <t>febrero_txt</t>
  </si>
  <si>
    <t>marzo</t>
  </si>
  <si>
    <t>marzo_txt</t>
  </si>
  <si>
    <t>abril</t>
  </si>
  <si>
    <t>abril_txt</t>
  </si>
  <si>
    <t>mayo</t>
  </si>
  <si>
    <t>mayo_txt</t>
  </si>
  <si>
    <t>junio</t>
  </si>
  <si>
    <t>junio_txt</t>
  </si>
  <si>
    <t>julio</t>
  </si>
  <si>
    <t>julio_txt</t>
  </si>
  <si>
    <t>agosto</t>
  </si>
  <si>
    <t>agosto_txt</t>
  </si>
  <si>
    <t>septiembre</t>
  </si>
  <si>
    <t>septiembre_txt</t>
  </si>
  <si>
    <t>octubre</t>
  </si>
  <si>
    <t>octubre_txt</t>
  </si>
  <si>
    <t>noviembre</t>
  </si>
  <si>
    <t>noviembre_txt</t>
  </si>
  <si>
    <t>diciembre</t>
  </si>
  <si>
    <t>diciembre_txt</t>
  </si>
  <si>
    <t>Identificador unico de la Ejecucion Fisica</t>
  </si>
  <si>
    <t>SELECT  
      proy.[id_proyecto]
          ,proy.cod_snip as  Codigo_BPIN
          ,dense_rank() OVER (ORDER BY proy.descripcion) AS Id_Objetivo_Especifico
           ,cast(ltrim(rtrim(replace(replace(replace(replace(replace(replace(replace(replace(replace(replace(Replace(replace(replace(proy.descripcion,'“',''),'”',''),'"',''),':',''),Char(9),''),Char(10),''),Char(13),''),'/',''),'\',''),'°',''),'º',''),'+',''),'=',''))) as varchar(4000))
         AS Nombre_Objetivo_Especifico
          ,dense_rank() OVER (ORDER BY fase.fase) AS Id_Fase
          ,fase.fase_txt as Fase
  ,cast(concat(cfisico.id_producto,cfisico.id_componente) as int) as [Id_Actividad]
          ,(case when cfisico.id_componente=0 then proy.nombre COLLATE DATABASE_DEFAULT
          else cfisico.[id_componente_txt] end ) as           Componente
    ,cfisico.Id_Producto
      ,upper(cfisico.[id_producto_txt]) Producto
      ,cfisico.[id_um]
      ,cfisico.[id_um_txt]
      ,cfisico.[meta] meta_programada
          ,isnull(sum(efisico.total),0) meta_ejecutado
          ,isnull(sum(efisico.total)/NULLIF(cfisico.[meta],0)*100,0) avanceFisico
  FROM [MapaInversion].[BID_Base_Fichas_Proyectos_mip] proy
    inner join [MapaInversion].[BID_Base_Fases_mip] fase
        on fase.id_proyecto=proy.id_proyecto 
  inner join 
  [MapaInversion].[BID_Base_cronogramas_proyecto_fisico_mip] cfisico
  on cfisico.id_proyecto=fase.id_proyecto and cfisico.id_fase=fase.id_fase
  LEFT join (    Select efisico.id_cronograma,efisico.id_fase,efisico.id_proyecto,efisico.periodo,efisico.id_producto,efisico.id_componente,efisico.id_um,efisico.trimestre,meta, total
  ,efisico.id_proyecto_txt,efisico.fase_txt
  from  [MapaInversion].[BID_Base_proeje_fisica_mip] efisico
  inner join (select max(trimestre) as trimestre,periodo,id_proyecto,id_componente,id_producto from  [MapaInversion].[BID_Base_proeje_fisica_mip]
  group by id_proyecto,periodo,id_componente,id_producto,id_proyecto_txt)Tmax
  on tmax.trimestre=efisico.trimestre and Tmax.id_proyecto=efisico.id_proyecto and Tmax.id_componente=efisico.id_componente and Tmax.id_producto=efisico.id_producto
  and tmax.periodo=efisico.periodo
 -- order by id_proyecto
) efisico
  on cfisico.id_proyecto=efisico.id_proyecto and cfisico.id_fase=efisico.id_fase and cfisico.id_componente=efisico.id_componente and cfisico.[id_cronograma]=efisico.[id_cronograma]
  group by  proy.[id_proyecto]
      ,cfisico.[id_componente]
      ,cfisico.[id_componente_txt] 
      ,cfisico.[id_producto]
      ,cfisico.[id_producto_txt]
      ,cfisico.[id_um]
      ,cfisico.[id_um_txt],cfisico.[meta],proy.nombre,           fase.id_fase
          ,fase.fase_txt,fase.fase, proy.descripcion,          proy.cod_snip
          order by id_proyecto
  --where id_proyecto=10</t>
  </si>
  <si>
    <t>Vivienda Construida</t>
  </si>
  <si>
    <t>Unidades</t>
  </si>
  <si>
    <t>Distribución fisica Por Proyecto</t>
  </si>
  <si>
    <t>200.00</t>
  </si>
  <si>
    <t>16.00</t>
  </si>
  <si>
    <t>CONSTRUCCIÓN DE 200  VIVIENDAS EN EL MUNICIPIO SAN FERNANDO DE MONTECRISTI, PROVINCIA MONTECRISTI</t>
  </si>
  <si>
    <t>Identificador del documento (Por revisar)</t>
  </si>
  <si>
    <t>250.00</t>
  </si>
  <si>
    <t>30.00</t>
  </si>
  <si>
    <t>CONSTRUCCIÓN DE 250 VIVIENDAS EN EL MUNICIPIO SAN FELIPE DE PUERTO PLATA, PROVINCIA PUERTO PLATA</t>
  </si>
  <si>
    <t>Periodo o Año de Reporte</t>
  </si>
  <si>
    <t>400.00</t>
  </si>
  <si>
    <t>33.00</t>
  </si>
  <si>
    <t>37.00</t>
  </si>
  <si>
    <t>CONSTRUCCIÓN DE 400 VIVIENDAS EN LA PROVINCIA SANTO DOMINGO</t>
  </si>
  <si>
    <t>25.00</t>
  </si>
  <si>
    <t>CONSTRUCCIÓN DE 250 VIVIENDAS EN LA PROVINCIA SAN CRISTOBAL</t>
  </si>
  <si>
    <t>CONSTRUCCIÓN  DE 200 VIVIENDAS EN LA PROVINCIA SANTIAGO RODRÍGUEZ</t>
  </si>
  <si>
    <t>Identificador del producto cla (Por revisar)</t>
  </si>
  <si>
    <t>CONSTRUCCIÓN DE 250 VIVIENDAS EN LA PROVINCIA SAN PEDRO DE MACORÍS</t>
  </si>
  <si>
    <t>Sistemas de Riego Instalados</t>
  </si>
  <si>
    <t>Hectareas</t>
  </si>
  <si>
    <t>7015.00</t>
  </si>
  <si>
    <t>7,015.00</t>
  </si>
  <si>
    <t>350.58</t>
  </si>
  <si>
    <t>500.58</t>
  </si>
  <si>
    <t>2558.62</t>
  </si>
  <si>
    <t>2,558.62</t>
  </si>
  <si>
    <t>CONSTRUCCIÓN SISTEMA DE RIEGO AZUA II-PUEBLO VIEJO, PROVINCIA AZUA</t>
  </si>
  <si>
    <t>Identificador de la unidad de medida del producto</t>
  </si>
  <si>
    <t>Hospitales Remodelados</t>
  </si>
  <si>
    <t>Metros Cuadrados</t>
  </si>
  <si>
    <t>7729.00</t>
  </si>
  <si>
    <t>7,729.00</t>
  </si>
  <si>
    <t>RECONSTRUCCIÓN HOSPITAL JOSE MARIA CABRAL Y BAEZ, SANTIAGO, PROVINCIA SANTIAGO</t>
  </si>
  <si>
    <t>Descripción de la unidad de medida</t>
  </si>
  <si>
    <t>Transportes Aéreos por Cable Construidos</t>
  </si>
  <si>
    <t>Metros lineales</t>
  </si>
  <si>
    <t>4950.00</t>
  </si>
  <si>
    <t>4,950.00</t>
  </si>
  <si>
    <t>1200.00</t>
  </si>
  <si>
    <t>1,200.00</t>
  </si>
  <si>
    <t>1000.00</t>
  </si>
  <si>
    <t>1,000.00</t>
  </si>
  <si>
    <t>1750.00</t>
  </si>
  <si>
    <t>1,750.00</t>
  </si>
  <si>
    <t>CONSTRUCCIÓN PRIMERA LINEA DEL TELEFÉRICO DE SANTO DOMINGO, PROV. SANTO DOMINGO</t>
  </si>
  <si>
    <t>Centros de Servicio Construidos</t>
  </si>
  <si>
    <t>12578.00</t>
  </si>
  <si>
    <t>12,578.00</t>
  </si>
  <si>
    <t>1048.16</t>
  </si>
  <si>
    <t>1,048.16</t>
  </si>
  <si>
    <t>1048.24</t>
  </si>
  <si>
    <t>1,048.24</t>
  </si>
  <si>
    <t>CONSTRUCCIÓN CENTRO MODELO DE PRESTACIÓN DE SERVICIOS PARA MUJERES (CIUDAD MUJER)</t>
  </si>
  <si>
    <t xml:space="preserve">Trimestre </t>
  </si>
  <si>
    <t xml:space="preserve">Meta definida </t>
  </si>
  <si>
    <t>Meta definida en texto</t>
  </si>
  <si>
    <t>Meta reportada para enero</t>
  </si>
  <si>
    <t>Meta reportada para enero en texto</t>
  </si>
  <si>
    <t>Meta reportada para Febrero</t>
  </si>
  <si>
    <t>Meta reportada para Febrero en Texto</t>
  </si>
  <si>
    <t>Meta reportada para Marzo</t>
  </si>
  <si>
    <t>Meta reportada para Marzo en Texto</t>
  </si>
  <si>
    <t>Meta reportada para Abril</t>
  </si>
  <si>
    <t>Meta reportada para Abril en Texto</t>
  </si>
  <si>
    <t>Meta reportada para Mayo</t>
  </si>
  <si>
    <t>Meta reportada para Mayo en Texto</t>
  </si>
  <si>
    <t>Meta reportada para Junio</t>
  </si>
  <si>
    <t>Meta reportada para Junio en Texto</t>
  </si>
  <si>
    <t>Meta reportada para Julio</t>
  </si>
  <si>
    <t>Meta reportada para Julio en Texto</t>
  </si>
  <si>
    <t>Meta reportada para Agosto</t>
  </si>
  <si>
    <t>Meta reportada para Agosto en Texto</t>
  </si>
  <si>
    <t>Meta reportada para Septiembre</t>
  </si>
  <si>
    <t>Meta reportada para Septiebre en Texto</t>
  </si>
  <si>
    <t>Meta reportada para Octubre</t>
  </si>
  <si>
    <t>Meta reportada para Octubre en texto</t>
  </si>
  <si>
    <t>Meta reportada para Noviembre</t>
  </si>
  <si>
    <t>Meta reportada para Noviembre en texto</t>
  </si>
  <si>
    <t>Meta reportada para Diciembre</t>
  </si>
  <si>
    <t>Meta reportada para Diciembre en texto</t>
  </si>
  <si>
    <t>Meta Total</t>
  </si>
  <si>
    <t>Meta Total en texto</t>
  </si>
  <si>
    <t>Descripción del proyecto de inversión</t>
  </si>
  <si>
    <t>Identificador de ela fase del proyecto</t>
  </si>
  <si>
    <t>Fase del proyecto en texto</t>
  </si>
  <si>
    <t>Indica si es un subproyecto (N=NO)</t>
  </si>
  <si>
    <t>[MapaInversion].[BID_Base_ubicaciones_geograficas_mip]</t>
  </si>
  <si>
    <t>Ubicación geográfica de los proyectos de inversión</t>
  </si>
  <si>
    <t xml:space="preserve"> Extraccion Query For Geografical Information of the project</t>
  </si>
  <si>
    <t>id_geografico</t>
  </si>
  <si>
    <t>id_clageo</t>
  </si>
  <si>
    <t>cod_region</t>
  </si>
  <si>
    <t>cod_region_txt</t>
  </si>
  <si>
    <t>cod_region_id</t>
  </si>
  <si>
    <t>cod_provincia</t>
  </si>
  <si>
    <t>cod_provincia_txt</t>
  </si>
  <si>
    <t>cod_provincia_id</t>
  </si>
  <si>
    <t>cod_municipio</t>
  </si>
  <si>
    <t>cod_municipio_txt</t>
  </si>
  <si>
    <t>activo_clageo</t>
  </si>
  <si>
    <t>activo_clageo_txt</t>
  </si>
  <si>
    <t>porcentaje</t>
  </si>
  <si>
    <t>Identificador geografico del proyecto</t>
  </si>
  <si>
    <t>SELECT  p.[cod_snip] as Codigo_BPIN,
p.[id_proyecto] as Id_Proyecto 
      ,[costo_total] as Valor_Aprobado
     , [cod_region]  as Id_Region
	      ,[cod_region_id]
	  ,RTRIM(LTRIM([cod_region_txt])) as Nombre_Region
      ,[cod_provincia] as Id_Departamento
	   ,[cod_provincia_id] 
      ,RTRIM(LTRIM([cod_provincia_txt]))  as Nombre_Departamento
         ,[cod_municipio] as Id_Municipio
      ,RTRIM(LTRIM(UPPER([cod_municipio_txt]))) as Nombre_Municipio
	 ,p.area_influencia
    ,p.area_influencia_txt
  FROM [MapaInversion].[BID_Base_Fichas_Proyectos_mip] p
  inner join (Select * from (SELECT [id_geografico]
      ,[id_proyecto]
      ,[cod_snip]
      ,[id_proyecto_txt]
      ,[id_clageo]
      ,[area_influencia]
      ,[area_influencia_txt]
      ,case when [cod_region]='11' or [cod_region]='12'  then '00' 
	  else [cod_region] end as [cod_region]
      ,[cod_region_txt]
      ,[cod_region_id]
      ,case   when [cod_region]='11' or [cod_region]='12'  then '00000' 
	   when [cod_region]='01' and [cod_provincia]='00' then '1001' 
	  when [cod_region]='01' and [cod_provincia]='01' then '25' 
	   when [cod_region]='01' and [cod_provincia]='02' then '18' 
	  when [cod_region]='01' and [cod_provincia]='03' then '09' 
	 when [cod_region]='02' and [cod_provincia]='00' then '1002' 
	  when [cod_region]='02' and [cod_provincia]='01' then '13' 
	   when [cod_region]='02' and [cod_provincia]='02' then '28' 
	  when [cod_region]='02' and [cod_provincia]='03' then '24' 
	  when [cod_region]='03' and [cod_provincia]='00' then '1003' 
	  when [cod_region]='03' and [cod_provincia]='01' then '06' 
	   when [cod_region]='03' and [cod_provincia]='02' then '19' 
	  when [cod_region]='03' and [cod_provincia]='03' then '14' 
	    when [cod_region]='03' and [cod_provincia]='04' then '20' 
			  when [cod_region]='04' and [cod_provincia]='00' then '1004' 
	  when [cod_region]='04' and [cod_provincia]='01' then '27' 
	   when [cod_region]='04' and [cod_provincia]='02' then '26' 
	  when [cod_region]='04' and [cod_provincia]='03' then '15' 
	    when [cod_region]='04' and [cod_provincia]='04' then '05' 
				  when [cod_region]='05' and [cod_provincia]='00' then '1005' 
	  when [cod_region]='05' and [cod_provincia]='01' and cod_municipio != '00' then '21' 
	   when [cod_region]='05' and [cod_provincia]='02' and cod_municipio not in ('00','04','05','06','08','07','09') then '17' 
	  when [cod_region]='05' and [cod_provincia]='03' and cod_municipio != '00' then '31' 
	    when [cod_region]='05' and [cod_provincia]='04' and cod_municipio != '00' then '02' 
	when [cod_region]='06' and [cod_provincia]='00' then '1006' 
	  when [cod_region]='06' and [cod_provincia]='01' and cod_municipio != '00'  then '04' 
	   when [cod_region]='06' and [cod_provincia]='02' and cod_municipio != '00'  then '03' 
	  when [cod_region]='06' and [cod_provincia]='03' and cod_municipio not in ('00','03','04','05')  then '16' 
                  when [cod_region]='06' and [cod_provincia]='04' and cod_municipio not in ('00','08','10','11','07','09')  then '10' 
	when [cod_region]='07' and [cod_provincia]='00' and [cod_municipio]='00' then '1007' 
	when [cod_region]='07' and [cod_provincia] = '02' and [cod_municipio] != '00' then [cod_provincia]
	when [cod_region]='07' and [cod_provincia] = '07' and [cod_municipio] != '00' then [cod_provincia]
	when [cod_region]='07' and [cod_provincia] = '22' and [cod_municipio] != '00' then [cod_provincia]
		 when [cod_region]='08' and [cod_provincia]='00' then '1008' 
	  when [cod_region]='08' and [cod_provincia]='01'  then '12' 
	   when [cod_region]='08' and [cod_provincia]='02'  then '11' 
	     when [cod_region]='08' and [cod_provincia]='03'  then '08' 
		 when [cod_region]='09' and [cod_provincia]='00' then '1009' 
	  when [cod_region]='09' and [cod_provincia]='01'  then '23' 
	   when [cod_region]='09' and [cod_provincia]='02'  then '30' 
	     when [cod_region]='09' and [cod_provincia]='03'  then '29' 
		 when [cod_region]='10' and [cod_provincia]='00'  then '1010' 
	  when [cod_region]='10' and [cod_provincia]='01' then '01' 
	   when [cod_region]='10' and [cod_provincia]='02'  then '32' 
	  else [cod_provincia] end as [cod_provincia]
      ,[cod_provincia_txt]
      ,[cod_provincia_id]
      ,case   when [cod_region]='11' or [cod_region]='12' and ([cod_municipio]='00' or [cod_municipio]=99) then '00000' 
	   when [cod_region]='01' and [cod_provincia]='00' and ([cod_municipio]='00' or [cod_municipio]=99) then '99901' 
	  when [cod_region]='01' and [cod_provincia]='01' and ([cod_municipio]='00' or [cod_municipio]=99) then '25000' 
	   when [cod_region]='01' and [cod_provincia]='02' and ([cod_municipio]='00' or [cod_municipio]=99) then '18000' 
	  when [cod_region]='01' and [cod_provincia]='03' and ([cod_municipio]='00' or [cod_municipio]=99) then '09000' 
	  when [cod_region]='01' and [cod_provincia]='01' and ([cod_municipio]='03' or [cod_municipio]=99) then '02' 
	  	  when [cod_region]='01' and [cod_provincia]='01' and ([cod_municipio]='04' or [cod_municipio]=99) then '03' 
	 when [cod_region]='01' and [cod_provincia]='01' and ([cod_municipio]='05' or [cod_municipio]=99) then '04' 
		 when [cod_region]='01' and [cod_provincia]='01' and ([cod_municipio]='06' or [cod_municipio]=99) then '05' 
		 		 when [cod_region]='01' and [cod_provincia]='01' and ([cod_municipio]='07' or [cod_municipio]=99) then '06' 
		    	 		 when [cod_region]='01' and [cod_provincia]='01' and ([cod_municipio]='08' or [cod_municipio]=99) then '07'	
						 when [cod_region]='01' and [cod_provincia]='01' and ([cod_municipio]='09' or [cod_municipio]=99) then '08'	
						 when [cod_region]='01' and [cod_provincia]='01' and ([cod_municipio]='02' or [cod_municipio]=99) then '09'	 
	 when [cod_region]='02' and [cod_provincia]='00' and ([cod_municipio]='00' or [cod_municipio]=99) then '99902' 
	  when [cod_region]='02' and [cod_provincia]='01' and ([cod_municipio]='00' or [cod_municipio]=99) then '13000' 
	   when [cod_region]='02' and [cod_provincia]='02' and ([cod_municipio]='00' or [cod_municipio]=99) then '28000' 
	  when [cod_region]='02' and [cod_provincia]='03' and ([cod_municipio]='00' or [cod_municipio]=99) then '24000' 
	  when [cod_region]='03' and [cod_provincia]='00' and ([cod_municipio]='00' or [cod_municipio]=99) then '99903' 
	  when [cod_region]='03' and [cod_provincia]='01' and ([cod_municipio]='00' or [cod_municipio]=99) then '06000' 
	   when [cod_region]='03' and [cod_provincia]='02' and ([cod_municipio]='00' or [cod_municipio]=99) then '19000' 
	  when [cod_region]='03' and [cod_provincia]='03' and ([cod_municipio]='00' or [cod_municipio]=99) then '14000' 
	    when [cod_region]='03' and [cod_provincia]='04' and ([cod_municipio]='00' or [cod_municipio]=99)then '20000'
		 when [cod_region]='03' and [cod_provincia]='01' and ([cod_municipio]='05' or [cod_municipio]=99) then '04'  
		 when [cod_region]='03' and [cod_provincia]='01' and ([cod_municipio]='06' or [cod_municipio]=99) then '05'  
		  when [cod_region]='03' and [cod_provincia]='01' and ([cod_municipio]='07' or [cod_municipio]=99) then '06'  
		   when [cod_region]='03' and [cod_provincia]='01' and ([cod_municipio]='04' or [cod_municipio]=99) then '07'  
			  when [cod_region]='04' and [cod_provincia]='00' and ([cod_municipio]='00' or [cod_municipio]=99) then '99904' 
	  when [cod_region]='04' and [cod_provincia]='01' and ([cod_municipio]='00' or [cod_municipio]=99) then '27000' 
	   when [cod_region]='04' and [cod_provincia]='02' and ([cod_municipio]='00' or [cod_municipio]=99) then '26000' 
	  when [cod_region]='04' and [cod_provincia]='03' and ([cod_municipio]='00' or [cod_municipio]=99) then '15000' 
	    when [cod_region]='04' and [cod_provincia]='04' and ([cod_municipio]='00' or [cod_municipio]=99) then '05000' 
		   when [cod_region]='04' and [cod_provincia]='04' and ([cod_municipio]='04' or [cod_municipio]=99) then '03' 
		     when [cod_region]='04' and [cod_provincia]='04' and ([cod_municipio]='03' or [cod_municipio]=99) then '04' 
	  when [cod_region]='05' and [cod_provincia]='00' and ([cod_municipio]='00' or [cod_municipio]=99) then '99905' 
		 when [cod_region]='05' and [cod_provincia]='04' and ([cod_municipio]='03' or [cod_municipio]=99) then '02' 
		 when [cod_region]='05' and [cod_provincia]='04' and ([cod_municipio]='04' or [cod_municipio]=99) then '03' 
		 when [cod_region]='05' and [cod_provincia]='04' and ([cod_municipio]='05' or [cod_municipio]=99) then '04' 
		 when [cod_region]='05' and [cod_provincia]='04' and ([cod_municipio]='06' or [cod_municipio]=99) then '05' 
		 when [cod_region]='05' and [cod_provincia]='04' and ([cod_municipio]='07' or [cod_municipio]=99) then '06' 
		 when [cod_region]='05' and [cod_provincia]='04' and ([cod_municipio]='10' or [cod_municipio]=99) then '07' 
		 	 when [cod_region]='05' and [cod_provincia]='04' and ([cod_municipio]='02' or [cod_municipio]=99) then '09' 
		 when [cod_region]='05' and [cod_provincia]='04' and ([cod_municipio]='09' or [cod_municipio]=99) then '10' 
		  	 when [cod_region]='05' and [cod_provincia]='01' and ([cod_municipio]='06' or [cod_municipio]=99) then '02' 
		 when [cod_region]='05' and [cod_provincia]='01' and ([cod_municipio]='02' or [cod_municipio]=99) then '03' 
		  when [cod_region]='05' and [cod_provincia]='01' and ([cod_municipio]='08' or [cod_municipio]=99) then '05' 
		 when [cod_region]='05' and [cod_provincia]='01' and ([cod_municipio]='07' or [cod_municipio]=99) then '06' 
		  when [cod_region]='05' and [cod_provincia]='01' and ([cod_municipio]='05' or [cod_municipio]=99) then '07' 
		 when [cod_region]='05' and [cod_provincia]='01' and ([cod_municipio]='03' or [cod_municipio]=99) then '08' 
		  when [cod_region]='06' and [cod_provincia]='00' and ([cod_municipio]='00' or [cod_municipio]=99) then '99906' 
		  when [cod_region]='06' and [cod_provincia]='02' and ([cod_municipio]='04' or [cod_municipio]=99) then '03' 
		    when [cod_region]='06' and [cod_provincia]='02' and ([cod_municipio]='05' or [cod_municipio]=99) then '04' 
			 when [cod_region]='06' and [cod_provincia]='02' and ([cod_municipio]='03' or [cod_municipio]=99) then '05' 
			  when [cod_region]='06' and [cod_provincia]='01' and ([cod_municipio]='05' or [cod_municipio]=99) then '04' 
		    when [cod_region]='06' and [cod_provincia]='01' and ([cod_municipio]='07' or [cod_municipio]=99) then '05' 
			 when [cod_region]='06' and [cod_provincia]='01' and ([cod_municipio]='08' or [cod_municipio]=99) then '06' 
			  when [cod_region]='06' and [cod_provincia]='01' and ([cod_municipio]='10' or [cod_municipio]=99) then '07' 
		    when [cod_region]='06' and [cod_provincia]='01' and ([cod_municipio]='09' or [cod_municipio]=99) then '08' 
			 when [cod_region]='06' and [cod_provincia]='01' and ([cod_municipio]='04' or [cod_municipio]=99) then '09' 
             when [cod_region]='06' and [cod_provincia]='01' and ([cod_municipio]='06' or [cod_municipio]=99) then '10' 
			 when [cod_region]='06' and [cod_provincia]='04' and ([cod_municipio]='05' or [cod_municipio]=99) then '04' 
			 when [cod_region]='06' and [cod_provincia]='04' and ([cod_municipio]='06' or [cod_municipio]=99) then '05' 
             when [cod_region]='06' and [cod_provincia]='04' and ([cod_municipio]='04' or [cod_municipio]=99) then '06' 
             when [cod_region]='06' and [cod_provincia]='04' and [cod_municipio]='08'  then concat([cod_region] ,cod_provincia,cod_municipio)
             when [cod_region]='06' and [cod_provincia]='04' and [cod_municipio]='11'  then concat([cod_region] ,cod_provincia,cod_municipio)
			when [cod_region]='07' and [cod_provincia]='00' and ([cod_municipio]='00' or [cod_municipio]=99) then '99907' 
			when [cod_region]='07' and [cod_provincia] IN ('02','07','22') and [cod_municipio]='00' then concat([cod_provincia],'000')
			when [cod_region]='07' and [cod_provincia] = '02' then concat([cod_region] ,cod_provincia,cod_municipio)
			when [cod_region]='07' and [cod_provincia] = '07' then concat([cod_region] ,cod_provincia,cod_municipio)
			when [cod_region]='07' and [cod_provincia] = '22' then concat([cod_region] ,cod_provincia,cod_municipio)
		 when [cod_region]='08' and [cod_provincia]='00' and ([cod_municipio]='00' or [cod_municipio]=99) then '99908' 
	  when [cod_region]='08' and [cod_provincia]='01' and ([cod_municipio]='00' or [cod_municipio]=99) then '12000' 
	   when [cod_region]='08' and [cod_provincia]='02' and ([cod_municipio]='00' or [cod_municipio]=99) then '11000' 
	     when [cod_region]='08' and [cod_provincia]='03' and ([cod_municipio]='00' or [cod_municipio]=99) then '08000' 
		 when [cod_region]='09' and [cod_provincia]='00' and ([cod_municipio]='00' or [cod_municipio]=99) then '99909' 
	  when [cod_region]='09' and [cod_provincia]='01' and ([cod_municipio]='00' or [cod_municipio]=99) then '23000' 
	   when [cod_region]='09' and [cod_provincia]='02' and ([cod_municipio]='00' or [cod_municipio]=99) then '30000' 
	     when [cod_region]='09' and [cod_provincia]='03' and ([cod_municipio]='00' or [cod_municipio]=99) then '29000' 
		 when [cod_region]='10' and [cod_provincia]='00' and ([cod_municipio]='00' or [cod_municipio]=99)  then '99910' 
	  when [cod_region]='10' and [cod_provincia]='01' and ([cod_municipio]='00' or [cod_municipio]=99)  then '01000' 
	   when [cod_region]='10' and [cod_provincia]='01' and ([cod_municipio]='01' or [cod_municipio]=99)  then '100101' 
	   when [cod_region]='10' and [cod_provincia]='02' and ([cod_municipio]='00' or [cod_municipio]=99) then '32000' 
	   when [cod_municipio]= '00' then concat([cod_provincia],[cod_municipio],'0')
	  else [cod_municipio] end as [cod_municipio]
      ,[cod_municipio_txt]
      ,[activo_clageo]
      ,[activo_clageo_txt]
      ,[porcentaje]
      ,[estado]
      ,[bandeja]
      ,[usu_ins]
      ,[fec_ins]
      ,[usu_upd]
      ,[fec_upd]
  FROM [MapaInversion].[BID_Base_ubicaciones_geograficas_mip])t)u
  on p.[id_proyecto]=u.id_proyecto</t>
  </si>
  <si>
    <t>ENRIQUILLO</t>
  </si>
  <si>
    <t>BARAHONA</t>
  </si>
  <si>
    <t>EL VALLE</t>
  </si>
  <si>
    <t>AZUA</t>
  </si>
  <si>
    <t>CIBAO NORDESTE</t>
  </si>
  <si>
    <t>HERMANAS MIRABAL</t>
  </si>
  <si>
    <t>OZAMA O METROPOLITANA</t>
  </si>
  <si>
    <t>SANTO DOMINGO</t>
  </si>
  <si>
    <t>Santo Domingo Norte</t>
  </si>
  <si>
    <t>Santo Domingo Este</t>
  </si>
  <si>
    <t>Identificador del área de influencia</t>
  </si>
  <si>
    <t>VALDESIA</t>
  </si>
  <si>
    <t>PERAVIA</t>
  </si>
  <si>
    <t>Baní</t>
  </si>
  <si>
    <t>Descripción del área de influencia</t>
  </si>
  <si>
    <t>Nizao</t>
  </si>
  <si>
    <t>Código de la Región</t>
  </si>
  <si>
    <t>REMODELACIÓN DE LAS OFICINAS ADMINISTRATIVAS DEL MINISTERIO DE ECONOMIA, PLANIFICACION Y DESARROLLO/DGIP EN EL DISTRITO NACIONAL</t>
  </si>
  <si>
    <t>DISTRITO NACIONAL</t>
  </si>
  <si>
    <t>Descripción de la Región</t>
  </si>
  <si>
    <t>AMPLIACIÓN DEL ACUEDUCTO MULTIPLE DE CUTUPU EN LA PROVINCIA DE LA VEGA</t>
  </si>
  <si>
    <t>CIBAO SUR</t>
  </si>
  <si>
    <t>LA VEGA</t>
  </si>
  <si>
    <t>Codificacion de la Region (Otra codificacion)</t>
  </si>
  <si>
    <t>Código de la Provincia</t>
  </si>
  <si>
    <t>Descripción de la Provincia</t>
  </si>
  <si>
    <t>Codificacion de la Provincia(Otra codificacion)</t>
  </si>
  <si>
    <t>Código del Municipio</t>
  </si>
  <si>
    <t>Descripción del Municipio</t>
  </si>
  <si>
    <t>Estado de geometría ( SI /NO )</t>
  </si>
  <si>
    <t>Pocentaje (Por revisar)</t>
  </si>
  <si>
    <t>Estado del Regisitro</t>
  </si>
  <si>
    <t>General Budget Information on Investment (presupuesto-de-inversion.csv)</t>
  </si>
  <si>
    <t>PARTIDAS_DE_GASTO</t>
  </si>
  <si>
    <t>https://mapainversionesanalytics.blob.core.windows.net/sourceraw/DOM/HACIENDA/PARTIDAS_DE_GASTO/CSV/2024/05/01/mh_partidas_de_gasto.csv</t>
  </si>
  <si>
    <t>v</t>
  </si>
  <si>
    <t>Information on Processes related to the General Investment Budget and public investment projects (procesos-de-compras.csv)</t>
  </si>
  <si>
    <t>PROCESOS_DE_COMPRA</t>
  </si>
  <si>
    <t>https://mapainversionesanalytics.blob.core.windows.net/sourceraw/DOM/HACIENDA/PROCESOS_DE_COMPRA/CSV/2024/05/01/mh_procesos.csv</t>
  </si>
  <si>
    <t>CONTRATOS_DE_COMPRA</t>
  </si>
  <si>
    <t>https://mapainversionesanalytics.blob.core.windows.net/sourceraw/DOM/HACIENDA/CONTRATOS_DE_COMPRA/CSV/2024/05/01/mh_contratos.csv</t>
  </si>
  <si>
    <t>Partidas de Gasto - (sourceraw/DOM/HACIENDA/PARTIDAS_DE_GASTO)</t>
  </si>
  <si>
    <t>Detalle de partidas de gasto y sus clasificadores.</t>
  </si>
  <si>
    <t>FIELD</t>
  </si>
  <si>
    <t>EXAMPLE VALUE</t>
  </si>
  <si>
    <t>DESCRIPTION ( SPANISH )</t>
  </si>
  <si>
    <t>DESCRIPTION ( ENGLISH )</t>
  </si>
  <si>
    <t>ID_PARTIDA_DEL_GASTO</t>
  </si>
  <si>
    <t>EGPG17038838756647lL</t>
  </si>
  <si>
    <t>Código interno identificador de la partida de gasto</t>
  </si>
  <si>
    <t>COD_PERIODO</t>
  </si>
  <si>
    <t>El año al que corresponde la partida de gasto. Cada partida de gasto es única en cada año</t>
  </si>
  <si>
    <t>COD_SECCION</t>
  </si>
  <si>
    <t>1.1.1.1.1</t>
  </si>
  <si>
    <t>Código identificador del nivel institucional al cual está asignada la partida de gasto</t>
  </si>
  <si>
    <t>DES_SECCION</t>
  </si>
  <si>
    <t>Administración central</t>
  </si>
  <si>
    <t>Nombre o identificación del nivel institucional al cual está asignada la partida de gasto</t>
  </si>
  <si>
    <t>COD_CAPITULO</t>
  </si>
  <si>
    <t>Código identificador del mayor nivel de jerarquía dentro del nivel institucional</t>
  </si>
  <si>
    <t>NOM_CAPITULO</t>
  </si>
  <si>
    <t>PRESIDENCIA DE LA REPÚBLICA</t>
  </si>
  <si>
    <t>Nombre o identificación del mayor nivel de jerarquía dentro del nivel institucional</t>
  </si>
  <si>
    <t>COD_SUBCAPITULO</t>
  </si>
  <si>
    <t>Código identificador del segundo nivel de jerarquía dentro del nivel institucional</t>
  </si>
  <si>
    <t>NOM_SUBCAPITULO</t>
  </si>
  <si>
    <t>MINISTERIO ADMINISTRATIVO DE LA PRESIDENCIA</t>
  </si>
  <si>
    <t>Nombre o identificación del segundo nivel de jerarquía dentro del nivel institucional</t>
  </si>
  <si>
    <t>COD_UE</t>
  </si>
  <si>
    <t>Código identificador de la Unidad Ejecutora asignada a la partida de gasto.</t>
  </si>
  <si>
    <t>NOM_UE</t>
  </si>
  <si>
    <t>COMISIÓN PRESIDENCIAL DE APOYO AL DESARROLLO PROVINCIAL</t>
  </si>
  <si>
    <t>Nombre o identificación de la Unidad Ejecutora.Ordena las instituciones del sector público de acuerdo al nivel institucional al que corresponden. Define las partidas presupuestarias desde el punto de vista de "Quién Gasta".</t>
  </si>
  <si>
    <t>DES_UE</t>
  </si>
  <si>
    <t>0201.01.0009-COMISIÓN PRESIDENCIAL DE APOYO AL DESARROLLO PROVINCIAL</t>
  </si>
  <si>
    <t>Descripción completa de la Unidad Ejecutora que incluye los códigos del primer y segundo nivel instittucional.Ordena las instituciones del sector público de acuerdo al nivel institucional al que corresponden.</t>
  </si>
  <si>
    <t>COD_PROGRAMA</t>
  </si>
  <si>
    <t>Código identificador del programa. Es una estructura que permite identificar un objetivo específico que se desea lograr</t>
  </si>
  <si>
    <t>NOM_PROGRAMA</t>
  </si>
  <si>
    <t>Apoyo al desarrollo provincial</t>
  </si>
  <si>
    <t>Nombre o identificación del programa. Es una estructura que permite identificar un objetivo específico que se desea lograr</t>
  </si>
  <si>
    <t>COD_PRODUCTO</t>
  </si>
  <si>
    <t xml:space="preserve">Código identificador del producto asociado a la partida de gasto. </t>
  </si>
  <si>
    <t>NOM_PRODUCTO</t>
  </si>
  <si>
    <t>Construcción de obras Comunitarias</t>
  </si>
  <si>
    <t>Nombre o identificación del producto asociado a la partida de gasto.</t>
  </si>
  <si>
    <t>COD_PROYECTO</t>
  </si>
  <si>
    <t>Código identificador del proyecto al que se asigna la partida de gasto.</t>
  </si>
  <si>
    <t>NOM_PROYECTO</t>
  </si>
  <si>
    <t>REMODELACIÓN CAMPO DE BEISBOL EN LA COMUNIDAD SAINAGUA, PROVINCIA SAN CRISTOBAL</t>
  </si>
  <si>
    <t>Nombre o descripción del proyecto al que se asigna la partida de gasto.</t>
  </si>
  <si>
    <t>COD_ACTIVIDAD_OBRA</t>
  </si>
  <si>
    <t>Código identificador de la activdad u obra asociada a la partida de gasto</t>
  </si>
  <si>
    <t>NOM_ACTIVIDAD_OBRA</t>
  </si>
  <si>
    <t>Supervisión</t>
  </si>
  <si>
    <t>Nombre o identificación de la activdad u obra asociada a la partida de gasto. Identifica una meta u objetivo a lograr.</t>
  </si>
  <si>
    <t>DES_ACTIVIDAD_OBRA</t>
  </si>
  <si>
    <t>22.03.90.0052-Supervisión</t>
  </si>
  <si>
    <t>Nombre completo de la activdad u obra asociada a la partida de gasto que incluye los códigos a nivel de Prograna / Producto / Proyecto / Actividad. Identifica una meta u objetivo a lograr.</t>
  </si>
  <si>
    <t>COD_ORG_FINANCIADOR</t>
  </si>
  <si>
    <t>Código identificador del organismo financiador asociado a la partida de gasto.</t>
  </si>
  <si>
    <t>DES_ORG_FINANCIADOR</t>
  </si>
  <si>
    <t>TESORO NACIONAL</t>
  </si>
  <si>
    <t>Nombre o identificación de los organismos nacionales e internacionales que financian el presupuesto de las instituciones del sector público</t>
  </si>
  <si>
    <t>COD_FUENTE</t>
  </si>
  <si>
    <t>Código identificador de la Fuente de Financiamiento asociada a la  partida de gasto.</t>
  </si>
  <si>
    <t>NOM_FUENTE</t>
  </si>
  <si>
    <t>FONDO GENERAL</t>
  </si>
  <si>
    <t>Nombre o identificación de la Fuente de Financiamiento asociada a la  partida de gasto. Presenta los recursos públicos según el tipo de recurso empleado para su financiamiento</t>
  </si>
  <si>
    <t>COD_FUENTE_ESPECIFICA</t>
  </si>
  <si>
    <t>Código identificador de la fuente específica asociada a la partida de gasto.</t>
  </si>
  <si>
    <t>NOM_FUENTE_ESPECIFICA</t>
  </si>
  <si>
    <t>Nombre o identificación de la fuente específica asociada a la partida de gasto.</t>
  </si>
  <si>
    <t>COD_FUNCION_FINALIDAD</t>
  </si>
  <si>
    <t>Código identificador de la finalidad asociada a la partida de gasto.</t>
  </si>
  <si>
    <t>DES_FUNCION_FINALIDAD</t>
  </si>
  <si>
    <t>SERVICIOS SOCIALES</t>
  </si>
  <si>
    <t>Nombre o identificación de la finalidad asociada a la partida de gasto. Primer nivel de clasificación del destino de los recursos.</t>
  </si>
  <si>
    <t>COD_FUNCION_FUNCION</t>
  </si>
  <si>
    <t>Código identificador de la funcion asociada a la partida de gasto.</t>
  </si>
  <si>
    <t>DES_FUNCION_FUNCION</t>
  </si>
  <si>
    <t>Actividades deportivas, recreativas, culturales y religiosas</t>
  </si>
  <si>
    <t>Nombre o identificación de la funcion asociada a la partida de gasto. Segundo nivel nivel de clasificación del destino de los recursos.</t>
  </si>
  <si>
    <t>COD_FUNCION_SUBFUN</t>
  </si>
  <si>
    <t>Código identificador de la sub funcion asociada a la partida de gasto.</t>
  </si>
  <si>
    <t>DES_FUNCION_SUBFUN</t>
  </si>
  <si>
    <t>Servicios recreativos y deportivos</t>
  </si>
  <si>
    <t>Nombre o identificación de la sub funcion asociada a la partida de gasto. Tercer nivel de clasificación del destino de los recursos.</t>
  </si>
  <si>
    <t>COD_CCP_TIPO</t>
  </si>
  <si>
    <t>Código identificador del tipo de partida de gasto</t>
  </si>
  <si>
    <t>DES_CCP_TIPO</t>
  </si>
  <si>
    <t>GASTOS</t>
  </si>
  <si>
    <t>Nombre o identificación del tipo de partida de gasto.</t>
  </si>
  <si>
    <t>COD_CCP_CONCEPTO</t>
  </si>
  <si>
    <t>Código identificador del concepto asociado a la partida de gasto.</t>
  </si>
  <si>
    <t>DES_CCP_CONCEPTO</t>
  </si>
  <si>
    <t>OBRAS</t>
  </si>
  <si>
    <t>Nombre o identificación del concepto asociado a la partida de gasto.  Primer nivel de ordenamiento de acuerdo al bien o servicio que se adquiere</t>
  </si>
  <si>
    <t>COD_CCP_CUENTA</t>
  </si>
  <si>
    <t>Código identificador de la cuenta asociado a la partida de gasto.</t>
  </si>
  <si>
    <t>DES_CCP_CUENTA</t>
  </si>
  <si>
    <t>OBRAS EN EDIFICACIONES</t>
  </si>
  <si>
    <t>Nombre o identificación de la cuenta asociado a la partida de gasto.  Segundo nivel de ordenamiento de acuerdo al bien o servicio que se adquiere</t>
  </si>
  <si>
    <t>COD_CCP_SUBCTA</t>
  </si>
  <si>
    <t>2.7.1.5</t>
  </si>
  <si>
    <t>Código identificador de la subcuenta asociado a la partida de gasto.</t>
  </si>
  <si>
    <t>DES_CCP_SUBCTA</t>
  </si>
  <si>
    <t>Supervisión e inspección de obras en edificaciones</t>
  </si>
  <si>
    <t>Nombre o identificación de la subcuenta asociado a la partida de gasto. Tercer nivel de ordenamiento de acuerdo al bien o servicio que se adquiere</t>
  </si>
  <si>
    <t>COD_CCP_AUX</t>
  </si>
  <si>
    <t>2.7.1.5.01</t>
  </si>
  <si>
    <t>Código identificador del auxiliar asociado a la partida de gasto.</t>
  </si>
  <si>
    <t>DES_CCP_AUX</t>
  </si>
  <si>
    <t>Nombre o identificación del auxiliar asociado a la partida de gasto.  Cuarto nivel de ordenamiento de acuerdo al bien o servicio que se adquiere</t>
  </si>
  <si>
    <t>COD_ECON_TIPO</t>
  </si>
  <si>
    <t>Código identificador del tipo de clasificación económica asignada a la partida de gasto</t>
  </si>
  <si>
    <t>DES_ECON_TIPO</t>
  </si>
  <si>
    <t>Nombre o identificación del tipo de clasificación económica asignada a la partida de gasto. Permite identificar la naturaleza económica de las transacciones que realiza el sector público, con el propósito de evaluar el impacto y las repercusiones que generan las acciones fiscales</t>
  </si>
  <si>
    <t>COD_ECON_TITULO</t>
  </si>
  <si>
    <t>Código identificador del título de clasificación económica asignada a la partida de gasto</t>
  </si>
  <si>
    <t>DES_ECON_TITULO</t>
  </si>
  <si>
    <t>Gastos de capital</t>
  </si>
  <si>
    <t>Nombre o identificación del titulo (primer nivel) de clasificación económica asignada a la partida de gasto. Permite identificar la naturaleza económica de las transacciones que realiza el sector público, con el propósito de evaluar el impacto y las repercusiones que generan las acciones fiscales</t>
  </si>
  <si>
    <t>COD_ECON_SUBTITULO</t>
  </si>
  <si>
    <t>Código identificador del subtitulo de clasificación económica asignada a la partida de gasto</t>
  </si>
  <si>
    <t>DES_ECON_SUBTITULO</t>
  </si>
  <si>
    <t>Activos fijos (formación bruta de capital fijo)</t>
  </si>
  <si>
    <t>Nombre o identificación del subtitulo (segundo nivel) de clasificación económica asignada a la partida de gasto. Permite identificar la naturaleza económica de las transacciones que realiza el sector público, con el propósito de evaluar el impacto y las repercusiones que generan las acciones fiscales</t>
  </si>
  <si>
    <t>COD_ECON_GRUPO</t>
  </si>
  <si>
    <t>2.2.2.1</t>
  </si>
  <si>
    <t>Código identificador del grupo de clasificación económica asignada a la partida de gasto</t>
  </si>
  <si>
    <t>DES_ECON_GRUPO</t>
  </si>
  <si>
    <t>Viviendas, edificios y estructuras</t>
  </si>
  <si>
    <t>Nombre o identificación del grupo (tercer nivel) de clasificación económica asignada a la partida de gasto. Permite identificar la naturaleza económica de las transacciones que realiza el sector público, con el propósito de evaluar el impacto y las repercusiones que generan las acciones fiscales</t>
  </si>
  <si>
    <t>COD_ECON_SUBGRUPO</t>
  </si>
  <si>
    <t>2.2.2.1.5</t>
  </si>
  <si>
    <t>Código identificador del subgrupo de clasificación económica asignada a la partida de gasto</t>
  </si>
  <si>
    <t>DES_ECON_SUBGRUPO</t>
  </si>
  <si>
    <t>Nombre o identificación del subgrupo (cuarto nivel) de clasificación económica asignada a la partida de gasto. Permite identificar la naturaleza económica de las transacciones que realiza el sector público, con el propósito de evaluar el impacto y las repercusiones que generan las acciones fiscales</t>
  </si>
  <si>
    <t>COD_ECON_CUENTA</t>
  </si>
  <si>
    <t>NULL</t>
  </si>
  <si>
    <t>Código identificador de la cuenta de clasificación económica asignada a la partida de gasto</t>
  </si>
  <si>
    <t>DES_ECON_CUENTA</t>
  </si>
  <si>
    <t>Nombre o identificación de la cuenta (quinto nivel) de clasificación económica asignada a la partida de gasto. Permite identificar la naturaleza económica de las transacciones que realiza el sector público, con el propósito de evaluar el impacto y las repercusiones que generan las acciones fiscales</t>
  </si>
  <si>
    <t>COD_ECON_AUX</t>
  </si>
  <si>
    <t>Código identificador del auxiliar de clasificación económica asignada a la partida de gasto</t>
  </si>
  <si>
    <t>DES_ECON_AUX</t>
  </si>
  <si>
    <t>Nombre o identificación del auxiliar (sexto nivel) de clasificación económica asignada a la partida de gasto. Permite identificar la naturaleza económica de las transacciones que realiza el sector público, con el propósito de evaluar el impacto y las repercusiones que generan las acciones fiscales</t>
  </si>
  <si>
    <t>COD_ECON_SUBAUX</t>
  </si>
  <si>
    <t>Código identificador del subauxiliar de clasificación económica asignada a la partida de gasto</t>
  </si>
  <si>
    <t>DES_ECON_SUBAUX</t>
  </si>
  <si>
    <t>Nombre o identificación del subauxiliar (séptimo nivel) de clasificación económica asignada a la partida de gasto. Permite identificar la naturaleza económica de las transacciones que realiza el sector público, con el propósito de evaluar el impacto y las repercusiones que generan las acciones fiscales</t>
  </si>
  <si>
    <t>COD_INST_RECEPTORA</t>
  </si>
  <si>
    <t>Código identificador de la institución receptora de los recursos.</t>
  </si>
  <si>
    <t>NOM_INST_RECEPTORA</t>
  </si>
  <si>
    <t>NO APLICA</t>
  </si>
  <si>
    <t>Nombre o identificación de la institución receptora de los recursos.</t>
  </si>
  <si>
    <t>TIP_CAPITAL</t>
  </si>
  <si>
    <t>Codigo del Tipo de gasto asociado a la partida de gasto.</t>
  </si>
  <si>
    <t>TIP_CAP_O_CORR</t>
  </si>
  <si>
    <t>Capital</t>
  </si>
  <si>
    <t>Nombre del tipo de gasto asociado a la partida de gasto.</t>
  </si>
  <si>
    <t>COD_SNIP</t>
  </si>
  <si>
    <t>Código identificador del proyecto de inversión en el SNIP ( Sistema Nacional de Inversión Pública )</t>
  </si>
  <si>
    <t>NOM_SNIP</t>
  </si>
  <si>
    <t>Nombre del proyecto de inversión en el SNIP (Sistema de Inversión Pública)</t>
  </si>
  <si>
    <t>DES_SNIP</t>
  </si>
  <si>
    <t>El proyecto a presentar será la remodelación del campo de béisbol en la comunidad Sainaguá que contará con la construcción de un área total de 4,500.00m2, divididos en la construcción de Gradas 35.6 m2, Construcción de aceras y contenes 208 ml, construcción de 2 dugout, construcción de 2 baños y la remodelación de 227.36 ml de verja perimetral.</t>
  </si>
  <si>
    <t>Descripción completa del proyecto de inversión en el SNIP (Sistema de Inversión Pública) en donde se incluyen algunas características del proyecto</t>
  </si>
  <si>
    <t>COD_TIPOLOGIA</t>
  </si>
  <si>
    <t>Código identificador de la tipología asociada al proyecto de inversión.</t>
  </si>
  <si>
    <t>DES_TIPOLOGIA</t>
  </si>
  <si>
    <t>Capital Fijo</t>
  </si>
  <si>
    <t>Nombre o identificación de la tipología asociada al proyecto de inversión.</t>
  </si>
  <si>
    <t>TIP_ACTIVIDAD_INVERSION</t>
  </si>
  <si>
    <t>Código identificador del tipo de actividad de inversión asociado al proyecto de inversión.</t>
  </si>
  <si>
    <t>COD_REGION</t>
  </si>
  <si>
    <t>Código identificador de la Región asociada al proyecto de inversión</t>
  </si>
  <si>
    <t>NOM_REGION</t>
  </si>
  <si>
    <t>REGION VALDESIA</t>
  </si>
  <si>
    <t>Nombre o identificación de la Región asociada al proyecto de inversión</t>
  </si>
  <si>
    <t>COD_PROVINCIA</t>
  </si>
  <si>
    <t>Código identificador de la Provincia asociada al proyecto de inversión</t>
  </si>
  <si>
    <t>NOM_PROVINCIA</t>
  </si>
  <si>
    <t>SAN CRISTOBAL</t>
  </si>
  <si>
    <t>Nombre o identificación de la Provincia asociada al proyecto de inversión</t>
  </si>
  <si>
    <t>COD_MUNICIPIO</t>
  </si>
  <si>
    <t>Código identificador del municipio asociada al proyecto de inversión</t>
  </si>
  <si>
    <t>NOM_MUNICIPIO</t>
  </si>
  <si>
    <t>Nombre o identificación del municipio asociada al proyecto de inversión</t>
  </si>
  <si>
    <t>DES_PARTIDA_GASTO</t>
  </si>
  <si>
    <t>Inst:2024-0201-01-0009  Prg:22-03-90-0052  Fxp:0100 OF:100 CCP:2.7.1.5.01  FN:4.3.02  UG:05-21-0001 Obj:00000  IR:0000 Snip:14676  Tip:1</t>
  </si>
  <si>
    <t>Descripción de la partida de gasto</t>
  </si>
  <si>
    <t>VLR_INICIAL</t>
  </si>
  <si>
    <t>308833.00</t>
  </si>
  <si>
    <t>Importe inicial relacionado a la partida de gasto</t>
  </si>
  <si>
    <t>VLR_MOD_APROB</t>
  </si>
  <si>
    <t>Importe de modificaciones o ajustes relacionados a la partida de gasto.</t>
  </si>
  <si>
    <t>VLR_VIGENTE</t>
  </si>
  <si>
    <t>Importe vigente relacionado a la partida de gasto.</t>
  </si>
  <si>
    <t>Procesos (Formulario de Gasto Preventivo) - (sourceraw/DOM/HACIENDA/PROCESOS_DE_COMPRA)</t>
  </si>
  <si>
    <t>Detalle de formularios de gasto preventivo ( Procesos de compras )</t>
  </si>
  <si>
    <t>Año del formulario de gasto preventivo</t>
  </si>
  <si>
    <t>ID_FU_GASTOS_PREV</t>
  </si>
  <si>
    <t>EG16740690403537w5zD</t>
  </si>
  <si>
    <t>Código único de identificación del formulario de gasto preventivo</t>
  </si>
  <si>
    <t>VLR_PROYECCION_PREVENTIVO</t>
  </si>
  <si>
    <t>51270.8</t>
  </si>
  <si>
    <t>Importe del formulario de gasto preventivo</t>
  </si>
  <si>
    <t>FCH_REGISTRO_PROYECCION_PREVENTIVO</t>
  </si>
  <si>
    <t>2023-01-18T15:10:40-04:00</t>
  </si>
  <si>
    <t>Fecha de registro del formulario de gasto preventivo</t>
  </si>
  <si>
    <t>ID_TRAMITE</t>
  </si>
  <si>
    <t>Código del trámite asociado al formulario de gasto preventivo</t>
  </si>
  <si>
    <t>NUM_TRAMITE</t>
  </si>
  <si>
    <t>Número de trámite asociado al formulario de gasto preventivo</t>
  </si>
  <si>
    <t>COD_PROCESO</t>
  </si>
  <si>
    <t>UTEPDA-UC-CD-2023-0003</t>
  </si>
  <si>
    <t>Código del proceso de compra asociado al formulario de gasto preventivo</t>
  </si>
  <si>
    <t>COD_MODALIDAD</t>
  </si>
  <si>
    <t>CDU</t>
  </si>
  <si>
    <t>Codigo identificador de la modalidad de compra asociada al proceso de compra.</t>
  </si>
  <si>
    <t>DES_MODALIDAD</t>
  </si>
  <si>
    <t>Compras por debajo del umbral mínimo</t>
  </si>
  <si>
    <t>Nombre o identificación de la modalidad de compra asociada al proceso de compra.</t>
  </si>
  <si>
    <t>FCH_FIN_RECEP_OFERTAS</t>
  </si>
  <si>
    <t>2023-01-18T11:25:00-04:00</t>
  </si>
  <si>
    <t>Fecha del fin de recepcion de ofertas asociada al proceso de compra.</t>
  </si>
  <si>
    <t>DES_CARATULA</t>
  </si>
  <si>
    <t>Compra de piedras de afilar para ser utilizadas en los procesos de injertía por las brigadas agrícolas y forestales</t>
  </si>
  <si>
    <t>Descripción completa del proceso de compra con algunas caracteristicas</t>
  </si>
  <si>
    <t>DES_TRAMITE</t>
  </si>
  <si>
    <t>Nombre o identificación del trámite asociado al formulario de gasto preventivo</t>
  </si>
  <si>
    <t>COD_ESTADO</t>
  </si>
  <si>
    <t>Código identificador del estado asociado al proceso de compra.</t>
  </si>
  <si>
    <t>COD_TIPO_ADJUDICACION</t>
  </si>
  <si>
    <t>MP</t>
  </si>
  <si>
    <t>Código identificador del tipo de adjudicación asociado al proceso de compra.</t>
  </si>
  <si>
    <t>COD_MONEDA</t>
  </si>
  <si>
    <t>Código identificador de la moneda</t>
  </si>
  <si>
    <t>FCH_REGISTRO</t>
  </si>
  <si>
    <t>2023-01-18T00:00:00-04:00</t>
  </si>
  <si>
    <t>VLR_ESTIMADO</t>
  </si>
  <si>
    <t>Importe estimado del formulario de gasto preventivo</t>
  </si>
  <si>
    <t>COD_CLASE_DOCUMENTO</t>
  </si>
  <si>
    <t>EX</t>
  </si>
  <si>
    <t>Código identificador de la clase del documento.</t>
  </si>
  <si>
    <t>COD_ESTADO_PORTAL</t>
  </si>
  <si>
    <t>Codigo identificador del estado del proceso de compra en el portal de contrataciones.</t>
  </si>
  <si>
    <t>Contratos (Formulario de Gasto Compromiso) - (sourceraw/DOM/HACIENDA/CONTRATOS_DE_COMPRA)</t>
  </si>
  <si>
    <t>Detalle de formularios de gasto compromiso( Contratos de compras )</t>
  </si>
  <si>
    <t>COD_PERIODO_PROCESO</t>
  </si>
  <si>
    <t>Año asociado al formulario de gasto de compromiso</t>
  </si>
  <si>
    <t>EG1676668180652zh1wO</t>
  </si>
  <si>
    <t>Código interno de identificacion del formulario de gasto preventivo asociado a este formulario de gasto de compromiso</t>
  </si>
  <si>
    <t>Importe proyectado del formulario de gasto preventivo</t>
  </si>
  <si>
    <t>2023-02-17T17:09:41-04:00</t>
  </si>
  <si>
    <t>CORAASAN-MAE-PEUR-2023-0001</t>
  </si>
  <si>
    <t>PE</t>
  </si>
  <si>
    <t>Proceso de Excepción</t>
  </si>
  <si>
    <t>ID_FU_GASTOS_COMP</t>
  </si>
  <si>
    <t>EG16790701820074yAFk</t>
  </si>
  <si>
    <t>Código interno de identificacion del formulario de gasto de compromiso</t>
  </si>
  <si>
    <t>VLR_PROYECCION_COMPROMISO</t>
  </si>
  <si>
    <t>9156530.66</t>
  </si>
  <si>
    <t>Importe proyectado del formulario de gasto de compromiso</t>
  </si>
  <si>
    <t>FCH_REGISTRO_PROYECCION_COMPROMISO</t>
  </si>
  <si>
    <t>2023-03-17T12:23:03-04:00</t>
  </si>
  <si>
    <t>Fecha de registro del formulario de gasto de compromiso</t>
  </si>
  <si>
    <t>ID_CONTRATO</t>
  </si>
  <si>
    <t>C1679070181512NFdsqG</t>
  </si>
  <si>
    <t>ID del contrato asociado al formulario de gasto de compromiso</t>
  </si>
  <si>
    <t>COD_PERIODO_CONTRATO</t>
  </si>
  <si>
    <t>Año asociado al contrato de compra.</t>
  </si>
  <si>
    <t>NUM_CONTRATO</t>
  </si>
  <si>
    <t>Numero de contrato asociado al formulario de gasto de compromiso</t>
  </si>
  <si>
    <t>COD_CONTRATO</t>
  </si>
  <si>
    <t>CORAASAN-2023-00076</t>
  </si>
  <si>
    <t>Código del contrato de compra asociado al formulario de gasto de compromiso</t>
  </si>
  <si>
    <t>COD_MODALIDAD_CONTRATO</t>
  </si>
  <si>
    <t>CO</t>
  </si>
  <si>
    <t>Código identificador de la modalidad del contrato de compra asociado al formulario de compromiso</t>
  </si>
  <si>
    <t>DES_MODALIDAD_CONTRATO</t>
  </si>
  <si>
    <t>Contrato Ordinario</t>
  </si>
  <si>
    <t>Nombre de la modalidad del contrato de compra asociado al formulario de gasto de compromiso</t>
  </si>
  <si>
    <t>COD_TIPO_TRANSACCION</t>
  </si>
  <si>
    <t>Código identificador del tipo de transacción asociado al formulario de gasto de compromiso</t>
  </si>
  <si>
    <t>DES_TIPO_TRANSACCION</t>
  </si>
  <si>
    <t>Procesos Contrato Externos</t>
  </si>
  <si>
    <t>Nombre o identificación del tipo de transacción asociado al formulario de gasto de compromiso</t>
  </si>
  <si>
    <t>TIP_OBRA</t>
  </si>
  <si>
    <t>Codigo identificador de contrato de tipo obra ( SI / NO )</t>
  </si>
  <si>
    <t>DES_INSTITUCION</t>
  </si>
  <si>
    <t>Coorporación de Acueducto y Alcantarillado de Santiago</t>
  </si>
  <si>
    <t>Nombre o identificación de la institución asociada al formulario de gasto de compromiso</t>
  </si>
  <si>
    <t>COD_MODALIDAD_TRAMITE_EXT</t>
  </si>
  <si>
    <t>Código identificador de la modalidad de trámite asociado al formulario de gasto de compromiso</t>
  </si>
  <si>
    <t>DES_CONTRATO</t>
  </si>
  <si>
    <t>Rehabilitación sistema de impulsión zona Suroeste</t>
  </si>
  <si>
    <t>Descripción del contrato de compra asociado al formulario de gasto de compromiso</t>
  </si>
  <si>
    <t>Descripción completa del contrato de compra con algunas caracteristicas, asociado al formulario de gasto de compromiso</t>
  </si>
  <si>
    <t>DES_IDENTIFIC_LEGAL</t>
  </si>
  <si>
    <t>DO1.PCCNTR.1537440</t>
  </si>
  <si>
    <t>Descripción del identificador legal del contrato</t>
  </si>
  <si>
    <t>COD_PROVEEDOR</t>
  </si>
  <si>
    <t>Codigo identificador del proveedor asociado al contrato de compra.</t>
  </si>
  <si>
    <t>DES_MODALIDAD_PAGO</t>
  </si>
  <si>
    <t>Codigo identificador de la modalidad de pago asociada al contrato de compra.</t>
  </si>
  <si>
    <t>Codigo identificador de la moneda asociada al contrato de compra</t>
  </si>
  <si>
    <t>FCH_INICIO_CONTRATO</t>
  </si>
  <si>
    <t>2023-03-17T16:17:45-04:00</t>
  </si>
  <si>
    <t>Fecha inicio del contrato asociado al formulario de gasto de compromiso</t>
  </si>
  <si>
    <t>FCH_FIN_CONTRATO</t>
  </si>
  <si>
    <t>Fecha de fin del contrato asociado al formulario de gasto de compromiso</t>
  </si>
  <si>
    <t>TIP_PLURIANUAL</t>
  </si>
  <si>
    <t>Identificador de contrato plurianual ( SI / NO )</t>
  </si>
  <si>
    <t>2023-03-17T00:00:00-04:00</t>
  </si>
  <si>
    <t>FCH_APROBACION</t>
  </si>
  <si>
    <t>Fecha de aprobacion del formulario de gasto de compromiso</t>
  </si>
  <si>
    <t>FCH_ANULACION</t>
  </si>
  <si>
    <t>Fecha de anulación del formulario de gasto de compromiso</t>
  </si>
  <si>
    <t>FCH_RECHAZO</t>
  </si>
  <si>
    <t>Fecha de rechazo del formulario de gasto de compromiso</t>
  </si>
  <si>
    <t>FCH_CUMPLIMIENTO</t>
  </si>
  <si>
    <t>Fecha de cumplimiento del formulario de gasto de compromiso</t>
  </si>
  <si>
    <t>VLR_TOTAL</t>
  </si>
  <si>
    <t>15639937.74</t>
  </si>
  <si>
    <t>Importe total del formulario de gasto de compromiso</t>
  </si>
  <si>
    <t>VLR_TOTAL_ORI</t>
  </si>
  <si>
    <t>Importe total original del formulario de gasto de compromiso</t>
  </si>
  <si>
    <t>FCH_FORMALIZ_CONTRATO</t>
  </si>
  <si>
    <t>Fecha de formalización del contrato asociado asociado al formulario de gasto de compromiso</t>
  </si>
  <si>
    <t xml:space="preserve">Opendata Projects Dominican Republic ( View NuevaVisionRD.dbo.VwDatosAbiertosProyectos ) </t>
  </si>
  <si>
    <t>Source Table / View</t>
  </si>
  <si>
    <t>Source Type</t>
  </si>
  <si>
    <t>Source Field</t>
  </si>
  <si>
    <t>Data Type</t>
  </si>
  <si>
    <t>Transformation</t>
  </si>
  <si>
    <t>Field</t>
  </si>
  <si>
    <t>Descripcion Español</t>
  </si>
  <si>
    <t>Field Description</t>
  </si>
  <si>
    <t>Proyecto</t>
  </si>
  <si>
    <t>Table</t>
  </si>
  <si>
    <t>IdProyecto</t>
  </si>
  <si>
    <t>VwProyectosAprobadosInv</t>
  </si>
  <si>
    <t>View</t>
  </si>
  <si>
    <t>Código identificador del proyecto dentro de MapaInversiones</t>
  </si>
  <si>
    <t>CodigoBPIN</t>
  </si>
  <si>
    <t>codigosnip</t>
  </si>
  <si>
    <t>Código identificador del proyecto dentro del banco de proyectos es el identificador único del proyecto de Inversión en ( Sistema SNIP )</t>
  </si>
  <si>
    <t>Tiempo</t>
  </si>
  <si>
    <t>Anio</t>
  </si>
  <si>
    <t>AnioInicioProyecto</t>
  </si>
  <si>
    <t>Año de inicio del proyecto</t>
  </si>
  <si>
    <t>AnioFinProyecto</t>
  </si>
  <si>
    <t>Año Final del proyecto</t>
  </si>
  <si>
    <t>NombreProyecto</t>
  </si>
  <si>
    <t>varchar(max)</t>
  </si>
  <si>
    <t>upper(NombreProyecto)</t>
  </si>
  <si>
    <t>replace(a.NombreProyecto,',',' ')</t>
  </si>
  <si>
    <t>Nombre completo del proyecto de inversión en el sistema de inversión pública (SNIP)</t>
  </si>
  <si>
    <t>FechaInicioProyecto
FechaFinProyecto</t>
  </si>
  <si>
    <t>datetime</t>
  </si>
  <si>
    <t>@start = FechaInicioProyecto
@end = FechaFinProyecto
DECLARE @duration INT
DECLARE @durationFinal varchar(10)
SELECT @duration = DATEDIFF(mm, @start, @end)
SELECT  @durationFinal =CONVERT(NVARCHAR, @duration / 12) + '.' + CONVERT(NVARCHAR, @duration % 12)
RETURN @durationFinal</t>
  </si>
  <si>
    <t>DuracionProyecto</t>
  </si>
  <si>
    <t>DuracionProyecto+1</t>
  </si>
  <si>
    <t>DuracionEstimadaProyecto</t>
  </si>
  <si>
    <t>Duración en años del proyecto</t>
  </si>
  <si>
    <t>NombreEstado</t>
  </si>
  <si>
    <t>replace(NombreEstado ,',',' ')</t>
  </si>
  <si>
    <t>EtapaActual</t>
  </si>
  <si>
    <t>REEVALUACION</t>
  </si>
  <si>
    <t>Etapa actual en la que se encuentra el proyecto. Ej. Ejecución, Programación</t>
  </si>
  <si>
    <t>VlrTotalProyectoTodasLasFuentes</t>
  </si>
  <si>
    <t>decimal(18,2)</t>
  </si>
  <si>
    <t>CostoEstimadoProyecto</t>
  </si>
  <si>
    <t>Costo estimado del proyecto en $RD</t>
  </si>
  <si>
    <t>ProyectoXEntidadTerritorial</t>
  </si>
  <si>
    <t>IdProyecto as NONACIONAL</t>
  </si>
  <si>
    <t>CASE WHEN NONACIONAL IS NULL THEN 'NACIONAL' ELSE 'DEPARTAMENTAL O MUNICIPAL' END</t>
  </si>
  <si>
    <t>TipoProyecto</t>
  </si>
  <si>
    <t>tipoproyecto</t>
  </si>
  <si>
    <t>NACIONAL</t>
  </si>
  <si>
    <t>Tipo de alcance del proyecto. Ej. Nacional, Departamental o Municipal</t>
  </si>
  <si>
    <t>sector</t>
  </si>
  <si>
    <t>NombreSector</t>
  </si>
  <si>
    <t>replace(NombreSector,',',' ')</t>
  </si>
  <si>
    <t>Sector</t>
  </si>
  <si>
    <t>Agropecuaria  caza  pesca y silvicultura</t>
  </si>
  <si>
    <t xml:space="preserve">Nombre del sector al que pertenece el proyecto de inversión. Ej. Educación, Salud, Transporte, Los sectores en republica dominicana son equivalentes a las funciones </t>
  </si>
  <si>
    <t>PorcentajeAvanceFisico</t>
  </si>
  <si>
    <t>decimal(10,2)</t>
  </si>
  <si>
    <t>AvanceFinanciero</t>
  </si>
  <si>
    <t>avancefinanciero</t>
  </si>
  <si>
    <t>46.02</t>
  </si>
  <si>
    <t>Porcentaje de avance financiero del proyecto</t>
  </si>
  <si>
    <t>producto</t>
  </si>
  <si>
    <t>NombreProducto</t>
  </si>
  <si>
    <t>replace(NombreProducto,',',' ')</t>
  </si>
  <si>
    <t>nombreproducto</t>
  </si>
  <si>
    <t>INSTITUCIONES FORTALECIDAS</t>
  </si>
  <si>
    <t>Nombre del producto asociado al proyecto</t>
  </si>
  <si>
    <t>SeguimientoAvanceFisico</t>
  </si>
  <si>
    <t>Meta_Programada</t>
  </si>
  <si>
    <t>isnull(Meta_Programada,0)</t>
  </si>
  <si>
    <t>Meta del producto asociado al proyecto</t>
  </si>
  <si>
    <t>Meta_Ejecutada</t>
  </si>
  <si>
    <t>isnull(Meta_Ejecutada,0)</t>
  </si>
  <si>
    <t>Valor ejecutado del producto asociado al proyecto</t>
  </si>
  <si>
    <t>UnidadProducto</t>
  </si>
  <si>
    <t>UnidaddelProducto</t>
  </si>
  <si>
    <t>Instituciones</t>
  </si>
  <si>
    <t>Unidad de medida del producto asociado al proyecto</t>
  </si>
  <si>
    <t>FaseProyecto</t>
  </si>
  <si>
    <t>NombreFase</t>
  </si>
  <si>
    <t>replace(NombreFase,',',' ')</t>
  </si>
  <si>
    <t>nombrefase</t>
  </si>
  <si>
    <t>Nombre de la fase en la que se encuentra en proyecto (Ej: Preinversión, Inversión)</t>
  </si>
  <si>
    <t>Actor</t>
  </si>
  <si>
    <t>NombreActor AS NombreEntidad</t>
  </si>
  <si>
    <t>varchar(200)</t>
  </si>
  <si>
    <t>ISNULL(NombreEntidad,'SIN INFORMACION')</t>
  </si>
  <si>
    <t>EntidadEjecutora</t>
  </si>
  <si>
    <t>replace(a.EntidadEjecutora,',',' ')</t>
  </si>
  <si>
    <t>entidadejecutora</t>
  </si>
  <si>
    <t>Corresponde al ejecutor primario del proyecto</t>
  </si>
  <si>
    <t>Fuente</t>
  </si>
  <si>
    <t>NombreTipoRecurso</t>
  </si>
  <si>
    <t>VwFuentesFinanciacion</t>
  </si>
  <si>
    <t>FuenteFinanciacion</t>
  </si>
  <si>
    <t>replace(FuenteFinanciacion,',',' ')</t>
  </si>
  <si>
    <t>fuentefinanciacion</t>
  </si>
  <si>
    <t xml:space="preserve">Nombre de la fuente de financiamiento del proyecto </t>
  </si>
  <si>
    <t>NombreTipoEntidad</t>
  </si>
  <si>
    <t>OrganismoFinanciador</t>
  </si>
  <si>
    <t>replace(OrganismoFinanciador,',',' ')</t>
  </si>
  <si>
    <t>organismofinanciador</t>
  </si>
  <si>
    <t>Tesoro Nacional</t>
  </si>
  <si>
    <t>Nombre del organismo financiador del proyecto</t>
  </si>
  <si>
    <t>SeguimientoEsquemaFinanciacionProyectoFase</t>
  </si>
  <si>
    <t>ValorVigente</t>
  </si>
  <si>
    <t>sum([ValorVigente])</t>
  </si>
  <si>
    <t>valorprogramado</t>
  </si>
  <si>
    <t>Valor programado de la fuente de financiamiento asociada al proyecto</t>
  </si>
  <si>
    <t>ValorEjecutado</t>
  </si>
  <si>
    <t>sum([ValorEjecutado])</t>
  </si>
  <si>
    <t>valorejecutado</t>
  </si>
  <si>
    <t>Valor ejecutado de la fuente de financiamiento asociada al proyecto</t>
  </si>
  <si>
    <t>Periodo</t>
  </si>
  <si>
    <t>AnioEjecucionPptal</t>
  </si>
  <si>
    <t>Año de ejecución del proyecto</t>
  </si>
  <si>
    <t>EnteTerritorial</t>
  </si>
  <si>
    <t>nombreregion</t>
  </si>
  <si>
    <t>NACIONALES</t>
  </si>
  <si>
    <t>Nombre de la región en donde se encuentra localizado el proyecto</t>
  </si>
  <si>
    <t>nombredepartamento</t>
  </si>
  <si>
    <t>nombreprovincia</t>
  </si>
  <si>
    <t>Nombre de la provincia en donde se encuentra localizado el proyecto</t>
  </si>
  <si>
    <t>nombremunicipio</t>
  </si>
  <si>
    <t>Nombre del municipio en donde se encuentra localizado el proyecto</t>
  </si>
  <si>
    <t>FechaUltimaModificacion</t>
  </si>
  <si>
    <t>fechacarguearchivo</t>
  </si>
  <si>
    <t>Mar 28 2024  4:04PM</t>
  </si>
  <si>
    <t>Fecha de ultimo cargue de información del proyecto en MapaInversiones</t>
  </si>
  <si>
    <t>fixed value</t>
  </si>
  <si>
    <t>'SNIP'</t>
  </si>
  <si>
    <t>fuentedatos</t>
  </si>
  <si>
    <t>SNIP</t>
  </si>
  <si>
    <t>Fuente de información de proyectos para MapaInversiones</t>
  </si>
  <si>
    <t>Project data source.</t>
  </si>
  <si>
    <t xml:space="preserve">Opendata Investment Budget Dominican Republic ( View NuevaVisionRD.[consulta].[VwDatosAbiertosPresupuestoHacienda] ) </t>
  </si>
  <si>
    <t>Datos del presupuesto de inversión pública</t>
  </si>
  <si>
    <t>Field Description (Spanish)</t>
  </si>
  <si>
    <t>Field Description ( English )</t>
  </si>
  <si>
    <t>----</t>
  </si>
  <si>
    <t>consulta.CatalogoTiempo</t>
  </si>
  <si>
    <t>año</t>
  </si>
  <si>
    <t>Año</t>
  </si>
  <si>
    <t>El año al que corresponde la información registrada en la base de datos.</t>
  </si>
  <si>
    <t>consulta.CatalogoEntidades</t>
  </si>
  <si>
    <t>CodigoInstitucion</t>
  </si>
  <si>
    <t>varchar(30)</t>
  </si>
  <si>
    <t>0201-01-0009</t>
  </si>
  <si>
    <t>El código único que identifica a una institución dentro del sistema o conjunto de instituciones.</t>
  </si>
  <si>
    <t>Institucion</t>
  </si>
  <si>
    <t>varchar(500)</t>
  </si>
  <si>
    <t>Nombre o identificación de la institución a la que pertenece la información registrada.</t>
  </si>
  <si>
    <t>'Inversion'</t>
  </si>
  <si>
    <t>TipoGasto</t>
  </si>
  <si>
    <t>Inversion</t>
  </si>
  <si>
    <t>Categoría que clasifica el gasto según su naturaleza o propósito.</t>
  </si>
  <si>
    <t>consulta.CatalogoLineaPresupuestal</t>
  </si>
  <si>
    <t>CodigoFuenteFinanciamiento</t>
  </si>
  <si>
    <t>CodigoFuenteDeFinanciamiento</t>
  </si>
  <si>
    <t>Código que identifica la fuente de financiamiento del gasto.</t>
  </si>
  <si>
    <t>consulta.CatalogoFuenteFinanciamiento</t>
  </si>
  <si>
    <t>FuenteFinanciamiento</t>
  </si>
  <si>
    <t>FuenteDeFinanciamiento</t>
  </si>
  <si>
    <t>Descripción o identificación de la fuente de financiamiento del gasto.</t>
  </si>
  <si>
    <t>CodigoFuenteEspecifica</t>
  </si>
  <si>
    <t>varchar(50)</t>
  </si>
  <si>
    <t>Código específico que identifica la fuente de financiamiento detallada.</t>
  </si>
  <si>
    <t>FuenteEspecifica</t>
  </si>
  <si>
    <t>Descripción detallada o identificación específica de la fuente de financiamiento.</t>
  </si>
  <si>
    <t>consulta.CatalogoOrganismoFinanciador</t>
  </si>
  <si>
    <t>CodigoOrganismoFinanciador</t>
  </si>
  <si>
    <t>Código que identifica al organismo que proporciona el financiamiento.</t>
  </si>
  <si>
    <t>Nombre o identificación del organismo que proporciona el financiamiento.</t>
  </si>
  <si>
    <t>CodigoPrograma</t>
  </si>
  <si>
    <t>Código que identifica un programa específico.</t>
  </si>
  <si>
    <t>Programa</t>
  </si>
  <si>
    <t>Nombre o descripción del programa al que se asigna el gasto.</t>
  </si>
  <si>
    <t>CodigoProducto</t>
  </si>
  <si>
    <t>CodigoSubPrograma</t>
  </si>
  <si>
    <t>Código que identifica un subprograma dentro de un programa.</t>
  </si>
  <si>
    <t>Producto</t>
  </si>
  <si>
    <t>SubPrograma</t>
  </si>
  <si>
    <t>Acciones que no generan producción 22</t>
  </si>
  <si>
    <t>Nombre o descripción del subprograma al que se asigna el gasto.</t>
  </si>
  <si>
    <t>dbo.Proyecto</t>
  </si>
  <si>
    <t>consulta.CatalogoPresupuestoXProyInv</t>
  </si>
  <si>
    <t>bpin</t>
  </si>
  <si>
    <t>CodigoSnip</t>
  </si>
  <si>
    <t>Código asignado por el Sistema Nacional de Inversión Pública (SNIP) para identificar un proyecto.</t>
  </si>
  <si>
    <t>CodigoProyecto</t>
  </si>
  <si>
    <t>Código que identifica un proyecto específico.</t>
  </si>
  <si>
    <t>CONSTRUCCIÓN DE LA FUNERARIA MUNICIPAL DE GUAYMATE PROVINCIA LA ROMANA</t>
  </si>
  <si>
    <t>Nombre o descripción del proyecto al que se asigna el gasto.</t>
  </si>
  <si>
    <t>CodigoActividadObra</t>
  </si>
  <si>
    <t>Código que identifica una actividad u obra dentro de un proyecto.</t>
  </si>
  <si>
    <t>NombreActividadObra</t>
  </si>
  <si>
    <t>ActividadObra</t>
  </si>
  <si>
    <t>Trabajos Generales de la Construcción de la Funeraria Municipal de Guaymate Provincia La Romana</t>
  </si>
  <si>
    <t>Nombre o descripción de la actividad u obra al que se asigna el gasto.</t>
  </si>
  <si>
    <t>consulta.CatalogoObjetoDeGasto</t>
  </si>
  <si>
    <t>CodigoCuenta</t>
  </si>
  <si>
    <t>CodigoGrupoDeGasto</t>
  </si>
  <si>
    <t>Código que clasifica el gasto en grupos predefinidos.</t>
  </si>
  <si>
    <t>Cuenta</t>
  </si>
  <si>
    <t>Grupodegasto</t>
  </si>
  <si>
    <t>Descripción o nombre del grupo al que pertenece el gasto.</t>
  </si>
  <si>
    <t>CodigoFinalidad</t>
  </si>
  <si>
    <t>Código que identifica la finalidad del gasto.</t>
  </si>
  <si>
    <t>Finalidad</t>
  </si>
  <si>
    <t>Descripción o nombre de la finalidad a la que se destina el gasto.</t>
  </si>
  <si>
    <t>CodigoObjetoDeGasto</t>
  </si>
  <si>
    <t>Código que identifica el objeto específico para el cual se destina el gasto.</t>
  </si>
  <si>
    <t>ObjetoDeGasto</t>
  </si>
  <si>
    <t>Descripción o nombre del objeto para el cual se destina el gasto.</t>
  </si>
  <si>
    <t>dbo.Sector</t>
  </si>
  <si>
    <t>Vivienda y Servicios Comunitarios</t>
  </si>
  <si>
    <t>Sector al que pertenece la actividad u obra asociada al gasto.</t>
  </si>
  <si>
    <t>CodigoSubFuncion</t>
  </si>
  <si>
    <t xml:space="preserve">Código que identifica una subfunción dentro de una función. </t>
  </si>
  <si>
    <t>SubFuncion</t>
  </si>
  <si>
    <t>Desarrollo comunitario</t>
  </si>
  <si>
    <t>Descripción o nombre de la subfunción asociada al gasto.</t>
  </si>
  <si>
    <t>consulta.FactPresupuesto</t>
  </si>
  <si>
    <t>ValorInicial</t>
  </si>
  <si>
    <t>float</t>
  </si>
  <si>
    <t>sum(ValorInicial)</t>
  </si>
  <si>
    <t>ValorAprobado</t>
  </si>
  <si>
    <t>Monto o valor aprobado para el gasto en la partida presupuestaria.</t>
  </si>
  <si>
    <t>sum(ValorVigente)</t>
  </si>
  <si>
    <t>475715.89</t>
  </si>
  <si>
    <t>Monto o valor actualmente vigente para el gasto en la partida presupuestaria.</t>
  </si>
  <si>
    <t>sum(ValorEjecutado)</t>
  </si>
  <si>
    <t>Monto o valor ejecutado hasta el momento para el gasto en la partida presupuestaria.</t>
  </si>
  <si>
    <t>dbo.FuenteDeLosRecursos</t>
  </si>
  <si>
    <t>FechaActualizacionFuente</t>
  </si>
  <si>
    <t>select top 1 cast(FechaActualizacionFuente as date) 
        from dbo.FuenteDeLosRecursos where idFuente = 7</t>
  </si>
  <si>
    <t>Fecha en la que se actualizó la información en la fuente de datos</t>
  </si>
  <si>
    <t xml:space="preserve">Opendata Investment Budget Dominican Republic ( View NuevaVisionRD.[consulta].[VwDatosAbiertosPresupuestoXProyInv] ) </t>
  </si>
  <si>
    <t>Esta vista es una combinación de datos del presupuesto (Hacienda) con datos datos de proyectos de inversión (SNIP)</t>
  </si>
  <si>
    <t>This view is a combination of budget data (Ministry of Finance) with investment project data (SNIP)</t>
  </si>
  <si>
    <t>table</t>
  </si>
  <si>
    <t>AnioPresupuesto</t>
  </si>
  <si>
    <t>Año al que corresponde el presupuesto o la información presupuestaria registrada.</t>
  </si>
  <si>
    <t>[consulta].[VwPresupuesto]</t>
  </si>
  <si>
    <t>Código único que identifica a una institución dentro del sistema o conjunto de instituciones.</t>
  </si>
  <si>
    <t>Nombre o identificación de la institución a la que pertenece la información presupuestaria registrada.</t>
  </si>
  <si>
    <t>CodigoFuente_de_Financiamiento</t>
  </si>
  <si>
    <t>Código que identifica la fuente de financiamiento del proyecto.</t>
  </si>
  <si>
    <t>Fuente_de_Financiamiento</t>
  </si>
  <si>
    <t>Descripción o identificación de la fuente de financiamiento del proyecto.</t>
  </si>
  <si>
    <t>Código que identifica al organismo que proporciona el financiamiento del proyecto.</t>
  </si>
  <si>
    <t>Nombre o identificación del organismo que proporciona el financiamiento del proyecto.</t>
  </si>
  <si>
    <t>Código que identifica la finalidad del proyecto.</t>
  </si>
  <si>
    <t>SERVICIOS  GENERALES</t>
  </si>
  <si>
    <t>Descripción o nombre de la finalidad a la que se destina el proyecto.</t>
  </si>
  <si>
    <t>IdSector</t>
  </si>
  <si>
    <t>Identificación única del sector al que pertenece el proyecto.</t>
  </si>
  <si>
    <t>Justicia, Orden Público y Seguridad</t>
  </si>
  <si>
    <t>Nombre o descripción del sector al que pertenece el proyecto.</t>
  </si>
  <si>
    <t>Código que identifica una subfunción dentro de una función.</t>
  </si>
  <si>
    <t>Servicios de seguridad interior</t>
  </si>
  <si>
    <t>Descripción o nombre de la subfunción asociada al proyecto.</t>
  </si>
  <si>
    <t>[consulta].[CatalogoPresupuestoXProyInv]</t>
  </si>
  <si>
    <t>varchar(20)</t>
  </si>
  <si>
    <t>Código asignado por el Sistema Nacional de Inversión Pública (SNIP) para identificar un proyecto específico.</t>
  </si>
  <si>
    <t>[consulta].CatalogoLineaPresupuestal as d
dbo.Proyecto as c</t>
  </si>
  <si>
    <t>c.nombreproyecto
d.Proyecto
d.NombreActividadObra</t>
  </si>
  <si>
    <t>varchar(max)
varchar(max)
varchar(max)</t>
  </si>
  <si>
    <t>isnull(isnull(c.nombreproyecto,d.Proyecto),d.NombreActividadObra)</t>
  </si>
  <si>
    <t>nombreproyecto</t>
  </si>
  <si>
    <t>CONSTRUCCIÓN DESTACAMENTO POLICIAL EN LA COMUNIDAD DE QUITA CORAZA, PROVINCIA BARAHONA</t>
  </si>
  <si>
    <t>Nombre o título del proyecto.</t>
  </si>
  <si>
    <t>objetivogeneral</t>
  </si>
  <si>
    <t>ISNULL(objetivogeneral,'SIN INFORMACION')</t>
  </si>
  <si>
    <t>El fin del proyecto propuesto es contribuir directamente a los objetivos más amplios de diversos documentos estratégicos y de política pública del Gobierno Dominicano y asumir parcialmente responsabilidades ineludibles asignadas a la Comisión Presidencial de Apoyo al Desarrollo Provincial (CPADP) y sus dependencias</t>
  </si>
  <si>
    <t>Descripción general del objetivo del proyecto.</t>
  </si>
  <si>
    <t>82.15</t>
  </si>
  <si>
    <t>Estado o progreso financiero del proyecto.</t>
  </si>
  <si>
    <t>dbo.Estado</t>
  </si>
  <si>
    <t>IdEstado</t>
  </si>
  <si>
    <t>isnull(IdEstado,'0')</t>
  </si>
  <si>
    <t>Identificación única del estado actual del proyecto.</t>
  </si>
  <si>
    <t>isnull(NombreEstado,'DESCONOCIDO')</t>
  </si>
  <si>
    <t>EJECUCIÓN</t>
  </si>
  <si>
    <t>Nombre o descripción del estado actual del proyecto.</t>
  </si>
  <si>
    <t>Identificación única del proyecto.</t>
  </si>
  <si>
    <t>cast( VlrTotalProyectoTodasLasFuentes AS  decimal(18,2))</t>
  </si>
  <si>
    <t>ValorProyecto</t>
  </si>
  <si>
    <t>7138434.00</t>
  </si>
  <si>
    <t>Monto o valor total del proyecto.</t>
  </si>
  <si>
    <t>Vigente</t>
  </si>
  <si>
    <t>cast( sum(Vigente) AS  decimal(38,2))</t>
  </si>
  <si>
    <t>ValorFinanciado</t>
  </si>
  <si>
    <t>1528222.17</t>
  </si>
  <si>
    <t>Monto o valor financiado para el proyecto.</t>
  </si>
  <si>
    <t>EjecucionAcumulada</t>
  </si>
  <si>
    <t>cast( sum(EjecucionAcumulada) AS  decimal(18,2))</t>
  </si>
  <si>
    <t>1528149.69</t>
  </si>
  <si>
    <t>Monto o valor ejecutado hasta el momento para el proyecto.</t>
  </si>
  <si>
    <t>IdProyecto + fixed value</t>
  </si>
  <si>
    <t>concat('http://mapainversiones.economia.gob.do/Proyecto/PerfilProyecto/',IdProyecto)</t>
  </si>
  <si>
    <t>URLProyecto</t>
  </si>
  <si>
    <t>http://mapainversiones.economia.gob.do/Proyecto/PerfilProyecto/4432</t>
  </si>
  <si>
    <t>URL o enlace que dirige a la ubicación del proyecto en línea o a su documentación correspondiente.</t>
  </si>
  <si>
    <t>MH y MEPyD'</t>
  </si>
  <si>
    <t>MH y MEPyD</t>
  </si>
  <si>
    <t>Fuente de donde se obtuvo la información sobre el proyecto.</t>
  </si>
  <si>
    <t>idFuente = 7</t>
  </si>
  <si>
    <t>FechaActualizacionFuenteMH</t>
  </si>
  <si>
    <t>Fecha en la que se actualizó la información sobre el proyecto según la fuente de datos de Ministerio de Hacienda.</t>
  </si>
  <si>
    <t>dateime</t>
  </si>
  <si>
    <t>idFuente = 1</t>
  </si>
  <si>
    <t>FechaActualizacionFuenteMEPyD</t>
  </si>
  <si>
    <t>Fecha en la que se actualizó la información sobre el proyecto según la fuente de datos del Ministerio de Economía, Planificación y Desarrollo.</t>
  </si>
  <si>
    <t>These data can be complemented with information from the DGCP's open data portal from where more data on purchasing and contract processes can be obtained.</t>
  </si>
  <si>
    <t>https://datosabiertos.dgcp.gob.do/opendata/tablas</t>
  </si>
  <si>
    <t xml:space="preserve">Opendata Investment Budget Dominican Republic ( View NuevaVisionRD.[consulta].[VwDatosAbiertosProcesosXProyectosInv]) </t>
  </si>
  <si>
    <t>Procesos de Compras asociados a Proyectos de Inversion</t>
  </si>
  <si>
    <t>consulta.ProcesoXProyectoInversion</t>
  </si>
  <si>
    <t>varchar(40)</t>
  </si>
  <si>
    <t>AMPLIACIÓN DE ACUEDUCTO EN EL MUNICIPIO DE  VILLA HERMOSA PROVINCIA LA ROMANA</t>
  </si>
  <si>
    <t>Nombre o título del proyecto asociado al proceso de compra.</t>
  </si>
  <si>
    <t>codigoproceso</t>
  </si>
  <si>
    <t>CodigoProceso</t>
  </si>
  <si>
    <t>COAAROM-DAF-CM-2023-0027</t>
  </si>
  <si>
    <t>Código que identifica un proceso específico asociado al contrato.</t>
  </si>
  <si>
    <t>dbo.procesos</t>
  </si>
  <si>
    <t>Descripcion</t>
  </si>
  <si>
    <t>DescripcionProceso</t>
  </si>
  <si>
    <t>Servicio de perforación de encamisado y aforo del pozo a 240 pie y un diámetro de 6 pie</t>
  </si>
  <si>
    <t>Descripción detallada del proceso de contratación, incluyendo los términos, condiciones y alcances del mismo.</t>
  </si>
  <si>
    <t>Caratula</t>
  </si>
  <si>
    <t>varchar(250)</t>
  </si>
  <si>
    <t>Servicio de perforaccion de encamisado y aforo del pozo a 240 pie y un diámetro de 6 pie</t>
  </si>
  <si>
    <t>Documento que contiene información resumida sobre el proceso de contratación, incluyendo detalles relevantes como el tipo de proceso, las partes involucradas, etc.</t>
  </si>
  <si>
    <t>EstadoProceso</t>
  </si>
  <si>
    <t>varchar(100)</t>
  </si>
  <si>
    <t>Proceso adjudicado y celebrado</t>
  </si>
  <si>
    <t>Estado actual del proceso de contratación, por ejemplo: pendiente, en curso, adjudicado, cancelado, etc.</t>
  </si>
  <si>
    <t>MontoEstimado</t>
  </si>
  <si>
    <t>numeric(38,6)</t>
  </si>
  <si>
    <t>Monto o valor estimado para el proceso de contratación.</t>
  </si>
  <si>
    <t>Modalidad</t>
  </si>
  <si>
    <t>Compras Menores</t>
  </si>
  <si>
    <t>Modalidad bajo la cual se realiza el proceso de contratación, por ejemplo: licitación pública, concurso de precios, contratación directa, etc.</t>
  </si>
  <si>
    <t>Url</t>
  </si>
  <si>
    <t>UrlProceso</t>
  </si>
  <si>
    <t>https://comunidad.comprasdominicana.gob.do//Public/Tendering/OpportunityDetail/Index?noticeUID=DO1.NTC.1280931</t>
  </si>
  <si>
    <t>URL o enlace que dirige a la ubicación del proceso de contratación en línea o a su documentación correspondiente</t>
  </si>
  <si>
    <t>Fixed Value</t>
  </si>
  <si>
    <t>MH y DGCP</t>
  </si>
  <si>
    <t>Fuente de donde se obtuvo la información sobre el proceso de contratación.</t>
  </si>
  <si>
    <t>select top 1 cast(FechaActualizacionFuente as date) 
	from dbo.FuenteDeLosRecursos where idFuente = 7</t>
  </si>
  <si>
    <t>Fecha en la que se actualizó la información sobre el proceso de contratación según la fuente de datos de Ministerio de Hacienda</t>
  </si>
  <si>
    <t>select top 1 cast(FechaActualizacionFuente as date) 
	from dbo.FuenteDeLosRecursos where idFuente = 8</t>
  </si>
  <si>
    <t>FechaActualizacionFuenteDGCP</t>
  </si>
  <si>
    <t>Fecha en la que se actualizó la información sobre el proceso de contratación según la fuente de datos del Sistema de Contrataciones Públicas (DGCP)</t>
  </si>
  <si>
    <t xml:space="preserve">Opendata Investment Budget Dominican Republic ( View NuevaVisionRD.[consulta].[VwDatosAbiertosContratosXProyectosInv] ) </t>
  </si>
  <si>
    <t>Contratos asociados a Proyectos de Inversion</t>
  </si>
  <si>
    <t>consulta.ContratoXProyectoInversion</t>
  </si>
  <si>
    <t>CONSTRUCCIÓN SISTEMA DE AGUA POTABLE PARA EL SECTOR VILLA PROGRESO EN EL MUNICIPIO DE VILLA HERMOSA</t>
  </si>
  <si>
    <t>Nombre o título del proyecto al cual está relacionado el contrato</t>
  </si>
  <si>
    <t>COAAROM-UC-CD-2022-0199</t>
  </si>
  <si>
    <t>dbo.Contratos</t>
  </si>
  <si>
    <t>codigocontrato</t>
  </si>
  <si>
    <t>nvarchar(200)</t>
  </si>
  <si>
    <t>CodigoContrato</t>
  </si>
  <si>
    <t>COAAROM-2022-00223</t>
  </si>
  <si>
    <t>Código único que identifica el contrato dentro del sistema o conjunto de contratos.</t>
  </si>
  <si>
    <t>DescripcionContrato</t>
  </si>
  <si>
    <t>nvarchar(500)</t>
  </si>
  <si>
    <t>Levantamiento de campo</t>
  </si>
  <si>
    <t>Descripción detallada del contrato, incluyendo términos y condiciones relevantes.</t>
  </si>
  <si>
    <t>EstadoContrato</t>
  </si>
  <si>
    <t>Cerrado</t>
  </si>
  <si>
    <t>Estado actual del contrato, por ejemplo: pendiente, en curso, finalizado, etc.</t>
  </si>
  <si>
    <t>MonedaContrato</t>
  </si>
  <si>
    <t>DOP</t>
  </si>
  <si>
    <t>Tipo de moneda utilizada para expresar los valores del contrato.</t>
  </si>
  <si>
    <t>valorcontratado</t>
  </si>
  <si>
    <t>ValorContrato</t>
  </si>
  <si>
    <t>Monto o valor total del contrato.</t>
  </si>
  <si>
    <t>RPE</t>
  </si>
  <si>
    <t>CodigoProveedor</t>
  </si>
  <si>
    <t>Código único que identifica al proveedor asociado al contrato.</t>
  </si>
  <si>
    <t>razonsocial</t>
  </si>
  <si>
    <t>nvarchar(150)</t>
  </si>
  <si>
    <t>Proveedor</t>
  </si>
  <si>
    <t>ENRIQUE ANIBAL LIED SANABIA</t>
  </si>
  <si>
    <t>Nombre o identificación del proveedor con el que se estableció el contrato.</t>
  </si>
  <si>
    <t>varchar(350)</t>
  </si>
  <si>
    <t>UrlContrato</t>
  </si>
  <si>
    <t>https://comunidad.comprasdominicana.gob.do/Public/Tendering/ContractDetailView/Index?UniqueIdentifier=DO1.PCCNTR.1473506&amp;AwardContractDetailId=415729</t>
  </si>
  <si>
    <t>URL o enlace que dirige a la ubicación del contrato en línea o a su documentación correspondiente.</t>
  </si>
  <si>
    <t>Fuente de donde se obtuvo la información sobre el contrato.</t>
  </si>
  <si>
    <t>Fecha en la que se actualizó la información sobre el contrato según la fuente de datos de Ministerio de Hacienda.</t>
  </si>
  <si>
    <t>select top 1 cast(FechaActualizacionFuente as date) 
	from dbo.FuenteDeLosRecursos where idFuente = 2</t>
  </si>
  <si>
    <t>Fecha en la que se actualizó la información sobre el contrato según la fuente de datos del Sistema de Contrataciones Públicas (DGCP)</t>
  </si>
  <si>
    <t>This source is an API (metabase)</t>
  </si>
  <si>
    <t>the data is obtained in csv format</t>
  </si>
  <si>
    <t>field</t>
  </si>
  <si>
    <t>example value</t>
  </si>
  <si>
    <t>description (spanish)</t>
  </si>
  <si>
    <t>description (english)</t>
  </si>
  <si>
    <t>Identificador único de la linea presupuestal</t>
  </si>
  <si>
    <t>Año de la linea presupuestal</t>
  </si>
  <si>
    <t>EGPG1708551003655vbK</t>
  </si>
  <si>
    <t>REMODELACIÓN CANCHA DE BALONCESTO EN LA COMUNIDAD DE HATILLO PROVINCIA SAN CRISTOBAL</t>
  </si>
  <si>
    <t>OBRA FISICA</t>
  </si>
  <si>
    <t>22.03.91.0051-OBRA FISICA</t>
  </si>
  <si>
    <t>INFRAESTRUCTURA</t>
  </si>
  <si>
    <t>2.7.2.2</t>
  </si>
  <si>
    <t>Obras de energía</t>
  </si>
  <si>
    <t>2.7.2.2.01</t>
  </si>
  <si>
    <t>Construcciones en proceso</t>
  </si>
  <si>
    <t>2.2.1.1</t>
  </si>
  <si>
    <t>Construcciones por contrato</t>
  </si>
  <si>
    <t>Corriente</t>
  </si>
  <si>
    <t>El proyecto consiste en la remodelación de la cancha de baloncesto Hatillo que comprende: Construcción de área de juego en hormigón armado con superficie 510 m2, construcción de dos (2) pedestales en hormigón con tablero en fibra de vidrio, una (1) Grada con aun área de 48 m2, 132 ml de verja perimetral y dos (2) baños (damas y caballeros).</t>
  </si>
  <si>
    <t>MULTIMUNICIPAL</t>
  </si>
  <si>
    <t>Inst:2024-0201-01-0009  Prg:22-03-91-0051  Fxp:0100 OF:100 CCP:2.7.2.2.01  FN:4.3.02  UG:05-21-9999 Obj:00000  IR:0000 Snip:14677  Tip:1</t>
  </si>
  <si>
    <t>342272.07</t>
  </si>
  <si>
    <t>Código de la sección</t>
  </si>
  <si>
    <t>EGPG1703883908103ojG</t>
  </si>
  <si>
    <t>CONSTRUCCIÓN CANCHA DE BALONCESTO EN EL BARRIO PROSPERIDAD, MUNICIPIO BONAO, PROVINCIA MONSEÑOR NOUEL</t>
  </si>
  <si>
    <t>CONSTRUCCIÓN CANCHA DE BALONCESTO EN LA COMUNIDAD PROSPERIDAD</t>
  </si>
  <si>
    <t>22.03.92.0051-CONSTRUCCIÓN CANCHA DE BALONCESTO EN LA COMUNIDAD PROSPERIDAD</t>
  </si>
  <si>
    <t>2.7.2.7</t>
  </si>
  <si>
    <t>Obras urbanísticas</t>
  </si>
  <si>
    <t>2.7.2.7.01</t>
  </si>
  <si>
    <t>El proyecto a presentar será la construcción de una cancha de baloncesto en el Barrio Prosperidad del municipio de Bonao, provincai Monseñor Nouel que contará con una área de juego de 510 m2,  Gradas 48 m2, Verja perimetral: 132 ml y construcción de baños: 2 und (damas y caballeros).</t>
  </si>
  <si>
    <t>REGION CIBAO SUR</t>
  </si>
  <si>
    <t>MONSENOR NOUEL</t>
  </si>
  <si>
    <t>BONAO</t>
  </si>
  <si>
    <t>Inst:2024-0201-01-0009  Prg:22-03-92-0051  Fxp:0100 OF:100 CCP:2.7.2.7.01  FN:4.3.02  UG:02-28-0001 Obj:00000  IR:0000 Snip:14678  Tip:1</t>
  </si>
  <si>
    <t>717284.00</t>
  </si>
  <si>
    <t>2838647.12</t>
  </si>
  <si>
    <t>3555931.12</t>
  </si>
  <si>
    <t>Descripción de la sección</t>
  </si>
  <si>
    <t>EGPG1703883908345thG</t>
  </si>
  <si>
    <t>supervisión</t>
  </si>
  <si>
    <t>22.03.92.0052-supervisión</t>
  </si>
  <si>
    <t>Inst:2024-0201-01-0009  Prg:22-03-92-0052  Fxp:0100 OF:100 CCP:2.7.1.5.01  FN:4.3.02  UG:02-28-0001 Obj:00000  IR:0000 Snip:14678  Tip:1</t>
  </si>
  <si>
    <t>96589.00</t>
  </si>
  <si>
    <t>269903.66</t>
  </si>
  <si>
    <t>366492.66</t>
  </si>
  <si>
    <t>Código del Capitulo</t>
  </si>
  <si>
    <t>EGPG1703883908561HpF</t>
  </si>
  <si>
    <t>CONSTRUCCIÓN CANCHA DE BALONCESTO EN EL BARRIO CANTA LA RANA, MUNICIPIO PIEDRA BLANCA, PROVINCIA MONSEÑOR NOUEL</t>
  </si>
  <si>
    <t>CONSTRUCCIÓN CANCHA DE BALONCESTO EN EL MUNICIPIO PIEDRA BLANCA</t>
  </si>
  <si>
    <t>22.03.93.0051-CONSTRUCCIÓN CANCHA DE BALONCESTO EN EL MUNICIPIO PIEDRA BLANCA</t>
  </si>
  <si>
    <t>El proyecto conciste en la construcción de una cancha de baloncesto en el sector Canta la Rana en el municipio Piedra Blanca, provincia Monseñor Nouel según se describe a continuación: Construcción de un área de juego de 510 m2,  Construcción de Gradas 48 m2,  Construcción de 132 metros lineales de  verja perimetral  y construcción de baños: 2 unds (damas y caballeros).</t>
  </si>
  <si>
    <t>PIEDRA BLANCA</t>
  </si>
  <si>
    <t>Inst:2024-0201-01-0009  Prg:22-03-93-0051  Fxp:0100 OF:100 CCP:2.7.2.7.01  FN:4.3.02  UG:02-28-0003 Obj:00000  IR:0000 Snip:14679  Tip:1</t>
  </si>
  <si>
    <t>375687.00</t>
  </si>
  <si>
    <t>Nombre del Capitulo</t>
  </si>
  <si>
    <t>EGPG17038839087619GL</t>
  </si>
  <si>
    <t>22.03.93.0052-supervisión</t>
  </si>
  <si>
    <t>Inst:2024-0201-01-0009  Prg:22-03-93-0052  Fxp:0100 OF:100 CCP:2.7.1.5.01  FN:4.3.02  UG:02-28-0003 Obj:00000  IR:0000 Snip:14679  Tip:1</t>
  </si>
  <si>
    <t>96590.00</t>
  </si>
  <si>
    <t>Código del SubCapitulo</t>
  </si>
  <si>
    <t>EGPG1703883875083CrR</t>
  </si>
  <si>
    <t>CONSTRUCCIÓN CANCHA DE BALONCESTO EN EL BARRIO EL OCHO, MUNICIPIO BONAO, PROVINCIA MONSEÑOR NOUEL</t>
  </si>
  <si>
    <t>CONSTRUCCIÓN CANCHA DE BALONCESTO EN EL BARRIO 8</t>
  </si>
  <si>
    <t>22.03.94.0051-CONSTRUCCIÓN CANCHA DE BALONCESTO EN EL BARRIO 8</t>
  </si>
  <si>
    <t>El proyecto contempla la construcción de una cancha de baloncesto en el  Barrio El Ocho del municipio de Bonao que contará con una área de juego de 510 m2, la construcción de Gradas 48 m2 construcción de Verja perimetral de 132 ml y construcción de baños: 2 unds (damas y caballeros).</t>
  </si>
  <si>
    <t>Inst:2024-0201-01-0009  Prg:22-03-94-0051  Fxp:0100 OF:100 CCP:2.7.2.7.01  FN:4.3.02  UG:02-28-0001 Obj:00000  IR:0000 Snip:14681  Tip:1</t>
  </si>
  <si>
    <t>2509403.00</t>
  </si>
  <si>
    <t>NOmbre del Subcapítulo</t>
  </si>
  <si>
    <t>EGPG1703883875307yyR</t>
  </si>
  <si>
    <t>22.03.94.0052-supervisión</t>
  </si>
  <si>
    <t>Inst:2024-0201-01-0009  Prg:22-03-94-0052  Fxp:0100 OF:100 CCP:2.7.1.5.01  FN:4.3.02  UG:02-28-0001 Obj:00000  IR:0000 Snip:14681  Tip:1</t>
  </si>
  <si>
    <t>Código de la entidad ejecutora</t>
  </si>
  <si>
    <t>EGPG1703883907045FGJ</t>
  </si>
  <si>
    <t>CONSTRUCCIÓN CANCHA DE BALONCESTO EN EL BARRIO QUIJA QUIETA, MUNICIPIO SAN JUAN DE LA MAGUANA, PROVINCIA SAN JUAN</t>
  </si>
  <si>
    <t>CONSTRUCCIÓN CANCHA DE BALONCESTO EN EL SECTOR QUIJA QUIETA</t>
  </si>
  <si>
    <t>22.03.95.0051-CONSTRUCCIÓN CANCHA DE BALONCESTO EN EL SECTOR QUIJA QUIETA</t>
  </si>
  <si>
    <t>Construcción de una cancha de baloncesto en el Barrio Quija Quieta que contará con una área de juego de 510 m2, Gradas 48 m2  Verja perimetral: 132 ml y construcción de baños: 2 und (damas y caballeros).</t>
  </si>
  <si>
    <t>REGION EL VALLE</t>
  </si>
  <si>
    <t>SAN JUAN</t>
  </si>
  <si>
    <t>Inst:2024-0201-01-0009  Prg:22-03-95-0051  Fxp:0100 OF:100 CCP:2.7.2.7.01  FN:4.3.02  UG:07-22-0001 Obj:00000  IR:0000 Snip:14694  Tip:1</t>
  </si>
  <si>
    <t>2528720.00</t>
  </si>
  <si>
    <t>Nombre de la entidad ejecutora</t>
  </si>
  <si>
    <t>EGPG1703883907336JYf</t>
  </si>
  <si>
    <t>22.03.95.0052-Supervisión</t>
  </si>
  <si>
    <t>Inst:2024-0201-01-0009  Prg:22-03-95-0052  Fxp:0100 OF:100 CCP:2.7.1.5.01  FN:4.3.02  UG:07-22-0001 Obj:00000  IR:0000 Snip:14694  Tip:1</t>
  </si>
  <si>
    <t>Descripción completa de la entidad ejecutora</t>
  </si>
  <si>
    <t>EGPG1703883882832455</t>
  </si>
  <si>
    <t>CONSTRUCCIÓN CANCHA DE BALONCESTO EN EL MUNICIPIO EL CERCADO, PROVINCIA SAN JUAN</t>
  </si>
  <si>
    <t>CONSTRUCCIÓN CANCHA DE BALONCESTO EN EL MUNICIPIO EL CERCADO</t>
  </si>
  <si>
    <t>22.03.96.0051-CONSTRUCCIÓN CANCHA DE BALONCESTO EN EL MUNICIPIO EL CERCADO</t>
  </si>
  <si>
    <t>El proyecto a presentar será la construccion de una cancha de baloncesto en la comunidad El Cercado que contará con un área de juego de 510 m2, Gradas 48 m2, Verja perimetral 132 ml y  baños: 2 und (damas y caballeros).</t>
  </si>
  <si>
    <t>EL CERCADO</t>
  </si>
  <si>
    <t>Inst:2024-0201-01-0009  Prg:22-03-96-0051  Fxp:0100 OF:100 CCP:2.7.2.7.01  FN:4.3.02  UG:07-22-0003 Obj:00000  IR:0000 Snip:14695  Tip:1</t>
  </si>
  <si>
    <t>Codigo del programa</t>
  </si>
  <si>
    <t>EGPG1703883906787kEI</t>
  </si>
  <si>
    <t>SUPERVISION</t>
  </si>
  <si>
    <t>22.03.96.0052-SUPERVISION</t>
  </si>
  <si>
    <t>Inst:2024-0201-01-0009  Prg:22-03-96-0052  Fxp:0100 OF:100 CCP:2.7.1.5.01  FN:4.3.02  UG:07-22-0003 Obj:00000  IR:0000 Snip:14695  Tip:1</t>
  </si>
  <si>
    <t>Nombre del programa</t>
  </si>
  <si>
    <t>EGPG1703883907634EzZ</t>
  </si>
  <si>
    <t>CONSTRUCCIÓN CANCHA DE BALONCESTO EN EL DISTRITO MUNICIPAL GUANITO, MUNICIPIO SAN JUAN DE LA MAGUANA, PROVINCIA SAN JUAN</t>
  </si>
  <si>
    <t>CONSTRUCCIÓN CANCHA DE BALONCESTO EN EL DISTRITO MUNICIPAL GUANITO</t>
  </si>
  <si>
    <t>22.03.97.0051-CONSTRUCCIÓN CANCHA DE BALONCESTO EN EL DISTRITO MUNICIPAL GUANITO</t>
  </si>
  <si>
    <t>El proyecto incluye la construcción de una cancha de baloncesto en el sector Los Bancos, distrito municipal Guanito que contará con una área de juego de 510 m2, Gradas 48 m2 Verja perimetral: 132 ml y construcción de baños: 2 unds. (damas y caballeros).</t>
  </si>
  <si>
    <t>Inst:2024-0201-01-0009  Prg:22-03-97-0051  Fxp:0100 OF:100 CCP:2.7.2.7.01  FN:4.3.02  UG:07-22-0001 Obj:00000  IR:0000 Snip:14698  Tip:1</t>
  </si>
  <si>
    <t>2528721.00</t>
  </si>
  <si>
    <t>Código del producto</t>
  </si>
  <si>
    <t>EGPG17038839078686Iy</t>
  </si>
  <si>
    <t>22.03.97.0052-supervisión</t>
  </si>
  <si>
    <t>Inst:2024-0201-01-0009  Prg:22-03-97-0052  Fxp:0100 OF:100 CCP:2.7.1.5.01  FN:4.3.02  UG:07-22-0001 Obj:00000  IR:0000 Snip:14698  Tip:1</t>
  </si>
  <si>
    <t>Nombre del Producto</t>
  </si>
  <si>
    <t>EGPG170388390941769c</t>
  </si>
  <si>
    <t>REMODELACIÓN CLUB DEPORTIVO RENACER EN EL SECTOR GUACHUPITA,  DISTRITO NACIONAL.</t>
  </si>
  <si>
    <t>obra fisica</t>
  </si>
  <si>
    <t>22.03.99.0051-obra fisica</t>
  </si>
  <si>
    <t>El proyector consiste en la remodelacion del Club Deportivo Renacer:  Se intervendrá toda el área de practicas deportivas ( 814 m2 de area de construccion) incluye el techado en aluzin.  Área de juego: 717.54 m2 Pedestales en hormigón con tablero en fibra de vidrio: 2 und Gradas: 147.10 m2 Verja perimetral: 166.78 ml Área de baños: 2 und (damas y caballeros) Techado metálico: 814 m2</t>
  </si>
  <si>
    <t>REGION OZAMA O METROPOLITANA</t>
  </si>
  <si>
    <t>SANTO DOMINGO DE GUZMAN</t>
  </si>
  <si>
    <t>Inst:2024-0201-01-0009  Prg:22-03-99-0051  Fxp:0100 OF:100 CCP:2.7.2.7.01  FN:4.3.02  UG:10-01-0001 Obj:00000  IR:0000 Snip:14704  Tip:1</t>
  </si>
  <si>
    <t>7901788.00</t>
  </si>
  <si>
    <t>Código del Proyecto</t>
  </si>
  <si>
    <t>EGPG1703883909603ofT</t>
  </si>
  <si>
    <t>22.03.99.0052-supervisión</t>
  </si>
  <si>
    <t>Inst:2024-0201-01-0009  Prg:22-03-99-0052  Fxp:0100 OF:100 CCP:2.7.1.5.01  FN:4.3.02  UG:10-01-0001 Obj:00000  IR:0000 Snip:14704  Tip:1</t>
  </si>
  <si>
    <t>211353.00</t>
  </si>
  <si>
    <t>Nombre del proyecto</t>
  </si>
  <si>
    <t>EGPG1703883874362YRr</t>
  </si>
  <si>
    <t>Construcción de obras Comunitarias 2.0</t>
  </si>
  <si>
    <t>CONSTRUCCIÓN CENTRO COMUNAL NUEVA ESPERANZA, MUNICIPIO BANI, PROVINCIA PERAVIA</t>
  </si>
  <si>
    <t>22.04.01.0051-CONSTRUCCIÓN CENTRO COMUNAL NUEVA ESPERANZA, MUNICIPIO BANI, PROVINCIA PERAVIA</t>
  </si>
  <si>
    <t>Vivienda y servicios comunitarios</t>
  </si>
  <si>
    <t>2.7.1.2</t>
  </si>
  <si>
    <t>2.2.2.1.2</t>
  </si>
  <si>
    <t>Edificaciones no residenciales</t>
  </si>
  <si>
    <t>En el Sector Nueva Esperanza  del municipio Bani, la población manifiesta poca participación en actividades socioculturales, debido a que no existe un local o infraestructura funcional para realizar las actividades a nivel comunitario. Las causas que han podido identificarse son actividades socioculturales realizadas en espacios inadecuados para su correcto desarrollo, así como también, carencia de lugares en la comunidad para la realización de actividades socioculturales.  El centro comunal que se propone incluyen actividades socioculturales, así como también realizar otras actividades comunitarias tales como: operativos médicos, bodas, charlas, velatorios, cumpleaños, reuniones y encuentros sociales. La infraestructura contempla un salón de usos múltiples.  Objetivo Específico  Construir Centro Comunal en la comunidad Nueva Esperanza, municipio Bani. Con aprox. 103.11 m2 de construcción.  Datos Técnicos: . Área: 103.11 m² Capacidad:  75 a 150 Personas Aprox  ** Construir 101.3 m2 de infraestructura ** Construir una cisterna de 6,582 galones, área 5.00 m2 ** Construir Verja perimetral 155.53 ml</t>
  </si>
  <si>
    <t>BANI</t>
  </si>
  <si>
    <t>Inst:2024-0201-01-0009  Prg:22-04-01-0051  Fxp:0100 OF:100 CCP:2.7.1.2.01  FN:4.1.02  UG:05-17-0001 Obj:00000  IR:0000 Snip:14756  Tip:1</t>
  </si>
  <si>
    <t>3050421.00</t>
  </si>
  <si>
    <t>Código de Activdad obra</t>
  </si>
  <si>
    <t>EGPG1703883874550MBI</t>
  </si>
  <si>
    <t>SUPERVISION DE LA CONSTRUCCIÓN DEL CENTRO COMUNAL NUEVA ESPERANZA, MUNICIPIO BANI, PROVINCIA PERAVIA</t>
  </si>
  <si>
    <t>22.04.01.0052-SUPERVISION DE LA CONSTRUCCIÓN DEL CENTRO COMUNAL NUEVA ESPERANZA, MUNICIPIO BANI, PROVINCIA PERAVIA</t>
  </si>
  <si>
    <t>Inst:2024-0201-01-0009  Prg:22-04-01-0052  Fxp:0100 OF:100 CCP:2.7.1.5.01  FN:4.1.02  UG:05-17-0001 Obj:00000  IR:0000 Snip:14756  Tip:1</t>
  </si>
  <si>
    <t>117414.00</t>
  </si>
  <si>
    <t>Nombre de la Actividad obra</t>
  </si>
  <si>
    <t>EGPG1703883909013won</t>
  </si>
  <si>
    <t>CONSTRUCCIÓN DE UN NUEVO CEMENTERIO EN EL MUNICIPIO LOS RIOS, PROVINCIA BAHORUCO</t>
  </si>
  <si>
    <t>22.04.02.0051-CONSTRUCCIÓN DE UN NUEVO CEMENTERIO EN EL MUNICIPIO LOS RIOS, PROVINCIA BAHORUCO</t>
  </si>
  <si>
    <t>2.7.2.8</t>
  </si>
  <si>
    <t>Obras en cementerios</t>
  </si>
  <si>
    <t>2.7.2.8.01</t>
  </si>
  <si>
    <t>El proyecto consiste en la construcción de un nuevo cementerio en el municipio Los Ríos, provincia Bahoruco. Este cementerio constara con una área de  8,325.52 m2, con 2,268.5m2 de aceras, 478 m de contenes, y una oficina administrativa de 73 m2.</t>
  </si>
  <si>
    <t>REGION ENRIQUILLO</t>
  </si>
  <si>
    <t>BAHORUCO</t>
  </si>
  <si>
    <t>LOS RIOS</t>
  </si>
  <si>
    <t>Inst:2024-0201-01-0009  Prg:22-04-02-0051  Fxp:0100 OF:100 CCP:2.7.2.8.01  FN:4.1.02  UG:06-03-0005 Obj:00000  IR:0000 Snip:14710  Tip:1</t>
  </si>
  <si>
    <t>8430961.00</t>
  </si>
  <si>
    <t>Descripción de la Actividad obra</t>
  </si>
  <si>
    <t>EGPG1703883909228bTj</t>
  </si>
  <si>
    <t>SUPERVISION DE LA CONSTRUCCIÓN DE UN NUEVO CEMENTERIO EN EL MUNICIPIO LOS RIOS, PROVINCIA BAHORUCO</t>
  </si>
  <si>
    <t>22.04.02.0052-SUPERVISION DE LA CONSTRUCCIÓN DE UN NUEVO CEMENTERIO EN EL MUNICIPIO LOS RIOS, PROVINCIA BAHORUCO</t>
  </si>
  <si>
    <t>Inst:2024-0201-01-0009  Prg:22-04-02-0052  Fxp:0100 OF:100 CCP:2.7.1.5.01  FN:4.1.02  UG:06-03-0005 Obj:00000  IR:0000 Snip:14710  Tip:1</t>
  </si>
  <si>
    <t>777515.00</t>
  </si>
  <si>
    <t>Código del organismo financiador</t>
  </si>
  <si>
    <t>EGPG1703883909805WJE</t>
  </si>
  <si>
    <t>REMODELACIÓN POLIDEPORTIVO DE HAINA, MUNICIPIO BAJOS DE HAINA, PROVINCIA SAN CRISTOBAL</t>
  </si>
  <si>
    <t>22.04.03.0051-obra fisica</t>
  </si>
  <si>
    <t>La remodelación del polideportivo de Haina cuenta con un área de 2335.60 m2, en donde se realizaran las siguientes actividades:   Demolición de Muro de hormigón en áreas de grada 222.83 m2 - Pintura acrílica en general en todo el interior 1,040.89 m2 - Construcción de 2 oficinas en área interior al lado de las gradas 40.08 m2 - Reestructuración de butacas existentes de gradas en aluminio fundido (Brazos, espaldar y asentaderas), incluye desmonte, instalación, pintura. 560 UD - Reparación y adecuación de las instalaciones eléctricas en general - Suministro y colocación de pizarra de anotaciones digital en cancha techada.  - Suministro e instalación de tablero incluyendo líneas de juego para baloncesto y voleibol, para un. área estimada de 20.10mts x 32.30mts aproximadamente 650m2. - Suministro y colocación de tableros en fibra de vidrio 72''*42'' para cancha de baloncesto, incluye canasta y almohadilla de protección. - Construcción de registro de (1.50*1.50*0.30) mt con rejilla metálica y tuberías de 6'' de diámetro como movilización de aguas estancadas hacia un sumidero (1.40*1.40*1.80) mt, para la filtración de las aguas en el terreno</t>
  </si>
  <si>
    <t>BAJOS DE HAINA</t>
  </si>
  <si>
    <t>Inst:2024-0201-01-0009  Prg:22-04-03-0051  Fxp:0100 OF:100 CCP:2.7.2.7.01  FN:4.3.02  UG:05-21-0003 Obj:00000  IR:0000 Snip:14730  Tip:1</t>
  </si>
  <si>
    <t>3141627.00</t>
  </si>
  <si>
    <t>Descripción del organismo financiador</t>
  </si>
  <si>
    <t>EGPG17038838766726Gl</t>
  </si>
  <si>
    <t>CONSTRUCCIÓN CENTRO COMUNAL EL GUAYABO, MUNICIPIO VALLEJUELO, PROVINCIA SAN JUAN</t>
  </si>
  <si>
    <t>Construcción Centro Comunal Comunidad El Guayabo, Municipio Vallejuelo</t>
  </si>
  <si>
    <t>22.04.04.0051-Construcción Centro Comunal Comunidad El Guayabo, Municipio Vallejuelo</t>
  </si>
  <si>
    <t>Ante la necesidad de prestar un servicio a la comunidad más equitativo y de mayor calidad es preciso entrar a hacer un análisis de la ubicación y estado físico de la infraestructura comunitaria que nos permita identificar las necesidades de adecuación y construcción de nuevos espacios acordes al desarrollo sociocultural de las comunidades.   Como se mencionó anteriormente, varias comunidades de la provincia de San Juan, mantiene Poca participación de los jóvenes en actividades socioculturales lo que pone de manifiesto Baja integración de los jóvenes en actividades socioculturales, así como también, necesidad de traslado hacia otras localidades para la realización de actividades.  El proyecto que se propone tiene intervención en la comunidad de El Guayabo, Municipio Vallejuelo. Por tanto, Vallejuelo es un municipio de la República Dominicana, que está situado en la provincia de San Juan. Con una superficie de 221.7 km2 y una densidad poblacional de 56 hab/km2. Un crecimiento intercensal de 5.1 %. Según proyecciones de la ONE al 2020 vallejuelo contaba con una población de 11,839 habitantes, donde 6,404 son hombre y 5,435 Mujeres.  Objetivo Específico Construir Centro Comunal en El Guayabo, Municipio Vallejuelo. Con aprox. 475.41 m2 de construcción Datos Técnicos: . Área: 475.41m² Capacidad:  150 Personas Aprox  **Construir 475.41 m2 de infraestructura ** Construir una cisterna de 3000 galones, área 6.76 m2 ** Construir Verja perimetral 155.53 ml</t>
  </si>
  <si>
    <t>VALLEJUELO</t>
  </si>
  <si>
    <t>Inst:2024-0201-01-0009  Prg:22-04-04-0051  Fxp:0100 OF:100 CCP:2.7.1.2.01  FN:4.1.02  UG:07-22-0006 Obj:00000  IR:0000 Snip:14785  Tip:1</t>
  </si>
  <si>
    <t>6145124.00</t>
  </si>
  <si>
    <t>Codigo de la Fuente de Financiación</t>
  </si>
  <si>
    <t>EGPG1703883876859bTS</t>
  </si>
  <si>
    <t>Supervisión de la Construcción Centro Comunal Comunidad El Guayabo, Municipio Vallejuelo</t>
  </si>
  <si>
    <t>22.04.04.0052-Supervisión de la Construcción Centro Comunal Comunidad El Guayabo, Municipio Vallejuelo</t>
  </si>
  <si>
    <t>Inst:2024-0201-01-0009  Prg:22-04-04-0052  Fxp:0100 OF:100 CCP:2.7.1.5.01  FN:4.1.02  UG:07-22-0006 Obj:00000  IR:0000 Snip:14785  Tip:1</t>
  </si>
  <si>
    <t>317004.00</t>
  </si>
  <si>
    <t>Nombre de la fuente de financiación</t>
  </si>
  <si>
    <t>EGPG1703883877024sbj</t>
  </si>
  <si>
    <t>CONSTRUCCIÓN CENTRO COMUNAL DISTRITO MUNICIPAL LAS ZANJAS, MUNICIPIO SAN JUAN DE LA MAGUANA, PROVINCIA SAN JUAN</t>
  </si>
  <si>
    <t>Construcción Centro Comunal en el Distrito Municipal Las Zanjas</t>
  </si>
  <si>
    <t>22.04.05.0051-Construcción Centro Comunal en el Distrito Municipal Las Zanjas</t>
  </si>
  <si>
    <t>El proyecto que se propone tiene intervención en la comunidad Las Zanjas, es un distrito municipal del municipio San Juan de la Maguana. Su población aproximada es de 8,991 habitantes. Actualmente esta comunidad carecen de centros para desarrollar programas socioculturales tales como: operativos médicos, bodas, charlas, velatorios, cumpleaños, reuniones y encuentros sociales, entre otros.  Por tal razón, la inversión pública debe focalizarse hacia aquellos subsectores que más lo requieran y debe tener muy en cuenta las características culturales y socioeconómicas de la población beneficiaria, de tal forma que los programas que se realicen o desarrollen no estén a espaldas de las necesidades del entorno.</t>
  </si>
  <si>
    <t>Inst:2024-0201-01-0009  Prg:22-04-05-0051  Fxp:0100 OF:100 CCP:2.7.1.2.01  FN:4.1.02  UG:07-22-0001 Obj:00000  IR:0000 Snip:14786  Tip:1</t>
  </si>
  <si>
    <t>2305428.00</t>
  </si>
  <si>
    <t>Codigo de la Fuente específica</t>
  </si>
  <si>
    <t>EGPG1703883877178oEu</t>
  </si>
  <si>
    <t>Supervisión de la Construcción Centro Comunal en el Distrito Municipal Las Zanjas</t>
  </si>
  <si>
    <t>22.04.05.0052-Supervisión de la Construcción Centro Comunal en el Distrito Municipal Las Zanjas</t>
  </si>
  <si>
    <t>Inst:2024-0201-01-0009  Prg:22-04-05-0052  Fxp:0100 OF:100 CCP:2.7.1.5.01  FN:4.1.02  UG:07-22-0001 Obj:00000  IR:0000 Snip:14786  Tip:1</t>
  </si>
  <si>
    <t>88061.00</t>
  </si>
  <si>
    <t>Nombre de la fuente específica</t>
  </si>
  <si>
    <t>EGPG1703883877348Gx3</t>
  </si>
  <si>
    <t>CONSTRUCCIÓN CENTRO COMUNAL DISTRITO MUNICIPAL EL ROSARIO, MUNICIPIO SAN JUAN DE LA MAGUANA, PROVINCIA SAN JUAN</t>
  </si>
  <si>
    <t>Construcción Centro Comunal Distrito Municipal El Rosario, Municipio San Juan de la Maguana</t>
  </si>
  <si>
    <t>22.04.06.0051-Construcción Centro Comunal Distrito Municipal El Rosario, Municipio San Juan de la Maguana</t>
  </si>
  <si>
    <t>El proyecto que se propone tiene intervención en la comunidad El Rosario, es un distrito municipal del municipio San Juan de la Maguana. Su población aproximada es de 7,426 habitantes. Actualmente esta comunidad carecen de centros para desarrollar programas socioculturales tales como: operativos médicos, bodas, charlas, velatorios, cumpleaños, reuniones y encuentros sociales, entre otros.  Por tal razón, la inversión pública debe focalizarse hacia aquellos subsectores que más lo requieran y debe tener muy en cuenta las características culturales y socioeconómicas de la población beneficiaria, de tal forma que los programas que se realicen o desarrollen no estén a espaldas de las necesidades del entorno.</t>
  </si>
  <si>
    <t>Inst:2024-0201-01-0009  Prg:22-04-06-0051  Fxp:0100 OF:100 CCP:2.7.1.2.01  FN:4.1.02  UG:07-22-0001 Obj:00000  IR:0000 Snip:14787  Tip:1</t>
  </si>
  <si>
    <t>4000000.00</t>
  </si>
  <si>
    <t>Código de la Finalidad</t>
  </si>
  <si>
    <t>EGPG1703883877506NLo</t>
  </si>
  <si>
    <t>Supervisión de la Construcción Centro Comunal Distrito Municipal El Rosario, Municipio San Juan de la Maguana</t>
  </si>
  <si>
    <t>22.04.06.0052-Supervisión de la Construcción Centro Comunal Distrito Municipal El Rosario, Municipio San Juan de la Maguana</t>
  </si>
  <si>
    <t>Inst:2024-0201-01-0009  Prg:22-04-06-0052  Fxp:0100 OF:100 CCP:2.7.1.5.01  FN:4.1.02  UG:07-22-0001 Obj:00000  IR:0000 Snip:14787  Tip:1</t>
  </si>
  <si>
    <t>Descripción de la Finalidad</t>
  </si>
  <si>
    <t>EGPG1703883877678ToK</t>
  </si>
  <si>
    <t>CONSTRUCCIÓN CENTRO COMUNAL LOS TRANSFORMADORES, MUNICIPIO SAN JUAN DE LA MAGUANA, PROVINCIA SAN JUAN</t>
  </si>
  <si>
    <t>Construcción Centro Comunal Comunidad Los Transformadores, Municipio San Juan de la Maguana</t>
  </si>
  <si>
    <t>22.04.07.0051-Construcción Centro Comunal Comunidad Los Transformadores, Municipio San Juan de la Maguana</t>
  </si>
  <si>
    <t>El proyecto que se propone tiene intervención en la comunidad los trasformadores, Municipio San Juan de la Maguana. Su población aproximada es de 1,700 habitantes. Actualmente esta comunidad carecen de centros para desarrollar programas socioculturales tales como: operativos médicos, bodas, charlas, velatorios, cumpleaños, reuniones y encuentros sociales, entre otros.  Por tal razón, la inversión pública debe focalizarse hacia aquellos subsectores que más lo requieran y debe tener muy en cuenta las características culturales y socioeconómicas de la población beneficiaria, de tal forma que los programas que se realicen o desarrollen no estén a espaldas de las necesidades del entorno.</t>
  </si>
  <si>
    <t>Inst:2024-0201-01-0009  Prg:22-04-07-0051  Fxp:0100 OF:100 CCP:2.7.1.2.01  FN:4.1.02  UG:07-22-0001 Obj:00000  IR:0000 Snip:14788  Tip:1</t>
  </si>
  <si>
    <t>564903.45</t>
  </si>
  <si>
    <t>4564903.45</t>
  </si>
  <si>
    <t>Código de la Función</t>
  </si>
  <si>
    <t>EGPG1703883877838c6m</t>
  </si>
  <si>
    <t>Supervisión de la Construcción Centro Comunal Comunidad Los Transformadores, Municipio San Juan de la Maguana</t>
  </si>
  <si>
    <t>22.04.07.0052-Supervisión de la Construcción Centro Comunal Comunidad Los Transformadores, Municipio San Juan de la Maguana</t>
  </si>
  <si>
    <t>Inst:2024-0201-01-0009  Prg:22-04-07-0052  Fxp:0100 OF:100 CCP:2.7.1.5.01  FN:4.1.02  UG:07-22-0001 Obj:00000  IR:0000 Snip:14788  Tip:1</t>
  </si>
  <si>
    <t>Descripción de la Función</t>
  </si>
  <si>
    <t>EGPG1703883874711VbW</t>
  </si>
  <si>
    <t>CONSTRUCCIÓN MERCADO MUNICIPAL DE CABRAL, PROVINCIA BARAHONA</t>
  </si>
  <si>
    <t>Construcción Mercado Municipal  de Cabral</t>
  </si>
  <si>
    <t>22.04.09.0051-Construcción Mercado Municipal  de Cabral</t>
  </si>
  <si>
    <t>El proyecto consiste en la construcción de un mercado municipal con un área de 4,800 m2 el cual contara con 8 tipologias de modulos de ventas y otros espacios donde se desarrollarán las actividades de compra y ventas de bienes y servicios.</t>
  </si>
  <si>
    <t>CABRAL</t>
  </si>
  <si>
    <t>Inst:2024-0201-01-0009  Prg:22-04-09-0051  Fxp:0100 OF:100 CCP:2.7.1.2.01  FN:4.1.02  UG:06-04-0002 Obj:00000  IR:0000 Snip:14645  Tip:1</t>
  </si>
  <si>
    <t>25000000.00</t>
  </si>
  <si>
    <t>-18560592.52</t>
  </si>
  <si>
    <t>6439407.48</t>
  </si>
  <si>
    <t>Código de la SubFunción</t>
  </si>
  <si>
    <t>Descripcion de la SubFunción</t>
  </si>
  <si>
    <t>Código del Tipo de Cuenta</t>
  </si>
  <si>
    <t>Descripción del Tipo de Cuenta</t>
  </si>
  <si>
    <t>Código del concepto de la cuenta</t>
  </si>
  <si>
    <t>Descripción del concepto de la cuenta</t>
  </si>
  <si>
    <t>Código de la cuenta</t>
  </si>
  <si>
    <t>Descripción de la cuenta</t>
  </si>
  <si>
    <t>Codigo de la SubCuenta</t>
  </si>
  <si>
    <t>Descripción de la SubCuenta</t>
  </si>
  <si>
    <t>Código del auxiliar</t>
  </si>
  <si>
    <t>Descripción del auxiliar</t>
  </si>
  <si>
    <t>Código de la Institución Receptora</t>
  </si>
  <si>
    <t>Nombre de la Institución Receptora</t>
  </si>
  <si>
    <t>Tipo Capital Código</t>
  </si>
  <si>
    <t>Código del proyecto de inversión</t>
  </si>
  <si>
    <t>Nombre del proyecto de inversión</t>
  </si>
  <si>
    <t>Descripción del proyecto de inversion</t>
  </si>
  <si>
    <t>Código Tipología</t>
  </si>
  <si>
    <t>Descripción Tipología</t>
  </si>
  <si>
    <t>Tipo de Actividad Inversión</t>
  </si>
  <si>
    <t>Codigo de la Region</t>
  </si>
  <si>
    <t>Nombre de la Region</t>
  </si>
  <si>
    <t>Codigo de la Provincia</t>
  </si>
  <si>
    <t>Nombre de la Provincia</t>
  </si>
  <si>
    <t>Codigo del Municipio</t>
  </si>
  <si>
    <t>Nombre del Municipio</t>
  </si>
  <si>
    <t>Descripcion de la partida de gasto</t>
  </si>
  <si>
    <t>Valor Inicial</t>
  </si>
  <si>
    <t>Valor Aprobado</t>
  </si>
  <si>
    <t>Valor Vigente</t>
  </si>
  <si>
    <r>
      <rPr>
        <b/>
        <sz val="12.0"/>
      </rPr>
      <t xml:space="preserve">All datasets related to emergencies are downloaded directly from </t>
    </r>
    <r>
      <rPr>
        <b/>
        <color rgb="FF1155CC"/>
        <sz val="12.0"/>
        <u/>
      </rPr>
      <t>https://api.dgcp.gob.do/opendata/emergencia</t>
    </r>
    <r>
      <rPr>
        <b/>
        <sz val="12.0"/>
      </rPr>
      <t xml:space="preserve">
The information in this section corresponds to Procurement and Contract Processes related to emergencies due to climate events.</t>
    </r>
  </si>
  <si>
    <t>These datasets are available for download from the Mapa Inversiones platform in this same format, they do not undergo changes.
Translations are performed automatically with the GOOGLETRANSLATE() function of google spreadsheet</t>
  </si>
  <si>
    <t>https://api.dgcp.gob.do/opendata/emergencia/procesos.csv</t>
  </si>
  <si>
    <t xml:space="preserve">Contiene información de procesos contractuales relacionados con la emergencia del Huracan Fiona		
</t>
  </si>
  <si>
    <t>Id</t>
  </si>
  <si>
    <t>ID_PUBLICACION</t>
  </si>
  <si>
    <t>CODIGO_UNIDAD_COMPRA</t>
  </si>
  <si>
    <t>UNIDAD_COMPRA</t>
  </si>
  <si>
    <t>CODIGO_PROCESO</t>
  </si>
  <si>
    <t>MODALIDAD</t>
  </si>
  <si>
    <t>TIPO_EXCEPCION</t>
  </si>
  <si>
    <t>CARATULA</t>
  </si>
  <si>
    <t>DESCRIPCION</t>
  </si>
  <si>
    <t>ESTADO_PROCESO</t>
  </si>
  <si>
    <t>FASE_PROCESO</t>
  </si>
  <si>
    <t>MONEDA</t>
  </si>
  <si>
    <t>MONTO_ESTIMADO</t>
  </si>
  <si>
    <t>FECHA_PUBLICACION</t>
  </si>
  <si>
    <t>FECHA_ENMIENDA</t>
  </si>
  <si>
    <t>FECHA_FIN_RECEPCION_OFERTAS</t>
  </si>
  <si>
    <t>FECHA_APERTURA_OFERTAS</t>
  </si>
  <si>
    <t>FECHA_ESTIMADA_ADJUDICACION</t>
  </si>
  <si>
    <t>FECHA_SUSCRIPCION</t>
  </si>
  <si>
    <t>FECHA_HABILITACION_OFERENTE</t>
  </si>
  <si>
    <t>DIRIGIDO_MIPYMES</t>
  </si>
  <si>
    <t>DIRIGIDO_MIPYMES_MUJERES</t>
  </si>
  <si>
    <t>PROCESO_LOTIFICADO</t>
  </si>
  <si>
    <t>ADQUISICION_PLANEADA</t>
  </si>
  <si>
    <t>JUSTIFICACION_NO_PACC</t>
  </si>
  <si>
    <t>OBJETO_PROCESO</t>
  </si>
  <si>
    <t>SUBOBJETO_PROCESO</t>
  </si>
  <si>
    <t>DECRETO_PRESIDENCIAL</t>
  </si>
  <si>
    <t>RESOLUCION_MAXIMA_AUTORIDAD</t>
  </si>
  <si>
    <t>ORGANISMO_FINANCIERO_EXTERNO</t>
  </si>
  <si>
    <t>COMPRA_VERDE</t>
  </si>
  <si>
    <t>COMPRA_CONJUNTA</t>
  </si>
  <si>
    <t>FECHA_ULTIMA_MODIFICACION</t>
  </si>
  <si>
    <t>CODIGO_MODALIDAD</t>
  </si>
  <si>
    <t>CancelComment</t>
  </si>
  <si>
    <t>DECRETO</t>
  </si>
  <si>
    <t>FECHA_ACTUALIZACION</t>
  </si>
  <si>
    <t>ID interno del registro</t>
  </si>
  <si>
    <t>DO1.NTC.1104243</t>
  </si>
  <si>
    <t>Corporación Dominicana de Empresas Eléctricas Estatales</t>
  </si>
  <si>
    <t>CDEEE-MAE-PEEN-2022-0004</t>
  </si>
  <si>
    <t>Procesos de Excepción</t>
  </si>
  <si>
    <t>emergencia</t>
  </si>
  <si>
    <t>Adquisición de Seiscientas Mil Toneladas Métricas de Carbón Mineral (600,000 Tm) para la Central Termoeléctrica Punta Catalina</t>
  </si>
  <si>
    <t>Proceso con etapa cerrada</t>
  </si>
  <si>
    <t>Fase del Pliego de Condiciones Específicas</t>
  </si>
  <si>
    <t>40:10.7</t>
  </si>
  <si>
    <t>7/26/2022 22:00</t>
  </si>
  <si>
    <t>8/30/2022 21:00</t>
  </si>
  <si>
    <t>8/15/2022 22:00</t>
  </si>
  <si>
    <t>PACC EN PROCESO</t>
  </si>
  <si>
    <t>Bienes</t>
  </si>
  <si>
    <t>3/19/2024 22:23</t>
  </si>
  <si>
    <t>https://comunidad.comprasdominicana.gob.do//Public/Tendering/OpportunityDetail/Index?noticeUID=DO1.NTC.1104243</t>
  </si>
  <si>
    <t>PEEN</t>
  </si>
  <si>
    <t>Decreto 318-22</t>
  </si>
  <si>
    <t>6/3/24 6:26 AM</t>
  </si>
  <si>
    <t>ID de publicacion</t>
  </si>
  <si>
    <t>DO1.NTC.1138247</t>
  </si>
  <si>
    <t>Ministerio de Obras Públicas y Comunicaciones</t>
  </si>
  <si>
    <t>MOPC-MAE-PEEN-2022-0009</t>
  </si>
  <si>
    <t>ADQUISICION DE MEDICAMENTOS E INSUMOS MEDICOS PARA SER UTILIZADOS EN LAS LABORES DE AYUDA HUMANITARIA, COMO CONSECUENCIA DEL PASO DEL HURACÁN FIONA, EN VIRTUD DEL DECRETO NO. 537-22</t>
  </si>
  <si>
    <t>Proceso desierto</t>
  </si>
  <si>
    <t>00:06.4</t>
  </si>
  <si>
    <t>10/14/2022 20:00</t>
  </si>
  <si>
    <t>10/24/2022 20:00</t>
  </si>
  <si>
    <t>10/17/2022 20:00</t>
  </si>
  <si>
    <t>.</t>
  </si>
  <si>
    <t>3/19/2024 22:38</t>
  </si>
  <si>
    <t>https://comunidad.comprasdominicana.gob.do//Public/Tendering/OpportunityDetail/Index?noticeUID=DO1.NTC.1138247</t>
  </si>
  <si>
    <t>Decreto 537-22</t>
  </si>
  <si>
    <t>Codigo de la Unidad de Compra</t>
  </si>
  <si>
    <t>DO1.NTC.1137859</t>
  </si>
  <si>
    <t>MOPC-MAE-PEEN-2022-0008</t>
  </si>
  <si>
    <t>ADQUISICION DE PINTURAS, BASES Y ACABADOS PARA SER UTILIZADOS EN LAS LABORES DE AYUDA HUMANITARIA, RESCATE, CONSTRUCCIÓN Y RECONSTRUCCIÓN DE LAS OBRAS, COMO CONSECUENCIA DE LOS DAÑOS OCASIONADOS POR E</t>
  </si>
  <si>
    <t>ADQUISICION DE PINTURAS, BASES Y ACABADOS PARA SER UTILIZADOS EN LAS LABORES DE AYUDA HUMANITARIA, RESCATE, CONSTRUCCIÓN Y RECONSTRUCCIÓN DE LAS OBRAS, COMO CONSECUENCIA DE LOS DAÑOS OCASIONADOS POR EL PASO DEL HURACÁN FIONA, EN VIRTUD DEL DECRETO NO. 537-22</t>
  </si>
  <si>
    <t>106221356.5</t>
  </si>
  <si>
    <t>00:05.2</t>
  </si>
  <si>
    <t>10/19/2022 20:00</t>
  </si>
  <si>
    <t>10/27/2022 20:00</t>
  </si>
  <si>
    <t>10/20/2022 20:00</t>
  </si>
  <si>
    <t>https://comunidad.comprasdominicana.gob.do//Public/Tendering/OpportunityDetail/Index?noticeUID=DO1.NTC.1137859</t>
  </si>
  <si>
    <t>Nombre de la Unidad de Compra</t>
  </si>
  <si>
    <t>DO1.NTC.1143964</t>
  </si>
  <si>
    <t>Ministerio Administrativo de la Presidencia</t>
  </si>
  <si>
    <t>MAPRE-MAE-PEEN-2022-0002</t>
  </si>
  <si>
    <t>COMPRA DE MATERIALES DIVERSOS (MADERA, ZINC, CLAVOS) PARA CONSTRUCCIÓN Y RECONSTRUCCIÓN DE VIVIENDAS DE CIUDADANOS VULNERABLES AFECTADOS POR EL PASO DEL HURACÁN FIONA</t>
  </si>
  <si>
    <t>20:05.1</t>
  </si>
  <si>
    <t>10/25/2022 21:00</t>
  </si>
  <si>
    <t>10/27/2022 13:00</t>
  </si>
  <si>
    <t>10/27/2022 13:05</t>
  </si>
  <si>
    <t>https://comunidad.comprasdominicana.gob.do//Public/Tendering/OpportunityDetail/Index?noticeUID=DO1.NTC.1143964</t>
  </si>
  <si>
    <t>Codigo del proceso de compra</t>
  </si>
  <si>
    <t>DO1.NTC.1138712</t>
  </si>
  <si>
    <t>MOPC-MAE-PEEN-2022-0010</t>
  </si>
  <si>
    <t>CONSTRUCCIÓN Y RECONSTRUCCIÓN DE INFRAESTUCTURAS VIALES QUE FUERON AFECTADAS POR EL PASO DEL HURACÁN FIONA</t>
  </si>
  <si>
    <t>Sobres abiertos o aperturados</t>
  </si>
  <si>
    <t>02:35.7</t>
  </si>
  <si>
    <t>10/18/2022 22:00</t>
  </si>
  <si>
    <t>10/19/2022 22:00</t>
  </si>
  <si>
    <t>EMERGENCIA</t>
  </si>
  <si>
    <t>Obras</t>
  </si>
  <si>
    <t>https://comunidad.comprasdominicana.gob.do//Public/Tendering/OpportunityDetail/Index?noticeUID=DO1.NTC.1138712</t>
  </si>
  <si>
    <t>Modalidad del proceso de compra</t>
  </si>
  <si>
    <t>DO1.NTC.1143457</t>
  </si>
  <si>
    <t>Ministerio de la Vivienda, Hábitat y Edificaciones</t>
  </si>
  <si>
    <t>MIVHED-MAE-PEEN-2022-0007</t>
  </si>
  <si>
    <t>CONSTRUCCIÓN Y RECONSTRUCCIÓN DE VIVIENDAS AFECTADAS POR EL HURACÁN FIONA, FASE II</t>
  </si>
  <si>
    <t>816460846.5</t>
  </si>
  <si>
    <t>45:04.5</t>
  </si>
  <si>
    <t>10/18/2022 20:00</t>
  </si>
  <si>
    <t>10/20/2022 15:00</t>
  </si>
  <si>
    <t>10/20/2022 16:00</t>
  </si>
  <si>
    <t>*</t>
  </si>
  <si>
    <t>https://comunidad.comprasdominicana.gob.do//Public/Tendering/OpportunityDetail/Index?noticeUID=DO1.NTC.1143457</t>
  </si>
  <si>
    <t>Tipo de Excepcion ( En este caso todos son de tipo "emergencia" )</t>
  </si>
  <si>
    <t>DO1.NTC.1142164</t>
  </si>
  <si>
    <t>MOPC-MAE-PEEN-2022-0012</t>
  </si>
  <si>
    <t>ADQUISICION DE FARDOS DE AGUA PURIFICADA, PARA SER UTILIZADOS EN LAS LABORES DE AYUDA HUMANITARIA, COMO CONSECUENCIA DE LOS DAÑOS OCASIONADOS POR EL PASO DEL HURACÁN FIONA.</t>
  </si>
  <si>
    <t>ADQUISICION DE FARDOS DE AGUA PURIFICADA, PARA SER UTILIZADOS EN LAS LABORES DE AYUDA HUMANITARIA, COMO CONSECUENCIA DE LOS DAÑOS OCASIONADOS POR EL PASO DEL HURACÁN FIONA, EN VIRTUD DEL DECRETO NO. 537-22”.</t>
  </si>
  <si>
    <t>00:04.9</t>
  </si>
  <si>
    <t>10/14/2022 15:00</t>
  </si>
  <si>
    <t>10/17/2022 15:00</t>
  </si>
  <si>
    <t>10/17/2022 15:30</t>
  </si>
  <si>
    <t>10/26/2022 20:00</t>
  </si>
  <si>
    <t>Emergencia</t>
  </si>
  <si>
    <t>https://comunidad.comprasdominicana.gob.do//Public/Tendering/OpportunityDetail/Index?noticeUID=DO1.NTC.1142164</t>
  </si>
  <si>
    <t>Carátula del proceso de compra</t>
  </si>
  <si>
    <t>DO1.NTC.1142942</t>
  </si>
  <si>
    <t>MOPC-MAE-PEEN-2022-0014</t>
  </si>
  <si>
    <t>ADQUISICION DE EQUIPOS PESADOS, PARA SER UTILIZADOS EN LAS LABORES DE AYUDA HUMANITARIA, RESCATE, CONSTRUCCIÓN Y RECONSTRUCCIÓN DE LAS OBRAS, COMO CONSECUENCIA DE LOS DAÑOS OCASIONADOS POR EL PASO DEL</t>
  </si>
  <si>
    <t>ADQUISICION DE EQUIPOS PESADOS, PARA SER UTILIZADOS EN LAS LABORES DE AYUDA HUMANITARIA, RESCATE, CONSTRUCCIÓN Y RECONSTRUCCIÓN DE LAS OBRAS, COMO CONSECUENCIA DE LOS DAÑOS OCASIONADOS POR EL PASO DEL HURACÁN FIONA, EN VIRTUD DEL DECRETO NO. 537-22</t>
  </si>
  <si>
    <t>00:01.8</t>
  </si>
  <si>
    <t>10/17/2022 21:00</t>
  </si>
  <si>
    <t>10/19/2022 14:00</t>
  </si>
  <si>
    <t>10/19/2022 15:30</t>
  </si>
  <si>
    <t>https://comunidad.comprasdominicana.gob.do//Public/Tendering/OpportunityDetail/Index?noticeUID=DO1.NTC.1142942</t>
  </si>
  <si>
    <t>Descripción del proceso de compra</t>
  </si>
  <si>
    <t>DO1.NTC.1142636</t>
  </si>
  <si>
    <t>Defensa Civil Dominicana</t>
  </si>
  <si>
    <t>DCD-MAE-PEEN-2022-0003</t>
  </si>
  <si>
    <t>ADQUISICIÓN DE EMBARCACIONES Y EQUIPOS PARA FORTALECER LA RESPUESTA MARÍTIMA Y MITIGAR EL IMPACTO CAUSADO POR EL HURACÁN FIONA EN LAS PROVINCIAS DE LA COSTA ESTE.</t>
  </si>
  <si>
    <t>30:55.7</t>
  </si>
  <si>
    <t>10/17/2022 19:30</t>
  </si>
  <si>
    <t>10/18/2022 19:15</t>
  </si>
  <si>
    <t>10/19/2022 14:15</t>
  </si>
  <si>
    <t>10/21/2022 14:30</t>
  </si>
  <si>
    <t>10/25/2022 19:30</t>
  </si>
  <si>
    <t>10/21/2022 15:45</t>
  </si>
  <si>
    <t>No esta estipulado en el PACC</t>
  </si>
  <si>
    <t>https://comunidad.comprasdominicana.gob.do//Public/Tendering/OpportunityDetail/Index?noticeUID=DO1.NTC.1142636</t>
  </si>
  <si>
    <t>Estado del proceso de compra</t>
  </si>
  <si>
    <t>DO1.NTC.1142737</t>
  </si>
  <si>
    <t>MOPC-MAE-PEEN-2022-0013</t>
  </si>
  <si>
    <t>ADQUISICIÓN DE ENSERES DEL HOGAR, PARA SER ENTREGADOS A LOS AFECTADOS, COMO CONSECUENCIA DE LOS DAÑOS OCASIONADOS POR EL PASO DEL HURACÁN FIONA, EN VIRTUD DEL DECRETO NO. 537-22</t>
  </si>
  <si>
    <t>ADQUISICION DE ENSERES DEL HOGAR, PARA SER ENTREGADOS A LOS AFECTADOS, COMO CONSECUENCIA DE LOS DAÑOS OCASIONADOS POR EL PASO DEL HURACÁN FIONA, EN VIRTUD DEL DECRETO NO. 537-22</t>
  </si>
  <si>
    <t>00:01.9</t>
  </si>
  <si>
    <t>10/19/2022 14:30</t>
  </si>
  <si>
    <t>10/31/2022 20:00</t>
  </si>
  <si>
    <t>https://comunidad.comprasdominicana.gob.do//Public/Tendering/OpportunityDetail/Index?noticeUID=DO1.NTC.1142737</t>
  </si>
  <si>
    <t>Fase del proceso de compra</t>
  </si>
  <si>
    <t>DO1.NTC.1143968</t>
  </si>
  <si>
    <t>Empresa Distribuidora de Electricidad del Este, S.A.</t>
  </si>
  <si>
    <t>EDEESTE-MAE-PEEN-2022-0002</t>
  </si>
  <si>
    <t>Compra De Materiales Eléctricos Para Continuar Con La Readecuación Del Servicio Energético En La Región Este Del País Luego Del Paso Del Huracán Fiona</t>
  </si>
  <si>
    <t>00:01.0</t>
  </si>
  <si>
    <t>10/24/2022 22:00</t>
  </si>
  <si>
    <t>10/31/2022 16:00</t>
  </si>
  <si>
    <t>10/31/2022 17:30</t>
  </si>
  <si>
    <t>12/19/2022 22:00</t>
  </si>
  <si>
    <t>ESTE PROCESO NO ES UNA COMPRA PLANEADA. ESTOS MATERIALES SERAN UTILIZADOS PARA REPARAR LOS DAÑOS ELECTRICOS OCASIONADOS DEL HURACAN FIONA.</t>
  </si>
  <si>
    <t>3/19/2024 23:02</t>
  </si>
  <si>
    <t>https://comunidad.comprasdominicana.gob.do//Public/Tendering/OpportunityDetail/Index?noticeUID=DO1.NTC.1143968</t>
  </si>
  <si>
    <t>Moneda del proceso de compra</t>
  </si>
  <si>
    <t>DO1.NTC.1144304</t>
  </si>
  <si>
    <t>Ministerio de Salud Pública y Asistencia Social</t>
  </si>
  <si>
    <t>MISPAS-MAE-PEEN-2022-0004</t>
  </si>
  <si>
    <t>ADQUISICION DE VEHICULOS NECESARIOS PARA GARANTIZAR LA ATENCION SANITARIA Y HUMANITARIA EN LAS ZONAS AFECTADAS POR EL HURACAN FIONA</t>
  </si>
  <si>
    <t>ADQUISICION DE VEHICULOS NECESARIOS PARA GARANTIZAR LA ATENCION SANITARIA Y HUMANITARIA EN LAS ZONAS AFECTADAS POR EL HURACAN FIONA, DECRETO 537-2022</t>
  </si>
  <si>
    <t>05:49.4</t>
  </si>
  <si>
    <t>DECRETO PRESIDENCIAL - EMERGENCIA</t>
  </si>
  <si>
    <t>https://comunidad.comprasdominicana.gob.do//Public/Tendering/OpportunityDetail/Index?noticeUID=DO1.NTC.1144304</t>
  </si>
  <si>
    <t>Monto del proceso de compra</t>
  </si>
  <si>
    <t>DO1.NTC.1144414</t>
  </si>
  <si>
    <t>Instituto Nacional de Recursos Hidráulicos</t>
  </si>
  <si>
    <t>INDRHI-MAE-PEEN-2022-0001</t>
  </si>
  <si>
    <t>REHABILITACIONES, READECUACIONES Y REPARACIONES DE INFRAESTRUCTURAS AFECTADAS POR EL HURACAN FIONA.</t>
  </si>
  <si>
    <t>805505503.5</t>
  </si>
  <si>
    <t>06:23.1</t>
  </si>
  <si>
    <t>10/20/2022 19:00</t>
  </si>
  <si>
    <t>10/21/2022 14:00</t>
  </si>
  <si>
    <t>10/21/2022 14:15</t>
  </si>
  <si>
    <t>10/28/2022 20:00</t>
  </si>
  <si>
    <t>11/14/2022 18:30</t>
  </si>
  <si>
    <t>10/28/2022 20:30</t>
  </si>
  <si>
    <t>PROCESO DE EMERGENCIA.</t>
  </si>
  <si>
    <t>https://comunidad.comprasdominicana.gob.do//Public/Tendering/OpportunityDetail/Index?noticeUID=DO1.NTC.1144414</t>
  </si>
  <si>
    <t>Fecha de Publicación</t>
  </si>
  <si>
    <t>DO1.NTC.1138563</t>
  </si>
  <si>
    <t>MOPC-MAE-PEEN-2022-0011</t>
  </si>
  <si>
    <t>ADQUISICION DE VEHICULOS PESADOS, PARA SER UTILIZADOS EN LAS LABORES DE AYUDA HUMANITARIA, RESCATE, CONSTRUCCIÓN Y RECONSTRUCCIÓN DE LAS OBRAS, COMO CONSECUENCIA DE LOS DAÑOS OCASIONADOS POR EL PASO D</t>
  </si>
  <si>
    <t>ADQUISICION DE VEHICULOS PESADOS, PARA SER UTILIZADOS EN LAS LABORES DE AYUDA HUMANITARIA, RESCATE, CONSTRUCCIÓN Y RECONSTRUCCIÓN DE LAS OBRAS, COMO CONSECUENCIA DE LOS DAÑOS OCASIONADOS POR EL PASO DEL HURACÁN FIONA, EN VIRTUD DEL DECRETO NO. 537-22</t>
  </si>
  <si>
    <t>00:02.8</t>
  </si>
  <si>
    <t>10/20/2022 22:00</t>
  </si>
  <si>
    <t>10/27/2022 19:00</t>
  </si>
  <si>
    <t>10/21/2022 22:00</t>
  </si>
  <si>
    <t>https://comunidad.comprasdominicana.gob.do//Public/Tendering/OpportunityDetail/Index?noticeUID=DO1.NTC.1138563</t>
  </si>
  <si>
    <t>Fecha de Enmienda</t>
  </si>
  <si>
    <t>DO1.NTC.1139855</t>
  </si>
  <si>
    <t>MIVHED-MAE-PEEN-2022-0006</t>
  </si>
  <si>
    <t>“SERVICIOS DE TRANSPORTE DE CARGA Y TRANSPORTE DE PASAJEROS EN OCASIÓN DE LOS TRABAJOS DE REPARACIÓN DE VIVIENDAS AFECTADAS POR EL PASO DEL HURACÁN FIONA”.</t>
  </si>
  <si>
    <t>40:02.3</t>
  </si>
  <si>
    <t>10/14/2022 21:01</t>
  </si>
  <si>
    <t>10/17/2022 20:01</t>
  </si>
  <si>
    <t>10/14/2022 21:02</t>
  </si>
  <si>
    <t>Servicios</t>
  </si>
  <si>
    <t>https://comunidad.comprasdominicana.gob.do//Public/Tendering/OpportunityDetail/Index?noticeUID=DO1.NTC.1139855</t>
  </si>
  <si>
    <t>Fecha de Fin de Recepcion de Ofertas</t>
  </si>
  <si>
    <t>DO1.NTC.1134644</t>
  </si>
  <si>
    <t>MIVHED-MAE-PEEN-2022-0002</t>
  </si>
  <si>
    <t>CONSTRUCCIÓN Y RECONSTRUCCIÓN DE VIVIENDAS AFECTADAS POR EL HURACÁN FIONA</t>
  </si>
  <si>
    <t>00:02.1</t>
  </si>
  <si>
    <t>9/28/2022 20:00</t>
  </si>
  <si>
    <t>9/29/2022 15:00</t>
  </si>
  <si>
    <t>9/29/2022 16:00</t>
  </si>
  <si>
    <t>https://comunidad.comprasdominicana.gob.do//Public/Tendering/OpportunityDetail/Index?noticeUID=DO1.NTC.1134644</t>
  </si>
  <si>
    <t>Fecha de Apertura de Ofertas</t>
  </si>
  <si>
    <t>DO1.NTC.1143365</t>
  </si>
  <si>
    <t>MOPC-MAE-PEEN-2022-0015</t>
  </si>
  <si>
    <t>ADQUISICION DE COMBUSTIBLE DIESEL, PARA SER UTILIZADO EN EL ABASTECIMIENTO DE LOS EQUIPOS, VEHICULOS Y MAQUINARIAS EMPLEADAS EN LAS LABORES DE AYUDA HUMANITARIA, RESCATE, CONSTRUCCIÓN Y RECONSTRUCCIÓN</t>
  </si>
  <si>
    <t>ADQUISICION DE COMBUSTIBLE DIESEL, PARA SER UTILIZADO EN EL ABASTECIMIENTO DE LOS EQUIPOS, VEHICULOS Y MAQUINARIAS EMPLEADAS EN LAS LABORES DE AYUDA HUMANITARIA, RESCATE, CONSTRUCCIÓN Y RECONSTRUCCIÓN DE LAS OBRAS, COMO CONSECUENCIA DE LOS DAÑOS OCASIONADOS POR EL PASO DEL HURACÁN FIONA, EN VIRTUD DEL DECRETO NO. 537-22</t>
  </si>
  <si>
    <t>00:00.9</t>
  </si>
  <si>
    <t>10/18/2022 21:00</t>
  </si>
  <si>
    <t>10/20/2022 14:00</t>
  </si>
  <si>
    <t>https://comunidad.comprasdominicana.gob.do//Public/Tendering/OpportunityDetail/Index?noticeUID=DO1.NTC.1143365</t>
  </si>
  <si>
    <t>Fecha estimada de Adjudicación</t>
  </si>
  <si>
    <t>DO1.NTC.1143530</t>
  </si>
  <si>
    <t>DCD-MAE-PEEN-2022-0006</t>
  </si>
  <si>
    <t>Adquisición de equipos de comunicación, telecomunicación y señalización para fortalecer la capacidad de respuesta y mitigar los daños en las zonas vulnerables de las provincias afectadas.</t>
  </si>
  <si>
    <t>Adquisición de equipos de comunicación, telecomunicación y señalización para fortalecer la capacidad de respuesta y mitigar los daños en las zonas vulnerables de las provincias afectadas por el paso del Huracán Fiona.</t>
  </si>
  <si>
    <t>2342926.86</t>
  </si>
  <si>
    <t>15:04.5</t>
  </si>
  <si>
    <t>10/18/2022 13:35</t>
  </si>
  <si>
    <t>10/19/2022 20:30</t>
  </si>
  <si>
    <t>10/24/2022 18:25</t>
  </si>
  <si>
    <t>10/26/2022 17:45</t>
  </si>
  <si>
    <t>10/24/2022 18:40</t>
  </si>
  <si>
    <t>https://comunidad.comprasdominicana.gob.do//Public/Tendering/OpportunityDetail/Index?noticeUID=DO1.NTC.1143530</t>
  </si>
  <si>
    <t>Fecha de Suscripción</t>
  </si>
  <si>
    <t>DO1.NTC.1145122</t>
  </si>
  <si>
    <t>Sistema Nacional de Atención a Emergencias y Seguridad 9-1-1</t>
  </si>
  <si>
    <t>911-MAE-PEEN-2022-0002</t>
  </si>
  <si>
    <t>ADQUISICIÓN DE BATERÍAS PARA SISTEMAS RESPALDO DE LOS PUNTOS DE CÁMARAS Y BTS DE SITIOS DE RADIOCOMUNICACIONES DEL SISTEMA NACIONAL DE ATENCIÓN A EMERGENCIAS Y SEGURIDAD 9-1-1.</t>
  </si>
  <si>
    <t>ADQUISICIÓN DE BATERÍAS PARA SISTEMAS RESPALDO DE LOS PUNTOS DE CÁMARAS Y BTS DE SITIOS DE RADIOCOMUNICACIONES DEL SISTEMA NACIONAL DE ATENCIÓN A EMERGENCIAS Y SEGURIDAD 9-1-1, TRAS EL PASO DEL HURACÁN FIONA EN EL TERRITORIO NACIONAL, PARA DEL SISTEMA NACIONAL DE ATENCIÓN A EMERGENCIAS Y SEGURIDAD 9-1-1. EN BASE AL DECRETO 589-22 DEL PODER EJECUTIVO.</t>
  </si>
  <si>
    <t>40:55.3</t>
  </si>
  <si>
    <t>10/26/2022 19:00</t>
  </si>
  <si>
    <t>10/26/2022 19:01</t>
  </si>
  <si>
    <t>........................</t>
  </si>
  <si>
    <t>https://comunidad.comprasdominicana.gob.do//Public/Tendering/OpportunityDetail/Index?noticeUID=DO1.NTC.1145122</t>
  </si>
  <si>
    <t>Fecha de Habilitación del Oferente</t>
  </si>
  <si>
    <t>DO1.NTC.1138323</t>
  </si>
  <si>
    <t>Programa de Medicamentos Esenciales</t>
  </si>
  <si>
    <t>PROMESECAL-MAE-PEEN-2022-0001</t>
  </si>
  <si>
    <t>Adquisición de medicamentos para abastecimiento por tormenta Fiona 2022</t>
  </si>
  <si>
    <t>35:03.0</t>
  </si>
  <si>
    <t>10/20/2022 17:00</t>
  </si>
  <si>
    <t>10/18/2022 19:00</t>
  </si>
  <si>
    <t>Emergencia por tormenta Fiona</t>
  </si>
  <si>
    <t>https://comunidad.comprasdominicana.gob.do//Public/Tendering/OpportunityDetail/Index?noticeUID=DO1.NTC.1138323</t>
  </si>
  <si>
    <t>Dirigido a Micro, Pequeña y Medianas Empresas ( SI / NO )</t>
  </si>
  <si>
    <t>DO1.NTC.1145242</t>
  </si>
  <si>
    <t>911-MAE-PEEN-2022-0001</t>
  </si>
  <si>
    <t>ADQUISICIÓN DE HERRAMIENTAS Y MATERIALES PARA LA SOLUCIÓN DE AVERÍAS EN LA PLANTA EXTERNA DE VÍDEO VIGILANCIA, TRAS EL PASO DEL HURACÁN FIONA EN EL TERRITORIO NACIONAL, DEL SISTEMA NACIONAL DE ATENCIÓ</t>
  </si>
  <si>
    <t>ADQUISICIÓN DE HERRAMIENTAS Y MATERIALES PARA LA SOLUCIÓN DE AVERÍAS EN LA PLANTA EXTERNA DE VÍDEO VIGILANCIA, TRAS EL PASO DEL HURACÁN FIONA EN EL TERRITORIO NACIONAL, DEL SISTEMA NACIONAL DE ATENCIÓN A EMERGENCIAS Y SEGURIDAD 9-1-1.</t>
  </si>
  <si>
    <t>13470914.21</t>
  </si>
  <si>
    <t>00:04.4</t>
  </si>
  <si>
    <t>...............</t>
  </si>
  <si>
    <t>3/19/2024 22:52</t>
  </si>
  <si>
    <t>https://comunidad.comprasdominicana.gob.do//Public/Tendering/OpportunityDetail/Index?noticeUID=DO1.NTC.1145242</t>
  </si>
  <si>
    <t>Dirigido a Micro, Pequeña y Medianas Empresas para mujeres ( SI / NO )</t>
  </si>
  <si>
    <t>DO1.NTC.1143848</t>
  </si>
  <si>
    <t>Empresa de Transmisión Eléctrica Dominicana</t>
  </si>
  <si>
    <t>ETED-MAE-PEEN-2022-0004</t>
  </si>
  <si>
    <t>ADQUISICIÓN DE SUMINISTROS Y MATERIALES ELÉCTRICOS PARA LA GERENCIA NACIONAL DE MANTENIMIENTO DE REDES</t>
  </si>
  <si>
    <t>30:02.6</t>
  </si>
  <si>
    <t>10/19/2022 21:00</t>
  </si>
  <si>
    <t>N/P</t>
  </si>
  <si>
    <t>3/19/2024 23:21</t>
  </si>
  <si>
    <t>https://comunidad.comprasdominicana.gob.do//Public/Tendering/OpportunityDetail/Index?noticeUID=DO1.NTC.1143848</t>
  </si>
  <si>
    <t>Proceso lotificado ( SI / NO )</t>
  </si>
  <si>
    <t>DO1.NTC.1136258</t>
  </si>
  <si>
    <t>Comisión Presidencial Apoyo Desarrollo Provincial</t>
  </si>
  <si>
    <t>DESARROLLO PROVINCIA-MAE-PEEN-2022-0001</t>
  </si>
  <si>
    <t>Adquisición de materiales para ser utilizado en la reparación de viviendas afectadas por el huracán Fiona</t>
  </si>
  <si>
    <t>55:05.5</t>
  </si>
  <si>
    <t>9/29/2022 17:00</t>
  </si>
  <si>
    <t>9/30/2022 14:00</t>
  </si>
  <si>
    <t>9/30/2022 15:00</t>
  </si>
  <si>
    <t>No planificada</t>
  </si>
  <si>
    <t>https://comunidad.comprasdominicana.gob.do//Public/Tendering/OpportunityDetail/Index?noticeUID=DO1.NTC.1136258</t>
  </si>
  <si>
    <t>Adquisición planeada ( SI / NO )</t>
  </si>
  <si>
    <t>DO1.NTC.1144707</t>
  </si>
  <si>
    <t>MAPRE-MAE-PEEN-2022-0003</t>
  </si>
  <si>
    <t>COMPRA DE KITS DE ALIMENTOS PARA CIUDADANOS VULNERABLES AFECTADOS POR EL PASO DEL HURACAN FIONA</t>
  </si>
  <si>
    <t>07:49.6</t>
  </si>
  <si>
    <t>10/27/2022 14:00</t>
  </si>
  <si>
    <t>10/27/2022 14:05</t>
  </si>
  <si>
    <t>11/15/2022 16:00</t>
  </si>
  <si>
    <t>https://comunidad.comprasdominicana.gob.do//Public/Tendering/OpportunityDetail/Index?noticeUID=DO1.NTC.1144707</t>
  </si>
  <si>
    <t>DO1.NTC.1143756</t>
  </si>
  <si>
    <t>DCD-MAE-PEEN-2022-0005</t>
  </si>
  <si>
    <t>Adquisición de equipos y herramientas de rescate y protección personal para ser utilizados por los operativos de rescate en la zona este a raíz del impacto del Huracán Fiona.</t>
  </si>
  <si>
    <t>15:05.2</t>
  </si>
  <si>
    <t>10/18/2022 13:25</t>
  </si>
  <si>
    <t>10/19/2022 18:30</t>
  </si>
  <si>
    <t>10/24/2022 17:30</t>
  </si>
  <si>
    <t>10/26/2022 17:30</t>
  </si>
  <si>
    <t>10/24/2022 18:00</t>
  </si>
  <si>
    <t>https://comunidad.comprasdominicana.gob.do//Public/Tendering/OpportunityDetail/Index?noticeUID=DO1.NTC.1143756</t>
  </si>
  <si>
    <t>Objeto del proceso</t>
  </si>
  <si>
    <t>SubObjeto del proceso</t>
  </si>
  <si>
    <t>Decreto Presidencial ( SI / NO )</t>
  </si>
  <si>
    <t>Fecha de Ultima Modificación</t>
  </si>
  <si>
    <t>URL del proceso</t>
  </si>
  <si>
    <t>Codigo de la Modalidad</t>
  </si>
  <si>
    <t>Comentario de cancelacion</t>
  </si>
  <si>
    <t>Codigo del Decreto</t>
  </si>
  <si>
    <t>Fecha de Actualización</t>
  </si>
  <si>
    <t>https://api.dgcp.gob.do/opendata/emergencia/contratos.csv</t>
  </si>
  <si>
    <t xml:space="preserve">Contiene información de los contratos relacionados con la Emergencia por el Huracán Fiona		
</t>
  </si>
  <si>
    <t>ID_ADJUDICACION</t>
  </si>
  <si>
    <t>ID_OFERTA</t>
  </si>
  <si>
    <t>ID_EVALUACION_OFERTA</t>
  </si>
  <si>
    <t>CODIGO_CONTRATO</t>
  </si>
  <si>
    <t>RAZON_SOCIAL</t>
  </si>
  <si>
    <t>OBJETO_CONTRATO</t>
  </si>
  <si>
    <t>ESTADO_ADJUDICACION</t>
  </si>
  <si>
    <t>ESTADO_CONTRATO</t>
  </si>
  <si>
    <t>FECHA_ADJUDICACION</t>
  </si>
  <si>
    <t>FECHA_CONFIRMACION_ADJUDICACION</t>
  </si>
  <si>
    <t>FECHA_APROBACION</t>
  </si>
  <si>
    <t>FECHA_NOTIFICACION_PROVEEDOR</t>
  </si>
  <si>
    <t>FECHA_FIRMA_CONTRATO</t>
  </si>
  <si>
    <t>FECHA_INICIO_CONTRATO</t>
  </si>
  <si>
    <t>FECHA_FIN_CONTRATO</t>
  </si>
  <si>
    <t>FECHA_INICIO_ENTREGA</t>
  </si>
  <si>
    <t>FECHA_FIN_ENTREGA</t>
  </si>
  <si>
    <t>VALOR_CONTRATADO</t>
  </si>
  <si>
    <t>METODO_PAGO</t>
  </si>
  <si>
    <t>PLAZO_PAGO_FACTURA</t>
  </si>
  <si>
    <t>URL_CONTRATO</t>
  </si>
  <si>
    <t>RAZON_SOCIAL_RPE</t>
  </si>
  <si>
    <t>NUMERO_DOCUMENTO</t>
  </si>
  <si>
    <t>TIPO_DOCUMENTO</t>
  </si>
  <si>
    <t>GENERO</t>
  </si>
  <si>
    <t>TIPO_PERSONA</t>
  </si>
  <si>
    <t>FORMA_JURIDICA</t>
  </si>
  <si>
    <t>ES_MIPYME</t>
  </si>
  <si>
    <t>CERTIFICACION_MICM</t>
  </si>
  <si>
    <t>CLASIFICACION_EMPRESARIAL</t>
  </si>
  <si>
    <t>CLASIFICACION_EMPRESARIAL_2</t>
  </si>
  <si>
    <t>MUNICIPIO</t>
  </si>
  <si>
    <t>PROVINCIA</t>
  </si>
  <si>
    <t>REGION</t>
  </si>
  <si>
    <t>MACROREGION</t>
  </si>
  <si>
    <t>PAIS</t>
  </si>
  <si>
    <t>CLASIFICACION_RPE</t>
  </si>
  <si>
    <t>DETALLE_EXCEPCION</t>
  </si>
  <si>
    <t>CONTRATO_MIPYME</t>
  </si>
  <si>
    <t>Código identificador de la unidad de compra</t>
  </si>
  <si>
    <t>Plan Asistencia Social de la Presidencia</t>
  </si>
  <si>
    <t>PASP-MAE-PEEN-2022-0001</t>
  </si>
  <si>
    <t>DO1.AWD.1250301</t>
  </si>
  <si>
    <t>DO1.RPL.3200326</t>
  </si>
  <si>
    <t>DO1.RANL.1232326</t>
  </si>
  <si>
    <t>PASP-2022-00100</t>
  </si>
  <si>
    <t>Forli Import, SRL</t>
  </si>
  <si>
    <t>ADQUISICIÓN DE ALIMENTOS Y MATERIAL DE EMPAQUE PARA LA CREACION DE RACIONES ALIMENTICIAS, ENSERES DEL HOGAR Y MATERIALES DE CONSTRUCCION PARA SER UTILIZADOS EN AYUDAS SOCIALES DE LA INSTITUCION.</t>
  </si>
  <si>
    <t>Confirmada y enviada</t>
  </si>
  <si>
    <t>10/3/22 10:12 PM</t>
  </si>
  <si>
    <t>10/21/22 12:59 PM</t>
  </si>
  <si>
    <t>11/8/22 12:25 PM</t>
  </si>
  <si>
    <t>11/7/22 11:00 AM</t>
  </si>
  <si>
    <t>12/31/22 10:00 AM</t>
  </si>
  <si>
    <t>Transferencia</t>
  </si>
  <si>
    <t>60 días</t>
  </si>
  <si>
    <t>26:00.2</t>
  </si>
  <si>
    <t>https://comunidad.comprasdominicana.gob.do/Public/Tendering/ContractDetailView/Index?UniqueIdentifier=DO1.PCCNTR.1432203&amp;AwardContractDetailId=394287</t>
  </si>
  <si>
    <t>https://comunidad.comprasdominicana.gob.do//Public/Tendering/OpportunityDetail/Index?noticeUID=DO1.NTC.1133101</t>
  </si>
  <si>
    <t>RNC</t>
  </si>
  <si>
    <t>Masculino</t>
  </si>
  <si>
    <t>Persona Jurídica</t>
  </si>
  <si>
    <t>Sociedades Comerciales</t>
  </si>
  <si>
    <t>No clasificada</t>
  </si>
  <si>
    <t>Empresa no acogida a la Ley 187-17</t>
  </si>
  <si>
    <t>SURESTE</t>
  </si>
  <si>
    <t>REPÚBLICA DOMINICANA</t>
  </si>
  <si>
    <t>Nombre de la Institución o Unidad de compra</t>
  </si>
  <si>
    <t>DO1.RPL.3200318</t>
  </si>
  <si>
    <t>DO1.RANL.1232318</t>
  </si>
  <si>
    <t>PASP-2022-00089</t>
  </si>
  <si>
    <t>Araluna, SRL</t>
  </si>
  <si>
    <t>Activo</t>
  </si>
  <si>
    <t>11/8/22 2:32 PM</t>
  </si>
  <si>
    <t>11/8/22 10:00 AM</t>
  </si>
  <si>
    <t>33:41.3</t>
  </si>
  <si>
    <t>https://comunidad.comprasdominicana.gob.do/Public/Tendering/ContractDetailView/Index?UniqueIdentifier=DO1.PCCNTR.1432301&amp;AwardContractDetailId=394276</t>
  </si>
  <si>
    <t>Pequeña Empresa</t>
  </si>
  <si>
    <t>MIPYME Certificada</t>
  </si>
  <si>
    <t>Pequeña empresa</t>
  </si>
  <si>
    <t>Código identificador del proceso de contratación</t>
  </si>
  <si>
    <t>DO1.RPL.3200325</t>
  </si>
  <si>
    <t>DO1.RANL.1232325</t>
  </si>
  <si>
    <t>PASP-2022-00099</t>
  </si>
  <si>
    <t>Rancho Colao, SRL</t>
  </si>
  <si>
    <t>11/10/22 8:41 AM</t>
  </si>
  <si>
    <t>11/8/22 3:16 PM</t>
  </si>
  <si>
    <t>11/9/22 10:00 AM</t>
  </si>
  <si>
    <t>12/31/22 12:00 AM</t>
  </si>
  <si>
    <t>59:37.3</t>
  </si>
  <si>
    <t>https://comunidad.comprasdominicana.gob.do/Public/Tendering/ContractDetailView/Index?UniqueIdentifier=DO1.PCCNTR.1432202&amp;AwardContractDetailId=394286</t>
  </si>
  <si>
    <t>No Especificada</t>
  </si>
  <si>
    <t>DO1.RPL.3200328</t>
  </si>
  <si>
    <t>DO1.RANL.1232328</t>
  </si>
  <si>
    <t>PASP-2022-00103</t>
  </si>
  <si>
    <t>Veras Agramonte Investments, SRL</t>
  </si>
  <si>
    <t>:ADQUISICIÓN DE ALIMENTOS Y MATERIAL DE EMPAQUE PARA LA CREACION DE RACIONES ALIMENTICIAS, ENSERES DEL HOGAR Y MATERIALES DE CONSTRUCCION PARA SER UTILIZADOS EN AYUDAS SOCIALES DE LA INSTITUCION.</t>
  </si>
  <si>
    <t>11/8/22 11:16 AM</t>
  </si>
  <si>
    <t>11/7/22 9:00 AM</t>
  </si>
  <si>
    <t>12/31/22 9:00 AM</t>
  </si>
  <si>
    <t>11/7/22 10:00 AM</t>
  </si>
  <si>
    <t>120 días</t>
  </si>
  <si>
    <t>37:53.5</t>
  </si>
  <si>
    <t>https://comunidad.comprasdominicana.gob.do/Public/Tendering/ContractDetailView/Index?UniqueIdentifier=DO1.PCCNTR.1432206&amp;AwardContractDetailId=394289</t>
  </si>
  <si>
    <t>Femenino</t>
  </si>
  <si>
    <t>DO1.RPL.3200319</t>
  </si>
  <si>
    <t>DO1.RANL.1232319</t>
  </si>
  <si>
    <t>PASP-2022-00091</t>
  </si>
  <si>
    <t>Casa Paco, SA</t>
  </si>
  <si>
    <t>11/8/22 2:15 PM</t>
  </si>
  <si>
    <t>42:04.1</t>
  </si>
  <si>
    <t>https://comunidad.comprasdominicana.gob.do/Public/Tendering/ContractDetailView/Index?UniqueIdentifier=DO1.PCCNTR.1432303&amp;AwardContractDetailId=394278</t>
  </si>
  <si>
    <t>SANTO DOMINGO ESTE</t>
  </si>
  <si>
    <t>DO1.RPL.3186650</t>
  </si>
  <si>
    <t>DO1.RANL.1228298</t>
  </si>
  <si>
    <t>PASP-2022-00090</t>
  </si>
  <si>
    <t>Factoría de Arroz Luis Martínez, SRL</t>
  </si>
  <si>
    <t>11/15/22 12:37 PM</t>
  </si>
  <si>
    <t>11/15/22 12:09 PM</t>
  </si>
  <si>
    <t>11/16/22 11:00 AM</t>
  </si>
  <si>
    <t>39:52.3</t>
  </si>
  <si>
    <t>https://comunidad.comprasdominicana.gob.do/Public/Tendering/ContractDetailView/Index?UniqueIdentifier=DO1.PCCNTR.1432302&amp;AwardContractDetailId=394277</t>
  </si>
  <si>
    <t>Gran empresa</t>
  </si>
  <si>
    <t>COTUÍ</t>
  </si>
  <si>
    <t>SÁNCHEZ RAMÍREZ</t>
  </si>
  <si>
    <t>Código identificador del contrato</t>
  </si>
  <si>
    <t>DO1.RPL.3183204</t>
  </si>
  <si>
    <t>DO1.RANL.1228248</t>
  </si>
  <si>
    <t>PASP-2022-00102</t>
  </si>
  <si>
    <t>Brazoria Corporation, SRL</t>
  </si>
  <si>
    <t>11/10/22 8:49 AM</t>
  </si>
  <si>
    <t>11/8/22 3:13 PM</t>
  </si>
  <si>
    <t>46:16.1</t>
  </si>
  <si>
    <t>https://comunidad.comprasdominicana.gob.do/Public/Tendering/ContractDetailView/Index?UniqueIdentifier=DO1.PCCNTR.1432205&amp;AwardContractDetailId=394288</t>
  </si>
  <si>
    <t>Mediana Empresa</t>
  </si>
  <si>
    <t>PEDRO BRAND</t>
  </si>
  <si>
    <t>Mediana empresa</t>
  </si>
  <si>
    <t>Número de RPE</t>
  </si>
  <si>
    <t>DO1.RPL.3200322</t>
  </si>
  <si>
    <t>DO1.RANL.1232322</t>
  </si>
  <si>
    <t>PASP-2022-00096</t>
  </si>
  <si>
    <t>Astapor Catering, SRL</t>
  </si>
  <si>
    <t>11/10/22 8:22 AM</t>
  </si>
  <si>
    <t>11/9/22 11:00 AM</t>
  </si>
  <si>
    <t>12/31/22 11:00 AM</t>
  </si>
  <si>
    <t>29:23.1</t>
  </si>
  <si>
    <t>https://comunidad.comprasdominicana.gob.do/Public/Tendering/ContractDetailView/Index?UniqueIdentifier=DO1.PCCNTR.1432308&amp;AwardContractDetailId=394283</t>
  </si>
  <si>
    <t>Micro Empresa</t>
  </si>
  <si>
    <t>Micro empresa</t>
  </si>
  <si>
    <t>Razón social del proveedor de los articulos</t>
  </si>
  <si>
    <t>DO1.RPL.3200320</t>
  </si>
  <si>
    <t>DO1.RANL.1232320</t>
  </si>
  <si>
    <t>PASP-2022-00094</t>
  </si>
  <si>
    <t>Colchoneria Fama, SRL</t>
  </si>
  <si>
    <t>11/8/22 12:36 PM</t>
  </si>
  <si>
    <t>48:35.8</t>
  </si>
  <si>
    <t>https://comunidad.comprasdominicana.gob.do/Public/Tendering/ContractDetailView/Index?UniqueIdentifier=DO1.PCCNTR.1432306&amp;AwardContractDetailId=394281</t>
  </si>
  <si>
    <t>Clasificación de la contratación (Ej: Obras, Bienes, Servicios)</t>
  </si>
  <si>
    <t>DCD-MAE-PEEN-2022-0002</t>
  </si>
  <si>
    <t>DO1.AWD.1254017</t>
  </si>
  <si>
    <t>DO1.RPL.3204894</t>
  </si>
  <si>
    <t>DO1.RANL.1234901</t>
  </si>
  <si>
    <t>DCD-2022-00261</t>
  </si>
  <si>
    <t>CID Autos, SRL</t>
  </si>
  <si>
    <t>ADQUISICIÓN DE VEHÍCULOS PARA FORTALECER LA RESPUESTA Y MITIGAR EL IMPACTO CAUSADO POR EL HURACAN FIONA EN LAS PROVINCIAS EL SEIBO Y MONTE PLATA.</t>
  </si>
  <si>
    <t>10/10/22 12:42 PM</t>
  </si>
  <si>
    <t>10/10/22 1:01 PM</t>
  </si>
  <si>
    <t>11/9/22 1:18 PM</t>
  </si>
  <si>
    <t>11/9/22 1:17 PM</t>
  </si>
  <si>
    <t>11/9/22 2:00 PM</t>
  </si>
  <si>
    <t>12/31/22 12:00 PM</t>
  </si>
  <si>
    <t>30 días</t>
  </si>
  <si>
    <t>46:36.1</t>
  </si>
  <si>
    <t>https://comunidad.comprasdominicana.gob.do/Public/Tendering/ContractDetailView/Index?UniqueIdentifier=DO1.PCCNTR.1438214&amp;AwardContractDetailId=391026</t>
  </si>
  <si>
    <t>https://comunidad.comprasdominicana.gob.do//Public/Tendering/OpportunityDetail/Index?noticeUID=DO1.NTC.1136639</t>
  </si>
  <si>
    <t>Descripción del objeto de la contratación</t>
  </si>
  <si>
    <t>DO1.RPL.3186652</t>
  </si>
  <si>
    <t>DO1.RANL.1228290</t>
  </si>
  <si>
    <t>PASP-2022-00092</t>
  </si>
  <si>
    <t>Factoría José Galan, SRL</t>
  </si>
  <si>
    <t>11/8/22 2:19 PM</t>
  </si>
  <si>
    <t>44:16.8</t>
  </si>
  <si>
    <t>https://comunidad.comprasdominicana.gob.do/Public/Tendering/ContractDetailView/Index?UniqueIdentifier=DO1.PCCNTR.1432304&amp;AwardContractDetailId=394279</t>
  </si>
  <si>
    <t>SAN FCO. DE MACORÍS</t>
  </si>
  <si>
    <t>DUARTE</t>
  </si>
  <si>
    <t>NORTE</t>
  </si>
  <si>
    <t>DO1.RPL.3200321</t>
  </si>
  <si>
    <t>DO1.RANL.1232321</t>
  </si>
  <si>
    <t>PASP-2022-00095</t>
  </si>
  <si>
    <t>Briquetas Nacionales, SRL</t>
  </si>
  <si>
    <t>11/16/22 2:51 PM</t>
  </si>
  <si>
    <t>11/16/22 12:48 PM</t>
  </si>
  <si>
    <t>51:04.7</t>
  </si>
  <si>
    <t>https://comunidad.comprasdominicana.gob.do/Public/Tendering/ContractDetailView/Index?UniqueIdentifier=DO1.PCCNTR.1432307&amp;AwardContractDetailId=394282</t>
  </si>
  <si>
    <t>Descripción del estado del contrato</t>
  </si>
  <si>
    <t>DO1.RPL.3200323</t>
  </si>
  <si>
    <t>DO1.RANL.1232323</t>
  </si>
  <si>
    <t>PASP-2022-00097</t>
  </si>
  <si>
    <t>Comercial La Redención, SRL</t>
  </si>
  <si>
    <t>11/8/22 12:28 PM</t>
  </si>
  <si>
    <t>54:16.6</t>
  </si>
  <si>
    <t>https://comunidad.comprasdominicana.gob.do/Public/Tendering/ContractDetailView/Index?UniqueIdentifier=DO1.PCCNTR.1432309&amp;AwardContractDetailId=394284</t>
  </si>
  <si>
    <t>SANTO DOMINGO OESTE</t>
  </si>
  <si>
    <t>Fecha de adjudicación del contrato</t>
  </si>
  <si>
    <t>DO1.RPL.3200333</t>
  </si>
  <si>
    <t>DO1.RANL.1232333</t>
  </si>
  <si>
    <t>PASP-2022-00108</t>
  </si>
  <si>
    <t>Emcharlotte, SRL</t>
  </si>
  <si>
    <t>11/16/22 2:48 PM</t>
  </si>
  <si>
    <t>11/16/22 12:49 PM</t>
  </si>
  <si>
    <t>11/16/22 10:00 AM</t>
  </si>
  <si>
    <t>48:16.3</t>
  </si>
  <si>
    <t>https://comunidad.comprasdominicana.gob.do/Public/Tendering/ContractDetailView/Index?UniqueIdentifier=DO1.PCCNTR.1432404&amp;AwardContractDetailId=394291</t>
  </si>
  <si>
    <t>VILLA BISONÓ (NAVARRETE)</t>
  </si>
  <si>
    <t>SANTIAGO</t>
  </si>
  <si>
    <t>CIBAO NORTE</t>
  </si>
  <si>
    <t>MIPYME Mujer - Micro empresa</t>
  </si>
  <si>
    <t>DO1.RPL.3200335</t>
  </si>
  <si>
    <t>DO1.RANL.1232335</t>
  </si>
  <si>
    <t>PASP-2022-00110</t>
  </si>
  <si>
    <t>Suplidores Del Caribe (Suplidelca), SRL</t>
  </si>
  <si>
    <t>11/21/22 12:54 PM</t>
  </si>
  <si>
    <t>11/23/22 10:00 AM</t>
  </si>
  <si>
    <t>56:34.7</t>
  </si>
  <si>
    <t>https://comunidad.comprasdominicana.gob.do/Public/Tendering/ContractDetailView/Index?UniqueIdentifier=DO1.PCCNTR.1432406&amp;AwardContractDetailId=394292</t>
  </si>
  <si>
    <t>Fecha de aprobación del contrato</t>
  </si>
  <si>
    <t>DO1.RPL.3200337</t>
  </si>
  <si>
    <t>DO1.RANL.1232337</t>
  </si>
  <si>
    <t>PASP-2022-00112</t>
  </si>
  <si>
    <t>Grancasa, SRL</t>
  </si>
  <si>
    <t>ADQUISICIÓN DE ALIMENTOS Y MATERIAL DE EMPAQUE PARA LA CREACION DE RACIONES ALIMENTICIAS, ENSERES DEL HOGAR Y MATERIALES DE CONSTRUCCION PARA SER UTILIZADOS EN AYUDAS SOCIALES DE LA INSTITUCION</t>
  </si>
  <si>
    <t>11/10/22 8:35 AM</t>
  </si>
  <si>
    <t>35:56.4</t>
  </si>
  <si>
    <t>https://comunidad.comprasdominicana.gob.do/Public/Tendering/ContractDetailView/Index?UniqueIdentifier=DO1.PCCNTR.1432408&amp;AwardContractDetailId=394293</t>
  </si>
  <si>
    <t>DO1.RPL.3200324</t>
  </si>
  <si>
    <t>DO1.RANL.1232324</t>
  </si>
  <si>
    <t>PASP-2022-00098</t>
  </si>
  <si>
    <t>Comercial Corazón, SRL</t>
  </si>
  <si>
    <t>11/8/22 2:26 PM</t>
  </si>
  <si>
    <t>57:25.9</t>
  </si>
  <si>
    <t>https://comunidad.comprasdominicana.gob.do/Public/Tendering/ContractDetailView/Index?UniqueIdentifier=DO1.PCCNTR.1432310&amp;AwardContractDetailId=394285</t>
  </si>
  <si>
    <t>DO1.RPL.3187405</t>
  </si>
  <si>
    <t>DO1.RANL.1228281</t>
  </si>
  <si>
    <t>PASP-2022-00093</t>
  </si>
  <si>
    <t>J. Rafael Núñez P, SRL</t>
  </si>
  <si>
    <t>11/7/22 4:18 PM</t>
  </si>
  <si>
    <t>11/7/22 4:15 PM</t>
  </si>
  <si>
    <t>12/31/22 8:00 AM</t>
  </si>
  <si>
    <t>45:56.0</t>
  </si>
  <si>
    <t>https://comunidad.comprasdominicana.gob.do/Public/Tendering/ContractDetailView/Index?UniqueIdentifier=DO1.PCCNTR.1432305&amp;AwardContractDetailId=394280</t>
  </si>
  <si>
    <t>Fecha de inicio del contrato</t>
  </si>
  <si>
    <t>DO1.RPL.3200330</t>
  </si>
  <si>
    <t>DO1.RANL.1232330</t>
  </si>
  <si>
    <t>PASP-2022-00105</t>
  </si>
  <si>
    <t>Comerdom, SRL</t>
  </si>
  <si>
    <t>11/6/22 11:56 AM</t>
  </si>
  <si>
    <t>11/6/22 11:52 AM</t>
  </si>
  <si>
    <t>55:04.7</t>
  </si>
  <si>
    <t>https://comunidad.comprasdominicana.gob.do/Public/Tendering/ContractDetailView/Index?UniqueIdentifier=DO1.PCCNTR.1432401&amp;AwardContractDetailId=394290</t>
  </si>
  <si>
    <t>Fecha de finalización del contrato</t>
  </si>
  <si>
    <t>EDEESTE-MAE-PEEN-2022-0001</t>
  </si>
  <si>
    <t>DO1.AWD.1245555</t>
  </si>
  <si>
    <t>DO1.RPL.3175731</t>
  </si>
  <si>
    <t>DO1.RANL.1223573</t>
  </si>
  <si>
    <t>EDEESTE-2022-00071</t>
  </si>
  <si>
    <t>Protección Integral SOS, SRL</t>
  </si>
  <si>
    <t>Compra de Equipos de Protección - Plan de Contingencia emergencia Huracán Fiona</t>
  </si>
  <si>
    <t>9/26/22 4:23 PM</t>
  </si>
  <si>
    <t>9/26/22 4:45 PM</t>
  </si>
  <si>
    <t>11/28/22 2:30 PM</t>
  </si>
  <si>
    <t>11/28/22 2:29 PM</t>
  </si>
  <si>
    <t>11/30/22 12:00 AM</t>
  </si>
  <si>
    <t>11/30/22 12:00 PM</t>
  </si>
  <si>
    <t>12/30/22 12:00 AM</t>
  </si>
  <si>
    <t>00:42.2</t>
  </si>
  <si>
    <t>https://comunidad.comprasdominicana.gob.do/Public/Tendering/ContractDetailView/Index?UniqueIdentifier=DO1.PCCNTR.1426156&amp;AwardContractDetailId=386388</t>
  </si>
  <si>
    <t>https://comunidad.comprasdominicana.gob.do//Public/Tendering/OpportunityDetail/Index?noticeUID=DO1.NTC.1132427</t>
  </si>
  <si>
    <t>DO1.AWD.1250815</t>
  </si>
  <si>
    <t>DO1.RPL.3194303</t>
  </si>
  <si>
    <t>DO1.RANL.1231134</t>
  </si>
  <si>
    <t>DESARROLLO PROVINCIA-2022-00042</t>
  </si>
  <si>
    <t>Empresas Integradas, SAS</t>
  </si>
  <si>
    <t>10/4/22 11:37 AM</t>
  </si>
  <si>
    <t>10/4/22 11:59 AM</t>
  </si>
  <si>
    <t>10/6/22 11:59 AM</t>
  </si>
  <si>
    <t>10/7/22 12:00 AM</t>
  </si>
  <si>
    <t>90 días</t>
  </si>
  <si>
    <t>32:34.3</t>
  </si>
  <si>
    <t>https://comunidad.comprasdominicana.gob.do/Public/Tendering/ContractDetailView/Index?UniqueIdentifier=DO1.PCCNTR.1432727&amp;AwardContractDetailId=388627</t>
  </si>
  <si>
    <t>DO1.RPL.3202017</t>
  </si>
  <si>
    <t>DO1.RANL.1232918</t>
  </si>
  <si>
    <t>DESARROLLO PROVINCIA-2022-00041</t>
  </si>
  <si>
    <t>Suplidora Rosalian, SRL</t>
  </si>
  <si>
    <t>10/6/22 10:37 AM</t>
  </si>
  <si>
    <t>11/2/22 8:48 AM</t>
  </si>
  <si>
    <t>27:31.4</t>
  </si>
  <si>
    <t>https://comunidad.comprasdominicana.gob.do/Public/Tendering/ContractDetailView/Index?UniqueIdentifier=DO1.PCCNTR.1432628&amp;AwardContractDetailId=388626</t>
  </si>
  <si>
    <t>Simbolo de moneda en la que se celabra el contrato (Ej: DOP, USD)</t>
  </si>
  <si>
    <t>DO1.RPL.3195513</t>
  </si>
  <si>
    <t>DO1.RANL.1231230</t>
  </si>
  <si>
    <t>DESARROLLO PROVINCIA-2022-00043</t>
  </si>
  <si>
    <t>Supligensa, SRL</t>
  </si>
  <si>
    <t>10/6/22 3:26 PM</t>
  </si>
  <si>
    <t>10/6/22 3:23 PM</t>
  </si>
  <si>
    <t>26:30.0</t>
  </si>
  <si>
    <t>https://comunidad.comprasdominicana.gob.do/Public/Tendering/ContractDetailView/Index?UniqueIdentifier=DO1.PCCNTR.1432728&amp;AwardContractDetailId=388628</t>
  </si>
  <si>
    <t>Valor contratado</t>
  </si>
  <si>
    <t>DO1.RPL.3195487</t>
  </si>
  <si>
    <t>DO1.RANL.1231289</t>
  </si>
  <si>
    <t>DESARROLLO PROVINCIA-2022-00040</t>
  </si>
  <si>
    <t>Ferretería &amp; Pinturas Larimar, SRL</t>
  </si>
  <si>
    <t>10/6/22 9:59 AM</t>
  </si>
  <si>
    <t>29:07.0</t>
  </si>
  <si>
    <t>https://comunidad.comprasdominicana.gob.do/Public/Tendering/ContractDetailView/Index?UniqueIdentifier=DO1.PCCNTR.1432627&amp;AwardContractDetailId=388625</t>
  </si>
  <si>
    <t>SANTO DOMINGO NORTE</t>
  </si>
  <si>
    <t>Descripción del método de pago del contrato</t>
  </si>
  <si>
    <t>DO1.RPL.3215103</t>
  </si>
  <si>
    <t>DO1.RANL.1238503</t>
  </si>
  <si>
    <t>PASP-2022-00129</t>
  </si>
  <si>
    <t>Tingley Business, SRL</t>
  </si>
  <si>
    <t>11/8/22 2:22 PM</t>
  </si>
  <si>
    <t>11/8/22 2:21 PM</t>
  </si>
  <si>
    <t>23:17.8</t>
  </si>
  <si>
    <t>https://comunidad.comprasdominicana.gob.do/Public/Tendering/ContractDetailView/Index?UniqueIdentifier=DO1.PCCNTR.1438916&amp;AwardContractDetailId=394303</t>
  </si>
  <si>
    <t>Descripción del plazo de pago de la facturación</t>
  </si>
  <si>
    <t>8/9/23 2:26 PM</t>
  </si>
  <si>
    <t>Fecha de la ultima modificación de la información del contrato</t>
  </si>
  <si>
    <t>URL del contrato en la página de contratación pública</t>
  </si>
  <si>
    <t>Descripción del estado del proceso de contratación</t>
  </si>
  <si>
    <t>Códificación de la modalidad de contratación</t>
  </si>
  <si>
    <t>Descripción de la modalidad de contratación (Ejemplo: Procesos de Excepción)</t>
  </si>
  <si>
    <t>Número de documento de identificación del proveedor</t>
  </si>
  <si>
    <t>Tipo de documento de identidad del proveedor</t>
  </si>
  <si>
    <t>Identidad de género del proveedor</t>
  </si>
  <si>
    <t>Tipo de persona (Ejemplo: Natural o Jurídica)</t>
  </si>
  <si>
    <t>Identificador si es MIPYME (Si o No)</t>
  </si>
  <si>
    <t>Clasificación empresarial de nivel 1</t>
  </si>
  <si>
    <t>Clasificación empresarial de nivel 2</t>
  </si>
  <si>
    <t>Nombre del municipio</t>
  </si>
  <si>
    <t>Nombre de la provincia</t>
  </si>
  <si>
    <t>Nombre de la región</t>
  </si>
  <si>
    <t>Nombre de la Macroregión</t>
  </si>
  <si>
    <t>Descripción de clasificación MICM</t>
  </si>
  <si>
    <t>Descripción del detalle de la excepción</t>
  </si>
  <si>
    <t>https://api.dgcp.gob.do/opendata/emergencia/articulos_procesos.csv</t>
  </si>
  <si>
    <t>Contiene información de los articulos relacionados en un proceso de contratación</t>
  </si>
  <si>
    <t>ID_ARTICULO</t>
  </si>
  <si>
    <t>SUBCLASE_UNSPSC</t>
  </si>
  <si>
    <t>DESCRIPCION_ARTICULO</t>
  </si>
  <si>
    <t>CUENTA_PRESUPUESTARIA</t>
  </si>
  <si>
    <t>CODIGO_UNIDAD_MEDIDA</t>
  </si>
  <si>
    <t>DESCRIPCION_UNIDAD_MEDIDA</t>
  </si>
  <si>
    <t>DESCRIPCION_USUARIO</t>
  </si>
  <si>
    <t>CANTIDAD</t>
  </si>
  <si>
    <t>PRECIO_UNITARIO_ESTIMADO</t>
  </si>
  <si>
    <t>PRECIO_TOTAL_ESTIMADO</t>
  </si>
  <si>
    <t xml:space="preserve">Código identificador del proceso de contratación
</t>
  </si>
  <si>
    <t>Cinta de vinilo</t>
  </si>
  <si>
    <t>2.3.9.9.05</t>
  </si>
  <si>
    <t>UD</t>
  </si>
  <si>
    <t>Unidad</t>
  </si>
  <si>
    <t>Tape de Goma</t>
  </si>
  <si>
    <t>6/4/24 2:08 AM</t>
  </si>
  <si>
    <t>Estado del Proceso</t>
  </si>
  <si>
    <t>Conectores estancos de cables</t>
  </si>
  <si>
    <t>2.3.9.6.01</t>
  </si>
  <si>
    <t>Terminal Prensaestopas ¾”</t>
  </si>
  <si>
    <t>47.2</t>
  </si>
  <si>
    <t>Identificador del articulo en el catalogo de articulos</t>
  </si>
  <si>
    <t>Removedores de pelusa</t>
  </si>
  <si>
    <t>Lanillas Microfibras ultra suave color azul</t>
  </si>
  <si>
    <t xml:space="preserve">Identificador de la subclase en el catálogo de la UNSPSC
</t>
  </si>
  <si>
    <t>Conectores de cables eléctricos</t>
  </si>
  <si>
    <t>Conector para varilla de Tierra</t>
  </si>
  <si>
    <t>106.2</t>
  </si>
  <si>
    <t>Descripción del articulo</t>
  </si>
  <si>
    <t>Enchufes</t>
  </si>
  <si>
    <t>2.3.6.3.04</t>
  </si>
  <si>
    <t>Tomacorriente Simple Para Extensión Macho 15ª</t>
  </si>
  <si>
    <t>424.8</t>
  </si>
  <si>
    <t>Código de cuenta presupuestaria</t>
  </si>
  <si>
    <t>Accesorios de cable</t>
  </si>
  <si>
    <t>Terminal de Ojo para cable #12</t>
  </si>
  <si>
    <t>8.26</t>
  </si>
  <si>
    <t>Abreviatura de la unidad de medida del articulo</t>
  </si>
  <si>
    <t>Conductor Eléctrico negro AWG10</t>
  </si>
  <si>
    <t>21.24</t>
  </si>
  <si>
    <t>Descripción de la unidad de medida del articulo</t>
  </si>
  <si>
    <t>Conductor Eléctrico verde, AWG # 10</t>
  </si>
  <si>
    <t>18.88</t>
  </si>
  <si>
    <t>Descripcion del producto</t>
  </si>
  <si>
    <t>Conector Liquid Tight Recto ¾”</t>
  </si>
  <si>
    <t>99.12</t>
  </si>
  <si>
    <t xml:space="preserve">Cantidad de articulos asociados al proceso de contratación
</t>
  </si>
  <si>
    <t xml:space="preserve">Valor de precio unitario estimado del articulo
</t>
  </si>
  <si>
    <t>Valor de precio total estimado del articulo</t>
  </si>
  <si>
    <t>https://api.dgcp.gob.do/opendata/emergencia/articulos_contratos.csv</t>
  </si>
  <si>
    <t>Contiene información de los articulos relacionados en un contrato</t>
  </si>
  <si>
    <t>Contains information on the items related to a contract</t>
  </si>
  <si>
    <t>ID_BUSINESS_ITEM</t>
  </si>
  <si>
    <t>ID_BUSINESS_ITEM_LINE</t>
  </si>
  <si>
    <t>DESCRIPCION_SUBCLASE</t>
  </si>
  <si>
    <t>ABR_UNIDAD_MEDIDA</t>
  </si>
  <si>
    <t>PRECIO_UNITARIO</t>
  </si>
  <si>
    <t>ITBIS</t>
  </si>
  <si>
    <t>OTROS_IMPUESTOS</t>
  </si>
  <si>
    <t>DESCUENTO</t>
  </si>
  <si>
    <t>MONTO_TOTAL</t>
  </si>
  <si>
    <t>911-2022-00154</t>
  </si>
  <si>
    <t>Santana Germán Supply Battery Solar, SRL</t>
  </si>
  <si>
    <t>11/24/22 9:36 AM</t>
  </si>
  <si>
    <t>Baterías recargables</t>
  </si>
  <si>
    <t>BATERIA AGM 100 AH 12VDC</t>
  </si>
  <si>
    <t>20459.15</t>
  </si>
  <si>
    <t>6/4/24 8:20 PM</t>
  </si>
  <si>
    <t>BATERIA AGM 200 AH 12VDC</t>
  </si>
  <si>
    <t>41500.6</t>
  </si>
  <si>
    <t>434746.51</t>
  </si>
  <si>
    <t>2850004.91</t>
  </si>
  <si>
    <t>911-2022-00178</t>
  </si>
  <si>
    <t>Tecnofijaciones de Dominicana, SRL</t>
  </si>
  <si>
    <t>4/18/23 5:18 PM</t>
  </si>
  <si>
    <t>Conductor Eléctrico negro AWG12</t>
  </si>
  <si>
    <t>15.34</t>
  </si>
  <si>
    <t>9.15</t>
  </si>
  <si>
    <t>Destornilladores</t>
  </si>
  <si>
    <t>JUEGO DE DESTORNILLADORES</t>
  </si>
  <si>
    <t>1132.8</t>
  </si>
  <si>
    <t>Pinzas de corte diagonal</t>
  </si>
  <si>
    <t>JUEGO DE PINZAS</t>
  </si>
  <si>
    <t>Pulidoras</t>
  </si>
  <si>
    <t>PULIDORA DE 4-1/2"</t>
  </si>
  <si>
    <t>2.6.5.7.01</t>
  </si>
  <si>
    <t>15594.88</t>
  </si>
  <si>
    <t>911-2023-00015</t>
  </si>
  <si>
    <t>Gilgami Group, SRL</t>
  </si>
  <si>
    <t>3/29/23 5:20 PM</t>
  </si>
  <si>
    <t>Tape de Vinil</t>
  </si>
  <si>
    <t>577.02</t>
  </si>
  <si>
    <t>400.42</t>
  </si>
  <si>
    <t>21622.68</t>
  </si>
  <si>
    <t>141748.68</t>
  </si>
  <si>
    <t>Fecha de Firma del Contrato</t>
  </si>
  <si>
    <t>Aceites de lubricación de relojes</t>
  </si>
  <si>
    <t>Grasa Dieléctrica Para terminales eléctricos</t>
  </si>
  <si>
    <t>2.3.7.1.05</t>
  </si>
  <si>
    <t>907.63</t>
  </si>
  <si>
    <t>816.87</t>
  </si>
  <si>
    <t>Cable desnudo de Cobre AWG-2</t>
  </si>
  <si>
    <t>230.1</t>
  </si>
  <si>
    <t>113.4</t>
  </si>
  <si>
    <t>26762.4</t>
  </si>
  <si>
    <t>Conductor Eléctrico AWG 8 Verde</t>
  </si>
  <si>
    <t>24.78</t>
  </si>
  <si>
    <t>Breakers de circuito</t>
  </si>
  <si>
    <t>Breaker Modular dos polos, 40 Amp</t>
  </si>
  <si>
    <t>377.6</t>
  </si>
  <si>
    <t>241.65</t>
  </si>
  <si>
    <t>434.97</t>
  </si>
  <si>
    <t>2851.47</t>
  </si>
  <si>
    <t>Identificador de la subclase en el catálogo de la UNSPSC</t>
  </si>
  <si>
    <t>Breaker Modular un polo, 20 Amp.</t>
  </si>
  <si>
    <t>220.66</t>
  </si>
  <si>
    <t>143.02</t>
  </si>
  <si>
    <t>3861.54</t>
  </si>
  <si>
    <t>25314.54</t>
  </si>
  <si>
    <t>Descripción de la subclase en el catálogo de la UNSPSC</t>
  </si>
  <si>
    <t>Breaker Modular un polo, 32 Amp</t>
  </si>
  <si>
    <t>330.4</t>
  </si>
  <si>
    <t>128.25</t>
  </si>
  <si>
    <t>15133.5</t>
  </si>
  <si>
    <t>Cable de cobre no eléctrico</t>
  </si>
  <si>
    <t>Coupling EMT ¾”</t>
  </si>
  <si>
    <t>64.9</t>
  </si>
  <si>
    <t>11.43</t>
  </si>
  <si>
    <t>82.3</t>
  </si>
  <si>
    <t>539.5</t>
  </si>
  <si>
    <t>Tuercas abrazaderas</t>
  </si>
  <si>
    <t>Abrazadera EMT ¾”</t>
  </si>
  <si>
    <t>2.3.6.3.06</t>
  </si>
  <si>
    <t>56.64</t>
  </si>
  <si>
    <t>2.28</t>
  </si>
  <si>
    <t>41.04</t>
  </si>
  <si>
    <t>269.04</t>
  </si>
  <si>
    <t>Cantidad de articulos asociados al contrato</t>
  </si>
  <si>
    <t>Brochas</t>
  </si>
  <si>
    <t>Brochas 1/2</t>
  </si>
  <si>
    <t>63.51</t>
  </si>
  <si>
    <t>22.95</t>
  </si>
  <si>
    <t>16.52</t>
  </si>
  <si>
    <t>108.32</t>
  </si>
  <si>
    <t>Tubería de plástico</t>
  </si>
  <si>
    <t>Tuberia Liquid Tight 2"</t>
  </si>
  <si>
    <t>2.3.9.8.02</t>
  </si>
  <si>
    <t>247.8</t>
  </si>
  <si>
    <t>211.65</t>
  </si>
  <si>
    <t>24974.7</t>
  </si>
  <si>
    <t>Valor de precio unitario estimado del articulo</t>
  </si>
  <si>
    <t>Valor de precio unitario del articulo</t>
  </si>
  <si>
    <t>Otros impuestos definidos para el articulo</t>
  </si>
  <si>
    <t>Descuentos asociados al articulo</t>
  </si>
  <si>
    <t>Corresponde a la cantidad de articulos por el precio estimado del articulo mas el ITBIS</t>
  </si>
  <si>
    <t>https://api.dgcp.gob.do/opendata/emergencia/proveedores.csv</t>
  </si>
  <si>
    <t xml:space="preserve">Contiene catalogo de información de proveedores de bienes y servicios		
</t>
  </si>
  <si>
    <t>CODE</t>
  </si>
  <si>
    <t>ID</t>
  </si>
  <si>
    <t>ESTADO_RPE</t>
  </si>
  <si>
    <t>FECHA_CREACION</t>
  </si>
  <si>
    <t>FECHA_REGISTRO</t>
  </si>
  <si>
    <t>NUMERO_REGISTRO_MERCANTIL</t>
  </si>
  <si>
    <t>FECHA_REGISTRO_MERCANTIL</t>
  </si>
  <si>
    <t>FECHA_VENCIMIENTO_CERTIFICACION_MICM</t>
  </si>
  <si>
    <t>PRODUCTOR_NACIONAL</t>
  </si>
  <si>
    <t>REGISTRO_INDUSTRIAL</t>
  </si>
  <si>
    <t>OCUPACION</t>
  </si>
  <si>
    <t>TELEFONO_COMERCIAL</t>
  </si>
  <si>
    <t>CELULAR_COMERCIAL</t>
  </si>
  <si>
    <t>CORREO_COMERCIAL</t>
  </si>
  <si>
    <t>CORREO_NOTIFICACIONES</t>
  </si>
  <si>
    <t>DIRECCION</t>
  </si>
  <si>
    <t>DISTRITO_MUNICIPAL</t>
  </si>
  <si>
    <t>PROVEE</t>
  </si>
  <si>
    <t>CELULAR_CONTACTO</t>
  </si>
  <si>
    <t>URL_CERTIFICACION_RPE</t>
  </si>
  <si>
    <t>ESTADO_COMENTARIO</t>
  </si>
  <si>
    <t>LUIS ENRIQUE FRIAS</t>
  </si>
  <si>
    <t>Cédula</t>
  </si>
  <si>
    <t>Persona Natural</t>
  </si>
  <si>
    <t>Persona Física</t>
  </si>
  <si>
    <t>3/25/2015 8:00</t>
  </si>
  <si>
    <t>TECNICO</t>
  </si>
  <si>
    <t>809-368-9602</t>
  </si>
  <si>
    <t>luisenrique1907@hotmail.com</t>
  </si>
  <si>
    <t>https://comunidad.comprasdominicana.gob.do/Public/Companies/SupplierSearchPublic/DownloadSupplierDocument?companyCode=700000011</t>
  </si>
  <si>
    <t>Persona física</t>
  </si>
  <si>
    <t>Apr 14 2024 10:13AM</t>
  </si>
  <si>
    <t>6/6/24 2:32 PM</t>
  </si>
  <si>
    <t>BRANDED MANAGEMENT AGENCY, SRL</t>
  </si>
  <si>
    <t>Desactualizado</t>
  </si>
  <si>
    <t>4/4/13 8:00 AM</t>
  </si>
  <si>
    <t>97011SD</t>
  </si>
  <si>
    <t>4/10/17 8:00 AM</t>
  </si>
  <si>
    <t>809-482-2872</t>
  </si>
  <si>
    <t>info@brandedma.com</t>
  </si>
  <si>
    <t>https://comunidad.comprasdominicana.gob.do/Public/Companies/SupplierSearchPublic/DownloadSupplierDocument?companyCode=700000037</t>
  </si>
  <si>
    <t>Apr 26 2024 8:00PM</t>
  </si>
  <si>
    <t>Constructora Wegar, SRL</t>
  </si>
  <si>
    <t>3/20/14 8:00 AM</t>
  </si>
  <si>
    <t>106242SD</t>
  </si>
  <si>
    <t>4/1/18 4:00 AM</t>
  </si>
  <si>
    <t>809-597-9010</t>
  </si>
  <si>
    <t>constructorawegar@gmail.com</t>
  </si>
  <si>
    <t>ing.alejandro_gh@hotmail.com</t>
  </si>
  <si>
    <t>Avenida Central Esq. 2W, Plaza Lianet, 3er. Piso Local 3-B, 32, Lucerna</t>
  </si>
  <si>
    <t>Obras,Servicios</t>
  </si>
  <si>
    <t>https://comunidad.comprasdominicana.gob.do/Public/Companies/SupplierSearchPublic/DownloadSupplierDocument?companyCode=700000086</t>
  </si>
  <si>
    <t>Centro Oriental de Diabetes y Endocrinología, SRL (CENODE)</t>
  </si>
  <si>
    <t>9/19/00 8:00 AM</t>
  </si>
  <si>
    <t>37316SD</t>
  </si>
  <si>
    <t>9/29/20 4:00 AM</t>
  </si>
  <si>
    <t>809-596-1335</t>
  </si>
  <si>
    <t>centroorientaldediabetes@hotmail.com</t>
  </si>
  <si>
    <t>Calle Presidente Estrella Ureña, 113, Los Mina</t>
  </si>
  <si>
    <t>https://comunidad.comprasdominicana.gob.do/Public/Companies/SupplierSearchPublic/DownloadSupplierDocument?companyCode=700000102</t>
  </si>
  <si>
    <t>LUCIA JOSEFINA PLACENCIA GONZALEZ</t>
  </si>
  <si>
    <t>COMUNICADORA SOCIAL</t>
  </si>
  <si>
    <t>829-473-0349</t>
  </si>
  <si>
    <t>luchyplacencia@gmail.com</t>
  </si>
  <si>
    <t>Consultoria,Servicios</t>
  </si>
  <si>
    <t>https://comunidad.comprasdominicana.gob.do/Public/Companies/SupplierSearchPublic/DownloadSupplierDocument?companyCode=700000177</t>
  </si>
  <si>
    <t>Clistenes Restituyo Germosen, CRG, SRL</t>
  </si>
  <si>
    <t>1/15/15 8:00 AM</t>
  </si>
  <si>
    <t>113722SD</t>
  </si>
  <si>
    <t>2/4/23 4:00 AM</t>
  </si>
  <si>
    <t>809-728-1170</t>
  </si>
  <si>
    <t>clistenesrestituyo@gmail.com</t>
  </si>
  <si>
    <t>clistenesrestituyo@yahoo.com</t>
  </si>
  <si>
    <t>Calle 2da., Manzana A, 03, Villa Faro</t>
  </si>
  <si>
    <t>Consultoria,Obras,Servicios</t>
  </si>
  <si>
    <t>https://comunidad.comprasdominicana.gob.do/Public/Companies/SupplierSearchPublic/DownloadSupplierDocument?companyCode=700009665</t>
  </si>
  <si>
    <t>Descripción del estado del RPE</t>
  </si>
  <si>
    <t>METRO TECH ENERGY, SRL (MTE)</t>
  </si>
  <si>
    <t>11/7/14 8:00 AM</t>
  </si>
  <si>
    <t>112583SD</t>
  </si>
  <si>
    <t>12/4/16 8:00 AM</t>
  </si>
  <si>
    <t>809-565-3921</t>
  </si>
  <si>
    <t>info@metrotechenergy.com</t>
  </si>
  <si>
    <t>https://comunidad.comprasdominicana.gob.do/Public/Companies/SupplierSearchPublic/DownloadSupplierDocument?companyCode=700009673</t>
  </si>
  <si>
    <t>MCS MEDIOS CREATIVOS, SRL</t>
  </si>
  <si>
    <t>1/20/15 8:00 AM</t>
  </si>
  <si>
    <t>114167SD</t>
  </si>
  <si>
    <t>2/8/17 8:00 AM</t>
  </si>
  <si>
    <t>829-514-4514</t>
  </si>
  <si>
    <t>tejeda.ovalles@gmail.com</t>
  </si>
  <si>
    <t>https://comunidad.comprasdominicana.gob.do/Public/Companies/SupplierSearchPublic/DownloadSupplierDocument?companyCode=700009681</t>
  </si>
  <si>
    <t>Tipo de persona (Ejempo: Natural o Jurídica)</t>
  </si>
  <si>
    <t>Rey Publicidad, SRL</t>
  </si>
  <si>
    <t>1/29/03 8:00 AM</t>
  </si>
  <si>
    <t>14225SD</t>
  </si>
  <si>
    <t>12/9/22 4:00 AM</t>
  </si>
  <si>
    <t>6/3/22 4:00 AM</t>
  </si>
  <si>
    <t>809-533-3619</t>
  </si>
  <si>
    <t>reypublicidad@hotmail.com</t>
  </si>
  <si>
    <t>Calle Peña Batlle, 164, Ensanche La Fé</t>
  </si>
  <si>
    <t>https://comunidad.comprasdominicana.gob.do/Public/Companies/SupplierSearchPublic/DownloadSupplierDocument?companyCode=700009814</t>
  </si>
  <si>
    <t>Forma Juridica</t>
  </si>
  <si>
    <t>Diseños y Construcciones Sanchez Ureña, SRL</t>
  </si>
  <si>
    <t>7/3/87 8:00 AM</t>
  </si>
  <si>
    <t>19177SD</t>
  </si>
  <si>
    <t>3/18/23 4:00 AM</t>
  </si>
  <si>
    <t>1/7/10 8:00 AM</t>
  </si>
  <si>
    <t>809-224-5834</t>
  </si>
  <si>
    <t>discsanchez@gmail.com</t>
  </si>
  <si>
    <t>josefinacamilo@gmail.com</t>
  </si>
  <si>
    <t>Calle Max Henriquez Ureña, Esq. Lopez de Vega, Edif. Plaza Tiffany , Piso 2, Apto 7, Centro de la Ciudad</t>
  </si>
  <si>
    <t>https://comunidad.comprasdominicana.gob.do/Public/Companies/SupplierSearchPublic/DownloadSupplierDocument?companyCode=700009822</t>
  </si>
  <si>
    <t>Fecha de Creación</t>
  </si>
  <si>
    <t>Prestadora de Servicios de Estancias Infantiles S S Madre Vieja Sur, SRL</t>
  </si>
  <si>
    <t>7/2/10 8:00 AM</t>
  </si>
  <si>
    <t>2121SC</t>
  </si>
  <si>
    <t>7/8/20 4:00 AM</t>
  </si>
  <si>
    <t>809-288-0309</t>
  </si>
  <si>
    <t>sandyrosario46@gmail.com</t>
  </si>
  <si>
    <t>estanciasinfantiles.mvs@gmail.com</t>
  </si>
  <si>
    <t>Calle Gregorio Luperon Esq. C/ G, Ens. Constitución,, 3, Madre Vieja Sur</t>
  </si>
  <si>
    <t>SAN CRISTÓBAL</t>
  </si>
  <si>
    <t>https://comunidad.comprasdominicana.gob.do/Public/Companies/SupplierSearchPublic/DownloadSupplierDocument?companyCode=700000193</t>
  </si>
  <si>
    <t>SUROESTE</t>
  </si>
  <si>
    <t>Fecha de registro del proveedor en el catálogo de proveedores</t>
  </si>
  <si>
    <t>CAMARA MINERA DEL PERU</t>
  </si>
  <si>
    <t>Clave Tributaria País Extranjero</t>
  </si>
  <si>
    <t>3/13/12 8:00 AM</t>
  </si>
  <si>
    <t>10/14/2014 17:14</t>
  </si>
  <si>
    <t>051-652-6449</t>
  </si>
  <si>
    <t>contador@camiper.com</t>
  </si>
  <si>
    <t>https://comunidad.comprasdominicana.gob.do/Public/Companies/SupplierSearchPublic/DownloadSupplierDocument?companyCode=700006448</t>
  </si>
  <si>
    <t>Numero de Registro Mercantil</t>
  </si>
  <si>
    <t>KAPLAN, INC</t>
  </si>
  <si>
    <t>11/29/84 8:00 AM</t>
  </si>
  <si>
    <t>809-472-1111</t>
  </si>
  <si>
    <t>chris.neumann@kaplan.com</t>
  </si>
  <si>
    <t>https://comunidad.comprasdominicana.gob.do/Public/Companies/SupplierSearchPublic/DownloadSupplierDocument?companyCode=700006463</t>
  </si>
  <si>
    <t>Fecha de registro mercantil del proveedor</t>
  </si>
  <si>
    <t>MR DO BRASIL INDUSTRIA MECANICA LTDA</t>
  </si>
  <si>
    <t>43.966.092/0001-71</t>
  </si>
  <si>
    <t>7/17/80 8:00 AM</t>
  </si>
  <si>
    <t>4/15/14 8:00 AM</t>
  </si>
  <si>
    <t>11-4785-2157</t>
  </si>
  <si>
    <t>c.silva@br.reinhausen.com; r.costa@br.reinhausen.com</t>
  </si>
  <si>
    <t>Servicios,Bienes</t>
  </si>
  <si>
    <t>https://comunidad.comprasdominicana.gob.do/Public/Companies/SupplierSearchPublic/DownloadSupplierDocument?companyCode=700006513</t>
  </si>
  <si>
    <t>CESAR MIGUEL VASQUEZ CAMACHO</t>
  </si>
  <si>
    <t>5/28/16 8:00 AM</t>
  </si>
  <si>
    <t>COMERCIANTE</t>
  </si>
  <si>
    <t>809-421-9091</t>
  </si>
  <si>
    <t>cesar.vasquez46@yahoo.com</t>
  </si>
  <si>
    <t>https://comunidad.comprasdominicana.gob.do/Public/Companies/SupplierSearchPublic/DownloadSupplierDocument?companyCode=700006539</t>
  </si>
  <si>
    <t>Fecha de Vencimiento de la certificación</t>
  </si>
  <si>
    <t>SUPMACON 4G, SRL</t>
  </si>
  <si>
    <t>3/7/14 8:00 AM</t>
  </si>
  <si>
    <t>4/30/2014 8:00</t>
  </si>
  <si>
    <t>105577SD</t>
  </si>
  <si>
    <t>3/7/18 8:00 AM</t>
  </si>
  <si>
    <t>2/23/16 8:00 AM</t>
  </si>
  <si>
    <t>849-289-6953</t>
  </si>
  <si>
    <t>supmacon@gmail.com</t>
  </si>
  <si>
    <t>https://comunidad.comprasdominicana.gob.do/Public/Companies/SupplierSearchPublic/DownloadSupplierDocument?companyCode=700006604</t>
  </si>
  <si>
    <t>PETER IVAN READ MARCANO</t>
  </si>
  <si>
    <t>3/28/2014 8:00</t>
  </si>
  <si>
    <t>3/29/17 4:00 AM</t>
  </si>
  <si>
    <t>809-916-4141</t>
  </si>
  <si>
    <t>peterreadm@yahoo.com</t>
  </si>
  <si>
    <t>Prolongación Ortega y Gasset Esq. El Vergel, Edificio Gil Roma XV, Apto. 4-A, 0, Naco</t>
  </si>
  <si>
    <t>https://comunidad.comprasdominicana.gob.do/Public/Companies/SupplierSearchPublic/DownloadSupplierDocument?companyCode=700006620</t>
  </si>
  <si>
    <t>Es productor Nacional?</t>
  </si>
  <si>
    <t>MAXIMO MOLA BRITO</t>
  </si>
  <si>
    <t>MECANICO</t>
  </si>
  <si>
    <t>809-775-4568</t>
  </si>
  <si>
    <t>juandone@hotmail.com</t>
  </si>
  <si>
    <t>https://comunidad.comprasdominicana.gob.do/Public/Companies/SupplierSearchPublic/DownloadSupplierDocument?companyCode=700009699</t>
  </si>
  <si>
    <t>Registro Industrial</t>
  </si>
  <si>
    <t>JUAN RAFAEL VIDAL BISONO</t>
  </si>
  <si>
    <t>829-219-6717</t>
  </si>
  <si>
    <t>hibysalmonte@hotmail.com</t>
  </si>
  <si>
    <t>https://comunidad.comprasdominicana.gob.do/Public/Companies/SupplierSearchPublic/DownloadSupplierDocument?companyCode=700009715</t>
  </si>
  <si>
    <t>Descripción de la ocupación del proveedor</t>
  </si>
  <si>
    <t>Candida Jocelyne Ramos Ovalle</t>
  </si>
  <si>
    <t>ABOGADO NOTARIO</t>
  </si>
  <si>
    <t>809-595-0051</t>
  </si>
  <si>
    <t>candidajramos@gmail.com</t>
  </si>
  <si>
    <t>Avenida España, 11, Sansouci</t>
  </si>
  <si>
    <t>https://comunidad.comprasdominicana.gob.do/Public/Companies/SupplierSearchPublic/DownloadSupplierDocument?companyCode=700009780</t>
  </si>
  <si>
    <t>Número telefónico de contacto del proveedor</t>
  </si>
  <si>
    <t>Numero de Teléfono comercial</t>
  </si>
  <si>
    <t>Correo electrónico comercial</t>
  </si>
  <si>
    <t>Correo electrónico para notificaciones</t>
  </si>
  <si>
    <t>Dirección del proveedor</t>
  </si>
  <si>
    <t>Nombre del Pais de origen del proveedor</t>
  </si>
  <si>
    <t>Distrito Municipal</t>
  </si>
  <si>
    <t>Proveedor de productos o servicios?</t>
  </si>
  <si>
    <t>Número de Teléfono de contacto</t>
  </si>
  <si>
    <t>Fecha de última modificación</t>
  </si>
  <si>
    <t xml:space="preserve">Opendata Emergency Budget Dominican Republic ( View dbo.vwDatosAbiertosPresupuestoEmergencias ) </t>
  </si>
  <si>
    <t>Origen</t>
  </si>
  <si>
    <t>Capitulo</t>
  </si>
  <si>
    <t>SubCapitulo</t>
  </si>
  <si>
    <t>UnidadEjecutora</t>
  </si>
  <si>
    <t>SubCuenta</t>
  </si>
  <si>
    <t>Concepto</t>
  </si>
  <si>
    <t>Auxiliar</t>
  </si>
  <si>
    <t>Seccion</t>
  </si>
  <si>
    <t>Funcion</t>
  </si>
  <si>
    <t>InstitucionReceptora</t>
  </si>
  <si>
    <t>GrupoFuente</t>
  </si>
  <si>
    <t>ValorPresupuestado</t>
  </si>
  <si>
    <t>---</t>
  </si>
  <si>
    <t>dbo.OrigenDatos</t>
  </si>
  <si>
    <t>Presupuesto Global Emergencias</t>
  </si>
  <si>
    <t>nombre de la emergencia</t>
  </si>
  <si>
    <t>MINISTERIO DE SALUD PÚBLICA Y ASISTENCIA SOCIAL</t>
  </si>
  <si>
    <t>Transferencias de capital a las instituciones descentralizadas y autónomas no financieras</t>
  </si>
  <si>
    <t>TRANSFERENCIAS DE CAPITAL</t>
  </si>
  <si>
    <t>Otras transferencias de capital a instituciones descentralizadas y autónomas no financieras</t>
  </si>
  <si>
    <t>TRANSFERENCIAS DE CAPITAL AL GOBIERNO GENERAL  NACIONAL</t>
  </si>
  <si>
    <t>Administración de Activos, Pasivos y Transferencias</t>
  </si>
  <si>
    <t>APOYO PRESUPUESTARIO CREDITO INTERNO (EMISION DE BONOS)</t>
  </si>
  <si>
    <t>Salud</t>
  </si>
  <si>
    <t>Planificación, gestión y supervisión de la salud</t>
  </si>
  <si>
    <t>CRÉDITO INTERNO</t>
  </si>
  <si>
    <t>359529300.00</t>
  </si>
  <si>
    <t>[dbo].[GastoXProgramasEmergencia]</t>
  </si>
  <si>
    <t>nombre del capítulo (Institución)</t>
  </si>
  <si>
    <t>PROGRAMA DE MEDICAMENTOS ESENCIALES</t>
  </si>
  <si>
    <t>Productos medicinales para uso humano</t>
  </si>
  <si>
    <t>MATERIALES Y SUMINISTROS</t>
  </si>
  <si>
    <t>PRODUCTOS FARMACÉUTICOS</t>
  </si>
  <si>
    <t>Provisión de Medicamentos, Insumos Sanitarios y Reactivos de Laboratorio</t>
  </si>
  <si>
    <t>123621700.00</t>
  </si>
  <si>
    <t>NOM_SUB_CAPITULO</t>
  </si>
  <si>
    <t>nombre del subcapítulo (Institución)</t>
  </si>
  <si>
    <t>Productos metálicos y sus derivados</t>
  </si>
  <si>
    <t>Herramientas menores</t>
  </si>
  <si>
    <t>PRODUCTOS DE MINERALES, METÁLICOS Y NO METÁLICOS</t>
  </si>
  <si>
    <t>Actividades comunes a los programas 11 y 14</t>
  </si>
  <si>
    <t>SERVICIOS ECONÓMICOS</t>
  </si>
  <si>
    <t>Agropecuaria, caza, pesca y silvicultura</t>
  </si>
  <si>
    <t>Agropecuaria</t>
  </si>
  <si>
    <t>65736.00</t>
  </si>
  <si>
    <t>nombre de la unidad ejecutora ejecutora (Institución ejecutora)</t>
  </si>
  <si>
    <t>Productos metálicos</t>
  </si>
  <si>
    <t>87862.00</t>
  </si>
  <si>
    <t>nombre de la subcuenta presupuestaria</t>
  </si>
  <si>
    <t>Combustibles y lubricantes</t>
  </si>
  <si>
    <t>Aceites y grasas</t>
  </si>
  <si>
    <t>COMBUSTIBLES, LUBRICANTES, PRODUCTOS QUÍMICOS Y CONEXOS</t>
  </si>
  <si>
    <t>24000.00</t>
  </si>
  <si>
    <t>nombre del concepto presupuestario</t>
  </si>
  <si>
    <t>Lubricantes</t>
  </si>
  <si>
    <t>6570.00</t>
  </si>
  <si>
    <t>nombre del auxiliar presupuestario</t>
  </si>
  <si>
    <t>MINISTERIO DE  INTERIOR Y POLICÍA</t>
  </si>
  <si>
    <t>Transferencias corrientes a gobiernos centrales municipales</t>
  </si>
  <si>
    <t>TRANSFERENCIAS CORRIENTES</t>
  </si>
  <si>
    <t>Otras transferencias corrientes a gobiernos centrales municipales</t>
  </si>
  <si>
    <t>TRANSFERENCIAS CORRIENTES A GOBIERNOS GENERALES LOCALES</t>
  </si>
  <si>
    <t>Administración de activos, pasivos y transferencias</t>
  </si>
  <si>
    <t>Administración general</t>
  </si>
  <si>
    <t>Transferencias a instituciones públicas incluidos los gobiernos locales</t>
  </si>
  <si>
    <t>1000000.00</t>
  </si>
  <si>
    <t>nombre de la cuenta presupuestaria</t>
  </si>
  <si>
    <t>nombre de la seccion presupuestaria</t>
  </si>
  <si>
    <t>PERIODO_IMPUTACION</t>
  </si>
  <si>
    <t>año de presupuesto</t>
  </si>
  <si>
    <t>NOM_PROGRAMA_ASISTENCIA</t>
  </si>
  <si>
    <t>nombre del programa presupuestario</t>
  </si>
  <si>
    <t>nombre de la finalidad presupuestaria</t>
  </si>
  <si>
    <t>Equipos de tecnología de la información y comunicación</t>
  </si>
  <si>
    <t>BIENES MUEBLES, INMUEBLES E INTANGIBLES</t>
  </si>
  <si>
    <t>MOBILIARIO Y EQUIPO</t>
  </si>
  <si>
    <t>5900000.00</t>
  </si>
  <si>
    <t>nombre del organismo financiador</t>
  </si>
  <si>
    <t>Equipos y aparatos audiovisuales</t>
  </si>
  <si>
    <t>Equipos y Aparatos Audiovisuales</t>
  </si>
  <si>
    <t>MOBILIARIO Y EQUIPO DE AUDIO, AUDIOVISUAL, RECREATIVO Y EDUCACIONAL</t>
  </si>
  <si>
    <t>985536.00</t>
  </si>
  <si>
    <t>función o sector del gobierno al que van dirigidos los recursos presupuestados</t>
  </si>
  <si>
    <t>Repuestos y accesorios menores</t>
  </si>
  <si>
    <t>Accesorios</t>
  </si>
  <si>
    <t>PRODUCTOS Y ÚTILES VARIOS</t>
  </si>
  <si>
    <t>Administración de contribuciones especiales</t>
  </si>
  <si>
    <t>142485.00</t>
  </si>
  <si>
    <t>nombre de la subfunción presupuestaria</t>
  </si>
  <si>
    <t>Ayudas y donaciones a personas</t>
  </si>
  <si>
    <t>Ayudas y donaciones ocasionales a hogares y personas</t>
  </si>
  <si>
    <t>TRANSFERENCIAS CORRIENTES AL SECTOR PRIVADO</t>
  </si>
  <si>
    <t>1000000000.00</t>
  </si>
  <si>
    <t>DES_INST_RECEPTORA</t>
  </si>
  <si>
    <t>nombre de la institución receptora</t>
  </si>
  <si>
    <t>Máquinas-herramientas</t>
  </si>
  <si>
    <t>MAQUINARIA, OTROS EQUIPOS Y HERRAMIENTAS</t>
  </si>
  <si>
    <t>573142.00</t>
  </si>
  <si>
    <t>DES_FUENTE</t>
  </si>
  <si>
    <t>nombre de la fuente de financiamiento</t>
  </si>
  <si>
    <t>Transferencias corrientes a instituciones descentralizadas y autónomas no financieras</t>
  </si>
  <si>
    <t>Otras transferencias corrientes a instituciones descentralizadas y autónomas no financieras</t>
  </si>
  <si>
    <t>TRANSFERENCIAS CORRIENTES AL  GOBIERNO GENERAL NACIONAL</t>
  </si>
  <si>
    <t>10000000.00</t>
  </si>
  <si>
    <t>TIP_GRUPO_FUENTE</t>
  </si>
  <si>
    <t>nvarchar(100)</t>
  </si>
  <si>
    <t>nombre del grupo de fuente de financiamiento</t>
  </si>
  <si>
    <t>VLR_GASTO</t>
  </si>
  <si>
    <t>decimal(32,2)</t>
  </si>
  <si>
    <t>valor total presupuesto vigente</t>
  </si>
  <si>
    <t>VLR_EJECUTADO</t>
  </si>
  <si>
    <t>valor total devengado</t>
  </si>
  <si>
    <t>These datasets are obtained from the metabase service (API) of the Ministry of Finance
Access to the service is not public
Translations are performed automatically with the GOOGLETRANSLATE() function of google spreadsheet</t>
  </si>
  <si>
    <t>global emergency budget</t>
  </si>
  <si>
    <t>SECCION</t>
  </si>
  <si>
    <t>CAPITULO</t>
  </si>
  <si>
    <t>SUBCAPITULO</t>
  </si>
  <si>
    <t>UE</t>
  </si>
  <si>
    <t>PROGRAMA</t>
  </si>
  <si>
    <t>PRODUCTO</t>
  </si>
  <si>
    <t>PROYECTO</t>
  </si>
  <si>
    <t>ACTIVIDAD_OBRA</t>
  </si>
  <si>
    <t>ORG_FINANCIADOR</t>
  </si>
  <si>
    <t>FUENTE</t>
  </si>
  <si>
    <t>FUENTE_ESPECIFICA</t>
  </si>
  <si>
    <t>FUNCION_FINALIDAD</t>
  </si>
  <si>
    <t>FUNCION_FUNCION</t>
  </si>
  <si>
    <t>FUNCION_SUBFUN</t>
  </si>
  <si>
    <t>CCP_TIPO</t>
  </si>
  <si>
    <t>CCP_CONCEPTO</t>
  </si>
  <si>
    <t>CCP_CUENTA</t>
  </si>
  <si>
    <t>CCP_SUBCUENTA</t>
  </si>
  <si>
    <t>CCP_AUXILIAR</t>
  </si>
  <si>
    <t>INST_RECEPTORA</t>
  </si>
  <si>
    <t>VLR_GASTO_DISP_NO_DEV</t>
  </si>
  <si>
    <t>VLR_GASTO_DEV</t>
  </si>
  <si>
    <t>VLR_GASTO_LIB</t>
  </si>
  <si>
    <t>Año / Periodo de Imputación</t>
  </si>
  <si>
    <t>1.1.1.1.1-Administración central</t>
  </si>
  <si>
    <t>0201-PRESIDENCIA DE LA REPÚBLICA</t>
  </si>
  <si>
    <t>0201.01-MINISTERIO ADMINISTRATIVO DE LA PRESIDENCIA</t>
  </si>
  <si>
    <t>0201.01.0001-SECRETARIADO ADMINISTRATIVO DE LA PRESIDENCIA</t>
  </si>
  <si>
    <t>01-Actividades centrales</t>
  </si>
  <si>
    <t>01.00-Acciones que no generan producción</t>
  </si>
  <si>
    <t>01.00.00-N/A</t>
  </si>
  <si>
    <t>01.00.00.0001-Dirección y Administración del Ministerio Administrativo de la Presidencia</t>
  </si>
  <si>
    <t>109-APOYO PRESUPUESTARIO CREDITO INTERNO (EMISION DE BONOS)</t>
  </si>
  <si>
    <t>50-CRÉDITO INTERNO</t>
  </si>
  <si>
    <t>5011-FONDO DE CALAMIDADES Y EMERGENCIAS PÚBLICAS</t>
  </si>
  <si>
    <t>1-SERVICIOS  GENERALES</t>
  </si>
  <si>
    <t>1.1-Administración general</t>
  </si>
  <si>
    <t>1.1.02-Gestión administrativa, financiera, fiscal, económica y planificación</t>
  </si>
  <si>
    <t>2-GASTOS</t>
  </si>
  <si>
    <t>2.3-MATERIALES Y SUMINISTROS</t>
  </si>
  <si>
    <t>2.3.1-ALIMENTOS Y PRODUCTOS AGROFORESTALES</t>
  </si>
  <si>
    <t>2.3.1.1-Alimentos y bebidas para personas</t>
  </si>
  <si>
    <t>2.3.1.1.01-Alimentos y bebidas para personas</t>
  </si>
  <si>
    <t>0000-NO APLICA</t>
  </si>
  <si>
    <t>NOmbre de la Sección</t>
  </si>
  <si>
    <t>2.3.1.4-Madera, corcho y sus manufacturas</t>
  </si>
  <si>
    <t>2.3.1.4.01-Madera, corcho y sus manufacturas</t>
  </si>
  <si>
    <t>120027366.36</t>
  </si>
  <si>
    <t>10066427.32</t>
  </si>
  <si>
    <t>109960939.04</t>
  </si>
  <si>
    <t>Nombre del capítulo</t>
  </si>
  <si>
    <t>2.3.6-PRODUCTOS DE MINERALES, METÁLICOS Y NO METÁLICOS</t>
  </si>
  <si>
    <t>2.3.6.3-Productos metálicos y sus derivados</t>
  </si>
  <si>
    <t>2.3.6.3.06-Productos metálicos</t>
  </si>
  <si>
    <t>45260559.64</t>
  </si>
  <si>
    <t>4319781.8</t>
  </si>
  <si>
    <t>40940777.84</t>
  </si>
  <si>
    <t>Nombre del subcapitulo</t>
  </si>
  <si>
    <t>98-Administración de contribuciones especiales</t>
  </si>
  <si>
    <t>98.00-Acciones que no generan producción</t>
  </si>
  <si>
    <t>98.00.00-N/A</t>
  </si>
  <si>
    <t>98.00.00.0000-Administración de Contribuciones Especiales</t>
  </si>
  <si>
    <t>4-SERVICIOS SOCIALES</t>
  </si>
  <si>
    <t>4.3-Actividades deportivas, recreativas, culturales y religiosas</t>
  </si>
  <si>
    <t>4.3.05-Servicios religiosos y otros servicios comunitarios religiosos</t>
  </si>
  <si>
    <t>2.5-TRANSFERENCIAS DE CAPITAL</t>
  </si>
  <si>
    <t>2.5.1-TRANSFERENCIAS DE CAPITAL AL SECTOR PRIVADO</t>
  </si>
  <si>
    <t>2.5.1.2-Transferencias de capital a asociaciones  privadas sin fines de lucro</t>
  </si>
  <si>
    <t>2.5.1.2.01-Transferencias de capital  a Asociaciones  Privadas sin Fines de Lucro</t>
  </si>
  <si>
    <t>9996-ORGANIZACION NO GUBERNAMENTAL EN EL AREA RELIGIOSA</t>
  </si>
  <si>
    <t>4874852.03</t>
  </si>
  <si>
    <t>Nombre de la Unidad Ejecutora</t>
  </si>
  <si>
    <t>99-Administración de activos, pasivos y transferencias</t>
  </si>
  <si>
    <t>99.00-Acciones que no generan producción</t>
  </si>
  <si>
    <t>99.00.00-N/A</t>
  </si>
  <si>
    <t>99.00.00.0000-Administración de Activos, Pasivos y Transferencias</t>
  </si>
  <si>
    <t>1.1.03-Transferencias a instituciones públicas incluidos los gobiernos locales</t>
  </si>
  <si>
    <t>2.4-TRANSFERENCIAS CORRIENTES</t>
  </si>
  <si>
    <t>2.4.3-TRANSFERENCIAS CORRIENTES A GOBIERNOS GENERALES LOCALES</t>
  </si>
  <si>
    <t>2.4.3.1-Transferencias corrientes a gobiernos centrales municipales</t>
  </si>
  <si>
    <t>2.4.3.1.02-Otras transferencias corrientes a gobiernos centrales municipales</t>
  </si>
  <si>
    <t>7255-JUNTA DE DISTRITO MUNICIPAL DE LAS GALERAS</t>
  </si>
  <si>
    <t>Programa de la linea presupuestal</t>
  </si>
  <si>
    <t>2.5.3-TRANSFERENCIAS DE CAPITAL A GOBIERNOS GENERALES LOCALES</t>
  </si>
  <si>
    <t>2.5.3.1-Transferencias de capital a gobiernos centrales municipales</t>
  </si>
  <si>
    <t>2.5.3.1.01-Transferencias de capital a gobiernos centrales municipales para proyectos de inversión</t>
  </si>
  <si>
    <t>7068-AYUNTAMIENTO MUNICIPAL DE LAS TERRENAS</t>
  </si>
  <si>
    <t>33534476.9</t>
  </si>
  <si>
    <t>0.04</t>
  </si>
  <si>
    <t>33534476.86</t>
  </si>
  <si>
    <t>Nombre del producto</t>
  </si>
  <si>
    <t>7161-JUNTA DE DISTRITO MUNICIPAL DE ARROYO BARRIL</t>
  </si>
  <si>
    <t>1829947.89</t>
  </si>
  <si>
    <t>1.3-Defensa nacional</t>
  </si>
  <si>
    <t>1.3.02-Defensa civil y gestión de riesgos de desastres</t>
  </si>
  <si>
    <t>2.4.2-TRANSFERENCIAS CORRIENTES AL  GOBIERNO GENERAL NACIONAL</t>
  </si>
  <si>
    <t>2.4.2.1-Aportaciones a instituciones del gobierno central</t>
  </si>
  <si>
    <t>2.4.2.1.02-Aportaciones corrientes al Poder Ejecutivo</t>
  </si>
  <si>
    <t>5109-DEFENSA CIVIL</t>
  </si>
  <si>
    <t>Nombre de la actividad</t>
  </si>
  <si>
    <t>2.5.2-TRANSFERENCIAS DE CAPITAL AL GOBIERNO GENERAL  NACIONAL</t>
  </si>
  <si>
    <t>2.5.2.1-Aportaciones de capital a instituciones del gobierno central</t>
  </si>
  <si>
    <t>2.5.2.1.02-Aportaciones de capital al Poder Ejecutivo</t>
  </si>
  <si>
    <t>Nombre del Organismo Financiador</t>
  </si>
  <si>
    <t>4.4-Educación</t>
  </si>
  <si>
    <t>4.4.04-Educación superior</t>
  </si>
  <si>
    <t>2.5.2.2-Transferencias de capital a las instituciones descentralizadas y autónomas no financieras</t>
  </si>
  <si>
    <t>2.5.2.2.01-Transferencias de capital a instituciones descentralizadas y autónomas no financieras para proyectos de inversión</t>
  </si>
  <si>
    <t>5128-UNIVERSIDAD AUTÓNOMA DE SANTO DOMINGO</t>
  </si>
  <si>
    <t>31510973.1</t>
  </si>
  <si>
    <t>Nombre de la Fuente de Financiacion</t>
  </si>
  <si>
    <t>22-Apoyo al desarrollo provincial</t>
  </si>
  <si>
    <t>22.02-Comunidades reciben los beneficios de la ejecución de proyectos sociales de infraestructura para su desarrollo integral</t>
  </si>
  <si>
    <t>22.02.00-N/A</t>
  </si>
  <si>
    <t>22.02.00.0001-Dirección y coordinación</t>
  </si>
  <si>
    <t>9060854.57</t>
  </si>
  <si>
    <t>131793785.43</t>
  </si>
  <si>
    <t>Nombre de la Fuente específica</t>
  </si>
  <si>
    <t>2.3.6.1-Productos de cemento, cal, asbesto, yeso y arcilla</t>
  </si>
  <si>
    <t>2.3.6.1.01-Productos de cemento</t>
  </si>
  <si>
    <t>Nombre de la Finalidad</t>
  </si>
  <si>
    <t>2.3.6.3.05-Productos de hojalata</t>
  </si>
  <si>
    <t>Nombre de la Funcion / Sector</t>
  </si>
  <si>
    <t>574864.73</t>
  </si>
  <si>
    <t>27650735.27</t>
  </si>
  <si>
    <t>Nombre de la Sub función</t>
  </si>
  <si>
    <t>2.6-BIENES MUEBLES, INMUEBLES E INTANGIBLES</t>
  </si>
  <si>
    <t>2.6.9-EDIFICIOS, ESTRUCTURAS, TIERRAS, TERRENOS Y OBJETOS DE VALOR</t>
  </si>
  <si>
    <t>2.6.9.6-Accesorios para edificaciones residenciales y no residenciales</t>
  </si>
  <si>
    <t>2.6.9.6.01-Accesorios para edificaciones residenciales y no residenciales</t>
  </si>
  <si>
    <t>2116794.56</t>
  </si>
  <si>
    <t>7883205.44</t>
  </si>
  <si>
    <t>Tipo de cuenta contable</t>
  </si>
  <si>
    <t>Concepto de la cuenta contable</t>
  </si>
  <si>
    <t>Nombre de la cuenta contable</t>
  </si>
  <si>
    <t>Nombre de la Sub Cuenta contable</t>
  </si>
  <si>
    <t>Auxiliar de la cuenta contable</t>
  </si>
  <si>
    <t>Institucion receptora</t>
  </si>
  <si>
    <t>Valor inicial</t>
  </si>
  <si>
    <t>Valor Aprobado / Modificado</t>
  </si>
  <si>
    <t>Valor disponible no devengado</t>
  </si>
  <si>
    <t>Valor Devengado</t>
  </si>
  <si>
    <t>Valor Liberado</t>
  </si>
  <si>
    <t>budget by Emergency</t>
  </si>
  <si>
    <t>MES_IMPUTACION</t>
  </si>
  <si>
    <t>CONCEPTO_AGRP_GASTO</t>
  </si>
  <si>
    <t>1.1.1.1.2-Instituciones públicas descentralizadas y autónomas no financieras</t>
  </si>
  <si>
    <t>5151-CONSEJO NACIONAL PARA LA NIÑEZ Y LA ADOLESCENCIA</t>
  </si>
  <si>
    <t>5151.01-CONSEJO NACIONAL PARA LA NIÑEZ Y LA ADOLESCENCIA</t>
  </si>
  <si>
    <t>5151.01.0001-CONSEJO NACIONAL PARA LA NIÑEZ Y LA ADOLESCENCIA</t>
  </si>
  <si>
    <t>15-Atención integral de niños, niñas y adolescentes</t>
  </si>
  <si>
    <t>15.02-Niños, niñas y adolescentes  con atención integral en los hogares de paso</t>
  </si>
  <si>
    <t>15.02.00-N/A</t>
  </si>
  <si>
    <t>15.02.00.0002-Servicios de atención integral residencial a niños, niñas y adolescentes en riesgo personal y social</t>
  </si>
  <si>
    <t>121-SALDOS DISPONIBLES DE PERIODOS ANTERIORES</t>
  </si>
  <si>
    <t>4.5-Protección social</t>
  </si>
  <si>
    <t>4.5.05-Familia e hijos</t>
  </si>
  <si>
    <t>012-Alimentos y Productos Agroforestales</t>
  </si>
  <si>
    <t>6780996.98</t>
  </si>
  <si>
    <t>1640064.33</t>
  </si>
  <si>
    <t>Mes de la Imputación</t>
  </si>
  <si>
    <t>3253487.92</t>
  </si>
  <si>
    <t>48853.13</t>
  </si>
  <si>
    <t>0202-MINISTERIO DE  INTERIOR Y POLICÍA</t>
  </si>
  <si>
    <t>0202.01-MINISTERIO DE INTERIOR Y POLICIA</t>
  </si>
  <si>
    <t>0202.01.0001-MINISTERIO DE INTERIOR Y POLICIA</t>
  </si>
  <si>
    <t>99.00.00.0000-N/A</t>
  </si>
  <si>
    <t>034-Transferencia Corriente al Sector Publico</t>
  </si>
  <si>
    <t>7003-AYUNTAMIENTO MUNICIPAL DE ARENOSO</t>
  </si>
  <si>
    <t>7009-AYUNTAMIENTO MUNICIPAL DE BAYAGUANA</t>
  </si>
  <si>
    <t>7012-AYUNTAMIENTO MUNICIPAL DE CABRERA</t>
  </si>
  <si>
    <t>7015-AYUNTAMIENTO MUNICIPAL DE CASTILLO</t>
  </si>
  <si>
    <t>7026-AYUNTAMIENTO MUNICIPAL DE EL FACTOR</t>
  </si>
  <si>
    <t>7029-AYUNTAMIENTO MUNICIPAL DE SANTA CRUZ DEL SEYBO</t>
  </si>
  <si>
    <t>7031-AYUNTAMIENTO MUNICIPAL DE EL VALLE</t>
  </si>
  <si>
    <t>7041-AYUNTAMIENTO MUNICIPAL DE GUAYMATE</t>
  </si>
  <si>
    <t>7043-AYUNTAMIENTO MUNICIPAL DE HATO MAYOR DEL REY</t>
  </si>
  <si>
    <t>Concepto agrupador del gasto</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</si>
</sst>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mm-dd h:mm:ss"/>
    <numFmt numFmtId="165" formatCode="d.m.yy"/>
    <numFmt numFmtId="166" formatCode="d.m"/>
    <numFmt numFmtId="167" formatCode="d.m.yyyy"/>
    <numFmt numFmtId="168" formatCode="yyyy-mm-dd"/>
    <numFmt numFmtId="169" formatCode="d/m/yyyy h:mm"/>
    <numFmt numFmtId="170" formatCode="yyyy.m"/>
    <numFmt numFmtId="171" formatCode="yyyy.mm"/>
  </numFmts>
  <fonts count="34">
    <font>
      <sz val="10.0"/>
      <color rgb="FF000000"/>
      <name val="Arial"/>
      <scheme val="minor"/>
    </font>
    <font>
      <b/>
      <sz val="15.0"/>
      <color theme="1"/>
      <name val="Arial"/>
    </font>
    <font>
      <color theme="1"/>
      <name val="Arial"/>
    </font>
    <font>
      <b/>
      <color theme="1"/>
      <name val="Arial"/>
    </font>
    <font>
      <b/>
      <color theme="1"/>
      <name val="Az_ea_font"/>
    </font>
    <font>
      <b/>
      <u/>
      <color rgb="FF0000FF"/>
      <name val="Az_ea_font"/>
    </font>
    <font>
      <u/>
      <color rgb="FF0000FF"/>
      <name val="Az_ea_font"/>
    </font>
    <font>
      <u/>
      <color rgb="FF0000FF"/>
      <name val="Arial"/>
    </font>
    <font>
      <color rgb="FF292827"/>
      <name val="Az_ea_font"/>
    </font>
    <font>
      <b/>
      <sz val="14.0"/>
      <color theme="1"/>
      <name val="Arial"/>
    </font>
    <font>
      <b/>
      <sz val="12.0"/>
      <color theme="1"/>
      <name val="Arial"/>
    </font>
    <font/>
    <font>
      <i/>
      <color theme="1"/>
      <name val="Arial"/>
    </font>
    <font>
      <i/>
      <sz val="9.0"/>
      <color theme="1"/>
      <name val="Arial"/>
    </font>
    <font>
      <i/>
      <sz val="8.0"/>
      <color theme="1"/>
      <name val="Arial"/>
    </font>
    <font>
      <sz val="8.0"/>
      <color theme="1"/>
      <name val="Arial"/>
    </font>
    <font>
      <b/>
      <sz val="18.0"/>
      <color theme="1"/>
      <name val="Arial"/>
    </font>
    <font>
      <sz val="11.0"/>
      <color rgb="FF000000"/>
      <name val="Calibri"/>
    </font>
    <font>
      <sz val="12.0"/>
      <color theme="1"/>
      <name val="Arial"/>
    </font>
    <font>
      <b/>
      <i/>
      <sz val="14.0"/>
      <color theme="1"/>
      <name val="Arial"/>
    </font>
    <font>
      <color rgb="FF000000"/>
      <name val="Arial"/>
    </font>
    <font>
      <sz val="11.0"/>
      <color theme="1"/>
      <name val="Calibri"/>
    </font>
    <font>
      <u/>
      <color rgb="FF0000FF"/>
    </font>
    <font>
      <u/>
      <sz val="15.0"/>
      <color rgb="FF0000FF"/>
      <name val="Arial"/>
    </font>
    <font>
      <b/>
      <u/>
      <sz val="12.0"/>
      <color rgb="FF0000FF"/>
    </font>
    <font>
      <u/>
      <sz val="12.0"/>
      <color rgb="FF0000FF"/>
    </font>
    <font>
      <b/>
      <sz val="12.0"/>
      <color rgb="FF000000"/>
      <name val="Arial"/>
    </font>
    <font>
      <b/>
      <sz val="11.0"/>
      <color rgb="FF000000"/>
      <name val="&quot;Aptos Narrow&quot;"/>
    </font>
    <font>
      <sz val="11.0"/>
      <color rgb="FF000000"/>
      <name val="&quot;Aptos Narrow&quot;"/>
    </font>
    <font>
      <u/>
      <sz val="11.0"/>
      <color rgb="FF000000"/>
      <name val="&quot;Aptos Narrow&quot;"/>
    </font>
    <font>
      <u/>
      <sz val="11.0"/>
      <color rgb="FF000000"/>
      <name val="&quot;Aptos Narrow&quot;"/>
    </font>
    <font>
      <u/>
      <color rgb="FF0000FF"/>
    </font>
    <font>
      <sz val="11.0"/>
      <color rgb="FF000000"/>
      <name val="Arial"/>
    </font>
    <font>
      <u/>
      <sz val="11.0"/>
      <color rgb="FF000000"/>
      <name val="&quot;Aptos Narrow&quot;"/>
    </font>
  </fonts>
  <fills count="9">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FF9900"/>
        <bgColor rgb="FFFF9900"/>
      </patternFill>
    </fill>
    <fill>
      <patternFill patternType="solid">
        <fgColor rgb="FFF9CB9C"/>
        <bgColor rgb="FFF9CB9C"/>
      </patternFill>
    </fill>
    <fill>
      <patternFill patternType="solid">
        <fgColor rgb="FFC9DAF8"/>
        <bgColor rgb="FFC9DAF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3" fontId="3" numFmtId="0" xfId="0" applyFill="1" applyFont="1"/>
    <xf borderId="1" fillId="3" fontId="3" numFmtId="0" xfId="0" applyBorder="1" applyFont="1"/>
    <xf borderId="1" fillId="3" fontId="3" numFmtId="0" xfId="0" applyAlignment="1" applyBorder="1" applyFont="1">
      <alignment shrinkToFit="0" wrapText="1"/>
    </xf>
    <xf borderId="0" fillId="0" fontId="2" numFmtId="0" xfId="0" applyFont="1"/>
    <xf borderId="0" fillId="4" fontId="4" numFmtId="0" xfId="0" applyAlignment="1" applyFill="1" applyFont="1">
      <alignment shrinkToFit="0" vertical="center" wrapText="1"/>
    </xf>
    <xf borderId="1" fillId="4" fontId="5" numFmtId="0" xfId="0" applyAlignment="1" applyBorder="1" applyFont="1">
      <alignment shrinkToFit="0" wrapText="0"/>
    </xf>
    <xf borderId="1" fillId="4" fontId="6" numFmtId="0" xfId="0" applyAlignment="1" applyBorder="1" applyFont="1">
      <alignment shrinkToFit="0" wrapText="1"/>
    </xf>
    <xf borderId="1" fillId="4" fontId="7" numFmtId="0" xfId="0" applyAlignment="1" applyBorder="1" applyFont="1">
      <alignment shrinkToFit="0" vertical="bottom" wrapText="1"/>
    </xf>
    <xf borderId="0" fillId="4" fontId="8" numFmtId="0" xfId="0" applyAlignment="1" applyFont="1">
      <alignment shrinkToFit="0" wrapText="0"/>
    </xf>
    <xf borderId="0" fillId="4" fontId="8" numFmtId="0" xfId="0" applyAlignment="1" applyFont="1">
      <alignment horizontal="center" shrinkToFit="0" wrapText="0"/>
    </xf>
    <xf borderId="1" fillId="4" fontId="2" numFmtId="0" xfId="0" applyAlignment="1" applyBorder="1" applyFont="1">
      <alignment shrinkToFit="0" vertical="bottom" wrapText="1"/>
    </xf>
    <xf borderId="0" fillId="4" fontId="8" numFmtId="0" xfId="0" applyFont="1"/>
    <xf borderId="0" fillId="3" fontId="9" numFmtId="0" xfId="0" applyAlignment="1" applyFont="1">
      <alignment horizontal="center"/>
    </xf>
    <xf borderId="0" fillId="5" fontId="10" numFmtId="0" xfId="0" applyAlignment="1" applyFill="1" applyFont="1">
      <alignment horizontal="center" vertical="center"/>
    </xf>
    <xf borderId="2" fillId="5" fontId="10" numFmtId="0" xfId="0" applyAlignment="1" applyBorder="1" applyFont="1">
      <alignment horizontal="center" vertical="center"/>
    </xf>
    <xf borderId="3" fillId="0" fontId="11" numFmtId="0" xfId="0" applyBorder="1" applyFont="1"/>
    <xf borderId="3" fillId="5" fontId="10" numFmtId="0" xfId="0" applyAlignment="1" applyBorder="1" applyFont="1">
      <alignment horizontal="center" vertical="center"/>
    </xf>
    <xf borderId="4" fillId="0" fontId="11" numFmtId="0" xfId="0" applyBorder="1" applyFont="1"/>
    <xf borderId="0" fillId="0" fontId="2" numFmtId="0" xfId="0" applyAlignment="1" applyFont="1">
      <alignment horizontal="center" vertical="center"/>
    </xf>
    <xf borderId="0" fillId="0" fontId="10" numFmtId="0" xfId="0" applyAlignment="1" applyFont="1">
      <alignment horizontal="left" vertical="center"/>
    </xf>
    <xf borderId="0" fillId="3" fontId="3" numFmtId="0" xfId="0" applyAlignment="1" applyFont="1">
      <alignment horizontal="center"/>
    </xf>
    <xf borderId="1" fillId="3" fontId="3" numFmtId="0" xfId="0" applyAlignment="1" applyBorder="1" applyFont="1">
      <alignment horizontal="center"/>
    </xf>
    <xf borderId="1" fillId="3" fontId="3" numFmtId="0" xfId="0" applyAlignment="1" applyBorder="1" applyFont="1">
      <alignment horizontal="center" shrinkToFit="0" wrapText="1"/>
    </xf>
    <xf borderId="1" fillId="6" fontId="3" numFmtId="0" xfId="0" applyAlignment="1" applyBorder="1" applyFill="1" applyFont="1">
      <alignment horizontal="left" shrinkToFit="0" wrapText="1"/>
    </xf>
    <xf borderId="1" fillId="3" fontId="2" numFmtId="0" xfId="0" applyBorder="1" applyFont="1"/>
    <xf borderId="1" fillId="0" fontId="2" numFmtId="0" xfId="0" applyBorder="1" applyFont="1"/>
    <xf borderId="1" fillId="0" fontId="2" numFmtId="0" xfId="0" applyAlignment="1" applyBorder="1" applyFont="1">
      <alignment shrinkToFit="0" wrapText="1"/>
    </xf>
    <xf borderId="1" fillId="0" fontId="2" numFmtId="0" xfId="0" applyAlignment="1" applyBorder="1" applyFont="1">
      <alignment horizontal="left" shrinkToFit="0" wrapText="1"/>
    </xf>
    <xf borderId="1" fillId="0" fontId="2" numFmtId="164" xfId="0" applyBorder="1" applyFont="1" applyNumberFormat="1"/>
    <xf borderId="0" fillId="5" fontId="10" numFmtId="0" xfId="0" applyAlignment="1" applyFont="1">
      <alignment horizontal="center" shrinkToFit="0" vertical="center" wrapText="1"/>
    </xf>
    <xf borderId="3" fillId="5" fontId="10" numFmtId="0" xfId="0" applyAlignment="1" applyBorder="1" applyFont="1">
      <alignment horizontal="center" shrinkToFit="0" vertical="center" wrapText="1"/>
    </xf>
    <xf borderId="1" fillId="0" fontId="2" numFmtId="0" xfId="0" applyAlignment="1" applyBorder="1" applyFont="1">
      <alignment horizontal="left"/>
    </xf>
    <xf borderId="1" fillId="0" fontId="2" numFmtId="164" xfId="0" applyAlignment="1" applyBorder="1" applyFont="1" applyNumberFormat="1">
      <alignment horizontal="left"/>
    </xf>
    <xf borderId="2" fillId="3" fontId="9" numFmtId="0" xfId="0" applyAlignment="1" applyBorder="1" applyFont="1">
      <alignment horizontal="center"/>
    </xf>
    <xf borderId="0" fillId="0" fontId="2" numFmtId="164" xfId="0" applyAlignment="1" applyFont="1" applyNumberFormat="1">
      <alignment horizontal="center" vertical="center"/>
    </xf>
    <xf borderId="0" fillId="6" fontId="2" numFmtId="0" xfId="0" applyFont="1"/>
    <xf borderId="0" fillId="0" fontId="2" numFmtId="164" xfId="0" applyFont="1" applyNumberFormat="1"/>
    <xf borderId="0" fillId="0" fontId="12" numFmtId="0" xfId="0" applyAlignment="1" applyFont="1">
      <alignment vertical="top"/>
    </xf>
    <xf borderId="0" fillId="0" fontId="13" numFmtId="0" xfId="0" applyAlignment="1" applyFont="1">
      <alignment vertical="top"/>
    </xf>
    <xf borderId="1" fillId="0" fontId="2" numFmtId="164" xfId="0" applyAlignment="1" applyBorder="1" applyFont="1" applyNumberFormat="1">
      <alignment horizontal="left" shrinkToFit="0" wrapText="1"/>
    </xf>
    <xf borderId="0" fillId="0" fontId="2" numFmtId="3" xfId="0" applyAlignment="1" applyFont="1" applyNumberFormat="1">
      <alignment horizontal="center" vertical="center"/>
    </xf>
    <xf borderId="1" fillId="3" fontId="3" numFmtId="3" xfId="0" applyBorder="1" applyFont="1" applyNumberFormat="1"/>
    <xf borderId="0" fillId="0" fontId="14" numFmtId="0" xfId="0" applyAlignment="1" applyFont="1">
      <alignment vertical="top"/>
    </xf>
    <xf borderId="1" fillId="0" fontId="2" numFmtId="3" xfId="0" applyBorder="1" applyFont="1" applyNumberFormat="1"/>
    <xf borderId="1" fillId="0" fontId="2" numFmtId="3" xfId="0" applyAlignment="1" applyBorder="1" applyFont="1" applyNumberFormat="1">
      <alignment horizontal="left" shrinkToFit="0" wrapText="1"/>
    </xf>
    <xf borderId="1" fillId="3" fontId="2" numFmtId="0" xfId="0" applyAlignment="1" applyBorder="1" applyFont="1">
      <alignment shrinkToFit="0" wrapText="1"/>
    </xf>
    <xf borderId="0" fillId="0" fontId="2" numFmtId="165" xfId="0" applyAlignment="1" applyFont="1" applyNumberFormat="1">
      <alignment horizontal="center" vertical="center"/>
    </xf>
    <xf borderId="1" fillId="0" fontId="2" numFmtId="165" xfId="0" applyBorder="1" applyFont="1" applyNumberFormat="1"/>
    <xf borderId="1" fillId="0" fontId="2" numFmtId="165" xfId="0" applyAlignment="1" applyBorder="1" applyFont="1" applyNumberFormat="1">
      <alignment horizontal="left" shrinkToFit="0" wrapText="1"/>
    </xf>
    <xf borderId="0" fillId="0" fontId="2" numFmtId="0" xfId="0" applyAlignment="1" applyFont="1">
      <alignment vertical="top"/>
    </xf>
    <xf borderId="0" fillId="0" fontId="15" numFmtId="0" xfId="0" applyAlignment="1" applyFont="1">
      <alignment vertical="top"/>
    </xf>
    <xf borderId="0" fillId="0" fontId="2" numFmtId="0" xfId="0" applyAlignment="1" applyFont="1">
      <alignment horizontal="left" shrinkToFit="0" vertical="center" wrapText="1"/>
    </xf>
    <xf borderId="1" fillId="4" fontId="4" numFmtId="0" xfId="0" applyAlignment="1" applyBorder="1" applyFont="1">
      <alignment shrinkToFit="0" wrapText="1"/>
    </xf>
    <xf borderId="0" fillId="3" fontId="16" numFmtId="0" xfId="0" applyAlignment="1" applyFont="1">
      <alignment horizontal="center" shrinkToFit="0" wrapText="1"/>
    </xf>
    <xf borderId="0" fillId="5" fontId="9" numFmtId="0" xfId="0" applyAlignment="1" applyFont="1">
      <alignment horizontal="center" shrinkToFit="0" vertical="center" wrapText="1"/>
    </xf>
    <xf borderId="0" fillId="5" fontId="9" numFmtId="0" xfId="0" applyAlignment="1" applyFont="1">
      <alignment horizontal="center" vertical="center"/>
    </xf>
    <xf borderId="0" fillId="3" fontId="3" numFmtId="0" xfId="0" applyAlignment="1" applyFont="1">
      <alignment shrinkToFit="0" wrapText="1"/>
    </xf>
    <xf borderId="1" fillId="3" fontId="3" numFmtId="0" xfId="0" applyAlignment="1" applyBorder="1" applyFont="1">
      <alignment horizontal="left" shrinkToFit="0" wrapText="1"/>
    </xf>
    <xf borderId="1" fillId="3" fontId="3"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7" numFmtId="0" xfId="0" applyAlignment="1" applyBorder="1" applyFont="1">
      <alignment horizontal="left" shrinkToFit="0" vertical="center" wrapText="1"/>
    </xf>
    <xf borderId="1" fillId="0" fontId="2" numFmtId="166" xfId="0" applyAlignment="1" applyBorder="1" applyFont="1" applyNumberFormat="1">
      <alignment horizontal="left" shrinkToFit="0" wrapText="1"/>
    </xf>
    <xf borderId="1" fillId="0" fontId="2" numFmtId="167" xfId="0" applyAlignment="1" applyBorder="1" applyFont="1" applyNumberFormat="1">
      <alignment horizontal="left" shrinkToFit="0" wrapText="1"/>
    </xf>
    <xf borderId="0" fillId="0" fontId="18" numFmtId="0" xfId="0" applyAlignment="1" applyFont="1">
      <alignment horizontal="center"/>
    </xf>
    <xf borderId="0" fillId="0" fontId="18" numFmtId="0" xfId="0" applyAlignment="1" applyFont="1">
      <alignment shrinkToFit="0" wrapText="1"/>
    </xf>
    <xf borderId="0" fillId="0" fontId="10" numFmtId="0" xfId="0" applyAlignment="1" applyFont="1">
      <alignment horizontal="center"/>
    </xf>
    <xf borderId="2" fillId="3" fontId="19" numFmtId="0" xfId="0" applyAlignment="1" applyBorder="1" applyFont="1">
      <alignment horizontal="center"/>
    </xf>
    <xf borderId="1" fillId="7" fontId="10" numFmtId="0" xfId="0" applyAlignment="1" applyBorder="1" applyFill="1" applyFont="1">
      <alignment horizontal="center"/>
    </xf>
    <xf borderId="1" fillId="8" fontId="10" numFmtId="0" xfId="0" applyAlignment="1" applyBorder="1" applyFill="1" applyFont="1">
      <alignment horizontal="center" shrinkToFit="0" wrapText="1"/>
    </xf>
    <xf borderId="1" fillId="8" fontId="10" numFmtId="0" xfId="0" applyAlignment="1" applyBorder="1" applyFont="1">
      <alignment horizontal="center"/>
    </xf>
    <xf borderId="1" fillId="3" fontId="9" numFmtId="0" xfId="0" applyAlignment="1" applyBorder="1" applyFont="1">
      <alignment horizontal="center"/>
    </xf>
    <xf borderId="1" fillId="3" fontId="9" numFmtId="0" xfId="0" applyAlignment="1" applyBorder="1" applyFont="1">
      <alignment horizontal="center" shrinkToFit="0" wrapText="1"/>
    </xf>
    <xf borderId="1" fillId="0" fontId="2" numFmtId="0" xfId="0" applyAlignment="1" applyBorder="1" applyFont="1">
      <alignment horizontal="center"/>
    </xf>
    <xf borderId="1" fillId="0" fontId="2" numFmtId="0" xfId="0" applyAlignment="1" applyBorder="1" applyFont="1">
      <alignment horizontal="center" shrinkToFit="0" wrapText="1"/>
    </xf>
    <xf borderId="2" fillId="0" fontId="17" numFmtId="0" xfId="0" applyAlignment="1" applyBorder="1" applyFont="1">
      <alignment horizontal="left" vertical="bottom"/>
    </xf>
    <xf borderId="1" fillId="0" fontId="17" numFmtId="0" xfId="0" applyAlignment="1" applyBorder="1" applyFont="1">
      <alignment shrinkToFit="0" vertical="bottom" wrapText="1"/>
    </xf>
    <xf borderId="5" fillId="0" fontId="17" numFmtId="0" xfId="0" applyAlignment="1" applyBorder="1" applyFont="1">
      <alignment horizontal="left" shrinkToFit="0" vertical="bottom" wrapText="1"/>
    </xf>
    <xf borderId="5" fillId="0" fontId="17" numFmtId="0" xfId="0" applyAlignment="1" applyBorder="1" applyFont="1">
      <alignment horizontal="left" vertical="bottom"/>
    </xf>
    <xf borderId="1" fillId="4" fontId="20" numFmtId="0" xfId="0" applyAlignment="1" applyBorder="1" applyFont="1">
      <alignment horizontal="center"/>
    </xf>
    <xf borderId="6" fillId="0" fontId="17" numFmtId="0" xfId="0" applyAlignment="1" applyBorder="1" applyFont="1">
      <alignment horizontal="left" vertical="bottom"/>
    </xf>
    <xf borderId="1" fillId="0" fontId="17" numFmtId="0" xfId="0" applyAlignment="1" applyBorder="1" applyFont="1">
      <alignment horizontal="left" vertical="bottom"/>
    </xf>
    <xf borderId="7" fillId="0" fontId="17" numFmtId="0" xfId="0" applyAlignment="1" applyBorder="1" applyFont="1">
      <alignment horizontal="left" vertical="bottom"/>
    </xf>
    <xf quotePrefix="1" borderId="1" fillId="0" fontId="2" numFmtId="0" xfId="0" applyBorder="1" applyFont="1"/>
    <xf borderId="0" fillId="0" fontId="2" numFmtId="0" xfId="0" applyAlignment="1" applyFont="1">
      <alignment horizontal="center"/>
    </xf>
    <xf borderId="0" fillId="0" fontId="2" numFmtId="0" xfId="0" applyAlignment="1" applyFont="1">
      <alignment vertical="bottom"/>
    </xf>
    <xf borderId="8" fillId="0" fontId="2" numFmtId="0" xfId="0" applyAlignment="1" applyBorder="1" applyFont="1">
      <alignment vertical="bottom"/>
    </xf>
    <xf borderId="9" fillId="0" fontId="2" numFmtId="0" xfId="0" applyAlignment="1" applyBorder="1" applyFont="1">
      <alignment vertical="bottom"/>
    </xf>
    <xf borderId="8" fillId="3" fontId="19" numFmtId="0" xfId="0" applyAlignment="1" applyBorder="1" applyFont="1">
      <alignment horizontal="center" shrinkToFit="0" vertical="bottom" wrapText="1"/>
    </xf>
    <xf borderId="8" fillId="0" fontId="11" numFmtId="0" xfId="0" applyBorder="1" applyFont="1"/>
    <xf borderId="10" fillId="0" fontId="11" numFmtId="0" xfId="0" applyBorder="1" applyFont="1"/>
    <xf borderId="10" fillId="0" fontId="2" numFmtId="0" xfId="0" applyAlignment="1" applyBorder="1" applyFont="1">
      <alignment vertical="bottom"/>
    </xf>
    <xf borderId="8" fillId="2" fontId="19" numFmtId="0" xfId="0" applyAlignment="1" applyBorder="1" applyFont="1">
      <alignment horizontal="center" shrinkToFit="0" vertical="bottom" wrapText="1"/>
    </xf>
    <xf borderId="10" fillId="7" fontId="10" numFmtId="0" xfId="0" applyAlignment="1" applyBorder="1" applyFont="1">
      <alignment horizontal="center" vertical="bottom"/>
    </xf>
    <xf borderId="10" fillId="8" fontId="10" numFmtId="0" xfId="0" applyAlignment="1" applyBorder="1" applyFont="1">
      <alignment horizontal="center" shrinkToFit="0" vertical="bottom" wrapText="1"/>
    </xf>
    <xf borderId="10" fillId="8" fontId="10" numFmtId="0" xfId="0" applyAlignment="1" applyBorder="1" applyFont="1">
      <alignment horizontal="center" vertical="bottom"/>
    </xf>
    <xf borderId="10" fillId="3" fontId="9" numFmtId="0" xfId="0" applyAlignment="1" applyBorder="1" applyFont="1">
      <alignment shrinkToFit="0" vertical="bottom" wrapText="1"/>
    </xf>
    <xf quotePrefix="1" borderId="10" fillId="0" fontId="2" numFmtId="0" xfId="0" applyAlignment="1" applyBorder="1" applyFont="1">
      <alignment horizontal="center" vertical="bottom"/>
    </xf>
    <xf quotePrefix="1" borderId="10" fillId="0" fontId="2" numFmtId="0" xfId="0" applyAlignment="1" applyBorder="1" applyFont="1">
      <alignment horizontal="center" shrinkToFit="0" vertical="bottom" wrapText="1"/>
    </xf>
    <xf borderId="10" fillId="0" fontId="2" numFmtId="0" xfId="0" applyAlignment="1" applyBorder="1" applyFont="1">
      <alignment shrinkToFit="0" vertical="bottom" wrapText="1"/>
    </xf>
    <xf borderId="10" fillId="0" fontId="21" numFmtId="0" xfId="0" applyAlignment="1" applyBorder="1" applyFont="1">
      <alignment vertical="bottom"/>
    </xf>
    <xf borderId="10" fillId="0" fontId="21" numFmtId="0" xfId="0" applyAlignment="1" applyBorder="1" applyFont="1">
      <alignment shrinkToFit="0" vertical="bottom" wrapText="1"/>
    </xf>
    <xf borderId="10" fillId="0" fontId="2" numFmtId="165" xfId="0" applyAlignment="1" applyBorder="1" applyFont="1" applyNumberFormat="1">
      <alignment vertical="bottom"/>
    </xf>
    <xf borderId="0" fillId="0" fontId="2" numFmtId="168" xfId="0" applyFont="1" applyNumberFormat="1"/>
    <xf borderId="10" fillId="0" fontId="2" numFmtId="167" xfId="0" applyAlignment="1" applyBorder="1" applyFont="1" applyNumberFormat="1">
      <alignment shrinkToFit="0" vertical="bottom" wrapText="1"/>
    </xf>
    <xf borderId="10" fillId="0" fontId="2" numFmtId="165" xfId="0" applyAlignment="1" applyBorder="1" applyFont="1" applyNumberFormat="1">
      <alignment shrinkToFit="0" vertical="bottom" wrapText="1"/>
    </xf>
    <xf borderId="10" fillId="0" fontId="2" numFmtId="0" xfId="0" applyAlignment="1" applyBorder="1" applyFont="1">
      <alignment horizontal="center" shrinkToFit="0" vertical="bottom" wrapText="1"/>
    </xf>
    <xf borderId="10" fillId="4" fontId="2" numFmtId="0" xfId="0" applyAlignment="1" applyBorder="1" applyFont="1">
      <alignment horizontal="center" vertical="bottom"/>
    </xf>
    <xf borderId="10" fillId="0" fontId="2" numFmtId="168" xfId="0" applyAlignment="1" applyBorder="1" applyFont="1" applyNumberFormat="1">
      <alignment shrinkToFit="0" vertical="bottom" wrapText="1"/>
    </xf>
    <xf borderId="2" fillId="2" fontId="19" numFmtId="0" xfId="0" applyAlignment="1" applyBorder="1" applyFont="1">
      <alignment horizontal="center" shrinkToFit="0" vertical="center" wrapText="1"/>
    </xf>
    <xf borderId="1" fillId="0" fontId="17" numFmtId="0" xfId="0" applyAlignment="1" applyBorder="1" applyFont="1">
      <alignment vertical="bottom"/>
    </xf>
    <xf borderId="0" fillId="0" fontId="2" numFmtId="165" xfId="0" applyFont="1" applyNumberFormat="1"/>
    <xf borderId="0" fillId="4" fontId="20" numFmtId="0" xfId="0" applyAlignment="1" applyFont="1">
      <alignment horizontal="left"/>
    </xf>
    <xf borderId="1" fillId="0" fontId="22" numFmtId="0" xfId="0" applyAlignment="1" applyBorder="1" applyFont="1">
      <alignment horizontal="left" shrinkToFit="0" wrapText="1"/>
    </xf>
    <xf quotePrefix="1" borderId="1" fillId="0" fontId="2" numFmtId="0" xfId="0" applyAlignment="1" applyBorder="1" applyFont="1">
      <alignment shrinkToFit="0" wrapText="1"/>
    </xf>
    <xf borderId="1" fillId="0" fontId="2" numFmtId="168" xfId="0" applyAlignment="1" applyBorder="1" applyFont="1" applyNumberFormat="1">
      <alignment horizontal="left" shrinkToFit="0" wrapText="1"/>
    </xf>
    <xf borderId="0" fillId="0" fontId="1" numFmtId="0" xfId="0" applyAlignment="1" applyFont="1">
      <alignment shrinkToFit="0" vertical="bottom" wrapText="0"/>
    </xf>
    <xf borderId="0" fillId="0" fontId="23" numFmtId="0" xfId="0" applyAlignment="1" applyFont="1">
      <alignment vertical="bottom"/>
    </xf>
    <xf quotePrefix="1" borderId="1" fillId="0" fontId="2" numFmtId="0" xfId="0" applyAlignment="1" applyBorder="1" applyFont="1">
      <alignment horizontal="center" shrinkToFit="0" vertical="bottom" wrapText="1"/>
    </xf>
    <xf borderId="1" fillId="0" fontId="21" numFmtId="0" xfId="0" applyAlignment="1" applyBorder="1" applyFont="1">
      <alignment shrinkToFit="0" vertical="bottom" wrapText="1"/>
    </xf>
    <xf borderId="1" fillId="0" fontId="2" numFmtId="0" xfId="0" applyAlignment="1" applyBorder="1" applyFont="1">
      <alignment shrinkToFit="0" vertical="bottom" wrapText="1"/>
    </xf>
    <xf borderId="1" fillId="0" fontId="2" numFmtId="0" xfId="0" applyAlignment="1" applyBorder="1" applyFont="1">
      <alignment horizontal="center" shrinkToFit="0" vertical="bottom" wrapText="1"/>
    </xf>
    <xf borderId="0" fillId="0" fontId="2" numFmtId="3" xfId="0" applyFont="1" applyNumberFormat="1"/>
    <xf borderId="1" fillId="0" fontId="2" numFmtId="0" xfId="0" applyAlignment="1" applyBorder="1" applyFont="1">
      <alignment vertical="bottom"/>
    </xf>
    <xf borderId="0" fillId="0" fontId="1" numFmtId="0" xfId="0" applyFont="1"/>
    <xf borderId="0" fillId="0" fontId="10" numFmtId="0" xfId="0" applyFont="1"/>
    <xf borderId="0" fillId="0" fontId="3" numFmtId="0" xfId="0" applyFont="1"/>
    <xf borderId="1" fillId="0" fontId="2" numFmtId="166" xfId="0" applyBorder="1" applyFont="1" applyNumberFormat="1"/>
    <xf borderId="1" fillId="0" fontId="2" numFmtId="167" xfId="0" applyBorder="1" applyFont="1" applyNumberFormat="1"/>
    <xf borderId="0" fillId="0" fontId="24" numFmtId="0" xfId="0" applyFont="1"/>
    <xf borderId="0" fillId="0" fontId="25" numFmtId="0" xfId="0" applyFont="1"/>
    <xf borderId="0" fillId="0" fontId="26" numFmtId="0" xfId="0" applyAlignment="1" applyFont="1">
      <alignment horizontal="left" shrinkToFit="0" vertical="bottom" wrapText="0"/>
    </xf>
    <xf borderId="0" fillId="0" fontId="26" numFmtId="0" xfId="0" applyAlignment="1" applyFont="1">
      <alignment horizontal="left" shrinkToFit="0" vertical="bottom" wrapText="1"/>
    </xf>
    <xf borderId="1" fillId="3" fontId="27" numFmtId="0" xfId="0" applyAlignment="1" applyBorder="1" applyFont="1">
      <alignment shrinkToFit="0" vertical="bottom" wrapText="0"/>
    </xf>
    <xf borderId="0" fillId="0" fontId="28" numFmtId="0" xfId="0" applyAlignment="1" applyFont="1">
      <alignment shrinkToFit="0" vertical="bottom" wrapText="0"/>
    </xf>
    <xf borderId="1" fillId="0" fontId="28" numFmtId="0" xfId="0" applyAlignment="1" applyBorder="1" applyFont="1">
      <alignment shrinkToFit="0" vertical="bottom" wrapText="0"/>
    </xf>
    <xf borderId="1" fillId="0" fontId="28" numFmtId="0" xfId="0" applyAlignment="1" applyBorder="1" applyFont="1">
      <alignment horizontal="left" shrinkToFit="0" vertical="bottom" wrapText="1"/>
    </xf>
    <xf borderId="1" fillId="0" fontId="28" numFmtId="0" xfId="0" applyAlignment="1" applyBorder="1" applyFont="1">
      <alignment horizontal="right" shrinkToFit="0" vertical="bottom" wrapText="0"/>
    </xf>
    <xf borderId="1" fillId="0" fontId="28" numFmtId="169" xfId="0" applyAlignment="1" applyBorder="1" applyFont="1" applyNumberFormat="1">
      <alignment horizontal="right" shrinkToFit="0" vertical="bottom" wrapText="0"/>
    </xf>
    <xf borderId="1" fillId="0" fontId="29" numFmtId="0" xfId="0" applyAlignment="1" applyBorder="1" applyFont="1">
      <alignment shrinkToFit="0" vertical="bottom" wrapText="0"/>
    </xf>
    <xf borderId="0" fillId="0" fontId="28" numFmtId="0" xfId="0" applyAlignment="1" applyFont="1">
      <alignment horizontal="right" shrinkToFit="0" vertical="bottom" wrapText="0"/>
    </xf>
    <xf borderId="1" fillId="0" fontId="28" numFmtId="169" xfId="0" applyAlignment="1" applyBorder="1" applyFont="1" applyNumberFormat="1">
      <alignment horizontal="left" shrinkToFit="0" vertical="bottom" wrapText="1"/>
    </xf>
    <xf borderId="1" fillId="0" fontId="30" numFmtId="0" xfId="0" applyAlignment="1" applyBorder="1" applyFont="1">
      <alignment horizontal="left" shrinkToFit="0" vertical="bottom" wrapText="1"/>
    </xf>
    <xf borderId="1" fillId="0" fontId="28" numFmtId="0" xfId="0" applyAlignment="1" applyBorder="1" applyFont="1">
      <alignment horizontal="left" shrinkToFit="0" vertical="bottom" wrapText="0"/>
    </xf>
    <xf borderId="0" fillId="0" fontId="31" numFmtId="0" xfId="0" applyFont="1"/>
    <xf borderId="1" fillId="0" fontId="28" numFmtId="0" xfId="0" applyAlignment="1" applyBorder="1" applyFont="1">
      <alignment horizontal="center" shrinkToFit="0" vertical="bottom" wrapText="0"/>
    </xf>
    <xf borderId="1" fillId="0" fontId="17" numFmtId="0" xfId="0" applyAlignment="1" applyBorder="1" applyFont="1">
      <alignment shrinkToFit="0" vertical="bottom" wrapText="0"/>
    </xf>
    <xf borderId="8" fillId="0" fontId="2" numFmtId="0" xfId="0" applyAlignment="1" applyBorder="1" applyFont="1">
      <alignment horizontal="left" shrinkToFit="0" wrapText="1"/>
    </xf>
    <xf borderId="7" fillId="3" fontId="3" numFmtId="0" xfId="0" applyAlignment="1" applyBorder="1" applyFont="1">
      <alignment horizontal="center"/>
    </xf>
    <xf borderId="1" fillId="0" fontId="28" numFmtId="3" xfId="0" applyAlignment="1" applyBorder="1" applyFont="1" applyNumberFormat="1">
      <alignment horizontal="right" shrinkToFit="0" vertical="bottom" wrapText="0"/>
    </xf>
    <xf borderId="1" fillId="0" fontId="28" numFmtId="166" xfId="0" applyAlignment="1" applyBorder="1" applyFont="1" applyNumberFormat="1">
      <alignment horizontal="right" shrinkToFit="0" vertical="bottom" wrapText="0"/>
    </xf>
    <xf borderId="1" fillId="0" fontId="28" numFmtId="170" xfId="0" applyAlignment="1" applyBorder="1" applyFont="1" applyNumberFormat="1">
      <alignment horizontal="right" shrinkToFit="0" vertical="bottom" wrapText="0"/>
    </xf>
    <xf borderId="1" fillId="0" fontId="28" numFmtId="171" xfId="0" applyAlignment="1" applyBorder="1" applyFont="1" applyNumberFormat="1">
      <alignment horizontal="right" shrinkToFit="0" vertical="bottom" wrapText="0"/>
    </xf>
    <xf borderId="2" fillId="0" fontId="28" numFmtId="0" xfId="0" applyAlignment="1" applyBorder="1" applyFont="1">
      <alignment shrinkToFit="0" vertical="bottom" wrapText="0"/>
    </xf>
    <xf borderId="11" fillId="0" fontId="32" numFmtId="0" xfId="0" applyAlignment="1" applyBorder="1" applyFont="1">
      <alignment horizontal="left" shrinkToFit="0" vertical="bottom" wrapText="0"/>
    </xf>
    <xf borderId="1" fillId="0" fontId="32" numFmtId="0" xfId="0" applyAlignment="1" applyBorder="1" applyFont="1">
      <alignment horizontal="left" shrinkToFit="0" vertical="bottom" wrapText="0"/>
    </xf>
    <xf borderId="1" fillId="0" fontId="28" numFmtId="3" xfId="0" applyAlignment="1" applyBorder="1" applyFont="1" applyNumberFormat="1">
      <alignment shrinkToFit="0" vertical="bottom" wrapText="0"/>
    </xf>
    <xf borderId="1" fillId="0" fontId="33" numFmtId="0" xfId="0" applyAlignment="1" applyBorder="1" applyFont="1">
      <alignment horizontal="left"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painversionesanalytics.blob.core.windows.net/sourceraw/DOM/SNIP/BID_BASE_CIA_END_MIP/CSV/2024/05/24/BID_Base_Cla_end_mip.csv" TargetMode="External"/><Relationship Id="rId2" Type="http://schemas.openxmlformats.org/officeDocument/2006/relationships/hyperlink" Target="https://mapainversionesanalytics.blob.core.windows.net/sourceraw/DOM/SNIP/BID_BASE_CLA_INSTITUCIONES_SNIP_MIP/CSV/2024/05/24/BID_Base_Cla_Instituciones_snip_mip.csv" TargetMode="External"/><Relationship Id="rId3" Type="http://schemas.openxmlformats.org/officeDocument/2006/relationships/hyperlink" Target="https://mapainversionesanalytics.blob.core.windows.net/sourceraw/DOM/SNIP/BID_BASE_CRONOGRAMAS_PROYECTO_FISICO_MIP/CSV/2024/05/24/BID_Base_cronogramas_proyecto_fisico_mip.csv" TargetMode="External"/><Relationship Id="rId4" Type="http://schemas.openxmlformats.org/officeDocument/2006/relationships/hyperlink" Target="https://mapainversionesanalytics.blob.core.windows.net/sourceraw/DOM/SNIP/BID_BASE_FASES_MIP/CSV/2024/05/24/BID_Base_Fases_mip.csv" TargetMode="External"/><Relationship Id="rId9" Type="http://schemas.openxmlformats.org/officeDocument/2006/relationships/drawing" Target="../drawings/drawing1.xml"/><Relationship Id="rId5" Type="http://schemas.openxmlformats.org/officeDocument/2006/relationships/hyperlink" Target="https://mapainversionesanalytics.blob.core.windows.net/sourceraw/DOM/SNIP/BID_BASE_FICHAS_PROYECTOS_MIP/CSV/2024/05/24/BID_Base_Fichas_Proyectos_mip.csv" TargetMode="External"/><Relationship Id="rId6" Type="http://schemas.openxmlformats.org/officeDocument/2006/relationships/hyperlink" Target="https://mapainversionesanalytics.blob.core.windows.net/sourceraw/DOM/SNIP/BID_BASE_PRESUPUESTO_MIP/CSV/2024/05/24/BID_Base_presupuesto_mip.csv" TargetMode="External"/><Relationship Id="rId7" Type="http://schemas.openxmlformats.org/officeDocument/2006/relationships/hyperlink" Target="https://mapainversionesanalytics.blob.core.windows.net/sourceraw/DOM/SNIP/BID_BASE_PROEJE_FISICA_MIP/CSV/2024/05/24/BID_Base_proeje_fisica_mip.csv" TargetMode="External"/><Relationship Id="rId8" Type="http://schemas.openxmlformats.org/officeDocument/2006/relationships/hyperlink" Target="https://mapainversionesanalytics.blob.core.windows.net/sourceraw/DOM/SNIP/BID_BASE_UBICACIONES_GEOGRAFICAS_MIP/CSV/2024/05/24/BID_Base_ubicaciones_geograficas_mip.cs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apainversionesanalytics.blob.core.windows.net/sourceraw/DOM/HACIENDA/PARTIDAS_DE_GASTO/CSV/2024/05/01/mh_partidas_de_gasto.csv" TargetMode="External"/><Relationship Id="rId2" Type="http://schemas.openxmlformats.org/officeDocument/2006/relationships/hyperlink" Target="https://mapainversionesanalytics.blob.core.windows.net/sourceraw/DOM/HACIENDA/PROCESOS_DE_COMPRA/CSV/2024/05/01/mh_procesos.csv" TargetMode="External"/><Relationship Id="rId3" Type="http://schemas.openxmlformats.org/officeDocument/2006/relationships/hyperlink" Target="https://mapainversionesanalytics.blob.core.windows.net/sourceraw/DOM/HACIENDA/CONTRATOS_DE_COMPRA/CSV/2024/05/01/mh_contratos.csv"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mapainversiones.economia.gob.do/Proyecto/PerfilProyecto/443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atosabiertos.dgcp.gob.do/opendata/tablas" TargetMode="External"/><Relationship Id="rId2" Type="http://schemas.openxmlformats.org/officeDocument/2006/relationships/hyperlink" Target="https://comunidad.comprasdominicana.gob.do//Public/Tendering/OpportunityDetail/Index?noticeUID=DO1.NTC.1280931"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atosabiertos.dgcp.gob.do/opendata/tablas" TargetMode="External"/><Relationship Id="rId2" Type="http://schemas.openxmlformats.org/officeDocument/2006/relationships/hyperlink" Target="https://comunidad.comprasdominicana.gob.do/Public/Tendering/ContractDetailView/Index?UniqueIdentifier=DO1.PCCNTR.1473506&amp;AwardContractDetailId=415729"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comunidad.comprasdominicana.gob.do/Public/Tendering/ContractDetailView/Index?UniqueIdentifier=DO1.PCCNTR.1432302&amp;AwardContractDetailId=394277" TargetMode="External"/><Relationship Id="rId42" Type="http://schemas.openxmlformats.org/officeDocument/2006/relationships/hyperlink" Target="https://comunidad.comprasdominicana.gob.do/Public/Tendering/ContractDetailView/Index?UniqueIdentifier=DO1.PCCNTR.1432205&amp;AwardContractDetailId=394288" TargetMode="External"/><Relationship Id="rId41" Type="http://schemas.openxmlformats.org/officeDocument/2006/relationships/hyperlink" Target="https://comunidad.comprasdominicana.gob.do//Public/Tendering/OpportunityDetail/Index?noticeUID=DO1.NTC.1133101" TargetMode="External"/><Relationship Id="rId44" Type="http://schemas.openxmlformats.org/officeDocument/2006/relationships/hyperlink" Target="https://comunidad.comprasdominicana.gob.do/Public/Tendering/ContractDetailView/Index?UniqueIdentifier=DO1.PCCNTR.1432308&amp;AwardContractDetailId=394283" TargetMode="External"/><Relationship Id="rId43" Type="http://schemas.openxmlformats.org/officeDocument/2006/relationships/hyperlink" Target="https://comunidad.comprasdominicana.gob.do//Public/Tendering/OpportunityDetail/Index?noticeUID=DO1.NTC.1133101" TargetMode="External"/><Relationship Id="rId46" Type="http://schemas.openxmlformats.org/officeDocument/2006/relationships/hyperlink" Target="https://comunidad.comprasdominicana.gob.do/Public/Tendering/ContractDetailView/Index?UniqueIdentifier=DO1.PCCNTR.1432306&amp;AwardContractDetailId=394281" TargetMode="External"/><Relationship Id="rId45" Type="http://schemas.openxmlformats.org/officeDocument/2006/relationships/hyperlink" Target="https://comunidad.comprasdominicana.gob.do//Public/Tendering/OpportunityDetail/Index?noticeUID=DO1.NTC.1133101" TargetMode="External"/><Relationship Id="rId106" Type="http://schemas.openxmlformats.org/officeDocument/2006/relationships/drawing" Target="../drawings/drawing9.xml"/><Relationship Id="rId105" Type="http://schemas.openxmlformats.org/officeDocument/2006/relationships/hyperlink" Target="https://comunidad.comprasdominicana.gob.do/Public/Companies/SupplierSearchPublic/DownloadSupplierDocument?companyCode=700000011" TargetMode="External"/><Relationship Id="rId104" Type="http://schemas.openxmlformats.org/officeDocument/2006/relationships/hyperlink" Target="https://comunidad.comprasdominicana.gob.do/Public/Companies/SupplierSearchPublic/DownloadSupplierDocument?companyCode=700009780" TargetMode="External"/><Relationship Id="rId48" Type="http://schemas.openxmlformats.org/officeDocument/2006/relationships/hyperlink" Target="https://comunidad.comprasdominicana.gob.do/Public/Tendering/ContractDetailView/Index?UniqueIdentifier=DO1.PCCNTR.1438214&amp;AwardContractDetailId=391026" TargetMode="External"/><Relationship Id="rId47" Type="http://schemas.openxmlformats.org/officeDocument/2006/relationships/hyperlink" Target="https://comunidad.comprasdominicana.gob.do//Public/Tendering/OpportunityDetail/Index?noticeUID=DO1.NTC.1133101" TargetMode="External"/><Relationship Id="rId49" Type="http://schemas.openxmlformats.org/officeDocument/2006/relationships/hyperlink" Target="https://comunidad.comprasdominicana.gob.do//Public/Tendering/OpportunityDetail/Index?noticeUID=DO1.NTC.1136639" TargetMode="External"/><Relationship Id="rId103" Type="http://schemas.openxmlformats.org/officeDocument/2006/relationships/hyperlink" Target="https://comunidad.comprasdominicana.gob.do/Public/Companies/SupplierSearchPublic/DownloadSupplierDocument?companyCode=700009715" TargetMode="External"/><Relationship Id="rId102" Type="http://schemas.openxmlformats.org/officeDocument/2006/relationships/hyperlink" Target="https://comunidad.comprasdominicana.gob.do/Public/Companies/SupplierSearchPublic/DownloadSupplierDocument?companyCode=700009699" TargetMode="External"/><Relationship Id="rId101" Type="http://schemas.openxmlformats.org/officeDocument/2006/relationships/hyperlink" Target="https://comunidad.comprasdominicana.gob.do/Public/Companies/SupplierSearchPublic/DownloadSupplierDocument?companyCode=700006620" TargetMode="External"/><Relationship Id="rId100" Type="http://schemas.openxmlformats.org/officeDocument/2006/relationships/hyperlink" Target="https://comunidad.comprasdominicana.gob.do/Public/Companies/SupplierSearchPublic/DownloadSupplierDocument?companyCode=700006604" TargetMode="External"/><Relationship Id="rId31" Type="http://schemas.openxmlformats.org/officeDocument/2006/relationships/hyperlink" Target="https://comunidad.comprasdominicana.gob.do//Public/Tendering/OpportunityDetail/Index?noticeUID=DO1.NTC.1133101" TargetMode="External"/><Relationship Id="rId30" Type="http://schemas.openxmlformats.org/officeDocument/2006/relationships/hyperlink" Target="https://comunidad.comprasdominicana.gob.do/Public/Tendering/ContractDetailView/Index?UniqueIdentifier=DO1.PCCNTR.1432203&amp;AwardContractDetailId=394287" TargetMode="External"/><Relationship Id="rId33" Type="http://schemas.openxmlformats.org/officeDocument/2006/relationships/hyperlink" Target="https://comunidad.comprasdominicana.gob.do//Public/Tendering/OpportunityDetail/Index?noticeUID=DO1.NTC.1133101" TargetMode="External"/><Relationship Id="rId32" Type="http://schemas.openxmlformats.org/officeDocument/2006/relationships/hyperlink" Target="https://comunidad.comprasdominicana.gob.do/Public/Tendering/ContractDetailView/Index?UniqueIdentifier=DO1.PCCNTR.1432301&amp;AwardContractDetailId=394276" TargetMode="External"/><Relationship Id="rId35" Type="http://schemas.openxmlformats.org/officeDocument/2006/relationships/hyperlink" Target="https://comunidad.comprasdominicana.gob.do//Public/Tendering/OpportunityDetail/Index?noticeUID=DO1.NTC.1133101" TargetMode="External"/><Relationship Id="rId34" Type="http://schemas.openxmlformats.org/officeDocument/2006/relationships/hyperlink" Target="https://comunidad.comprasdominicana.gob.do/Public/Tendering/ContractDetailView/Index?UniqueIdentifier=DO1.PCCNTR.1432202&amp;AwardContractDetailId=394286" TargetMode="External"/><Relationship Id="rId37" Type="http://schemas.openxmlformats.org/officeDocument/2006/relationships/hyperlink" Target="https://comunidad.comprasdominicana.gob.do//Public/Tendering/OpportunityDetail/Index?noticeUID=DO1.NTC.1133101" TargetMode="External"/><Relationship Id="rId36" Type="http://schemas.openxmlformats.org/officeDocument/2006/relationships/hyperlink" Target="https://comunidad.comprasdominicana.gob.do/Public/Tendering/ContractDetailView/Index?UniqueIdentifier=DO1.PCCNTR.1432206&amp;AwardContractDetailId=394289" TargetMode="External"/><Relationship Id="rId39" Type="http://schemas.openxmlformats.org/officeDocument/2006/relationships/hyperlink" Target="https://comunidad.comprasdominicana.gob.do//Public/Tendering/OpportunityDetail/Index?noticeUID=DO1.NTC.1133101" TargetMode="External"/><Relationship Id="rId38" Type="http://schemas.openxmlformats.org/officeDocument/2006/relationships/hyperlink" Target="https://comunidad.comprasdominicana.gob.do/Public/Tendering/ContractDetailView/Index?UniqueIdentifier=DO1.PCCNTR.1432303&amp;AwardContractDetailId=394278" TargetMode="External"/><Relationship Id="rId20" Type="http://schemas.openxmlformats.org/officeDocument/2006/relationships/hyperlink" Target="https://comunidad.comprasdominicana.gob.do//Public/Tendering/OpportunityDetail/Index?noticeUID=DO1.NTC.1143530" TargetMode="External"/><Relationship Id="rId22" Type="http://schemas.openxmlformats.org/officeDocument/2006/relationships/hyperlink" Target="https://comunidad.comprasdominicana.gob.do//Public/Tendering/OpportunityDetail/Index?noticeUID=DO1.NTC.1138323" TargetMode="External"/><Relationship Id="rId21" Type="http://schemas.openxmlformats.org/officeDocument/2006/relationships/hyperlink" Target="https://comunidad.comprasdominicana.gob.do//Public/Tendering/OpportunityDetail/Index?noticeUID=DO1.NTC.1145122" TargetMode="External"/><Relationship Id="rId24" Type="http://schemas.openxmlformats.org/officeDocument/2006/relationships/hyperlink" Target="https://comunidad.comprasdominicana.gob.do//Public/Tendering/OpportunityDetail/Index?noticeUID=DO1.NTC.1143848" TargetMode="External"/><Relationship Id="rId23" Type="http://schemas.openxmlformats.org/officeDocument/2006/relationships/hyperlink" Target="https://comunidad.comprasdominicana.gob.do//Public/Tendering/OpportunityDetail/Index?noticeUID=DO1.NTC.1145242" TargetMode="External"/><Relationship Id="rId26" Type="http://schemas.openxmlformats.org/officeDocument/2006/relationships/hyperlink" Target="https://comunidad.comprasdominicana.gob.do//Public/Tendering/OpportunityDetail/Index?noticeUID=DO1.NTC.1144707" TargetMode="External"/><Relationship Id="rId25" Type="http://schemas.openxmlformats.org/officeDocument/2006/relationships/hyperlink" Target="https://comunidad.comprasdominicana.gob.do//Public/Tendering/OpportunityDetail/Index?noticeUID=DO1.NTC.1136258" TargetMode="External"/><Relationship Id="rId28" Type="http://schemas.openxmlformats.org/officeDocument/2006/relationships/hyperlink" Target="https://comunidad.comprasdominicana.gob.do//Public/Tendering/OpportunityDetail/Index?noticeUID=DO1.NTC.1104243" TargetMode="External"/><Relationship Id="rId27" Type="http://schemas.openxmlformats.org/officeDocument/2006/relationships/hyperlink" Target="https://comunidad.comprasdominicana.gob.do//Public/Tendering/OpportunityDetail/Index?noticeUID=DO1.NTC.1143756" TargetMode="External"/><Relationship Id="rId29" Type="http://schemas.openxmlformats.org/officeDocument/2006/relationships/hyperlink" Target="https://api.dgcp.gob.do/opendata/emergencia/contratos.csv" TargetMode="External"/><Relationship Id="rId95" Type="http://schemas.openxmlformats.org/officeDocument/2006/relationships/hyperlink" Target="https://comunidad.comprasdominicana.gob.do/Public/Companies/SupplierSearchPublic/DownloadSupplierDocument?companyCode=700000193" TargetMode="External"/><Relationship Id="rId94" Type="http://schemas.openxmlformats.org/officeDocument/2006/relationships/hyperlink" Target="https://comunidad.comprasdominicana.gob.do/Public/Companies/SupplierSearchPublic/DownloadSupplierDocument?companyCode=700009822" TargetMode="External"/><Relationship Id="rId97" Type="http://schemas.openxmlformats.org/officeDocument/2006/relationships/hyperlink" Target="https://comunidad.comprasdominicana.gob.do/Public/Companies/SupplierSearchPublic/DownloadSupplierDocument?companyCode=700006463" TargetMode="External"/><Relationship Id="rId96" Type="http://schemas.openxmlformats.org/officeDocument/2006/relationships/hyperlink" Target="https://comunidad.comprasdominicana.gob.do/Public/Companies/SupplierSearchPublic/DownloadSupplierDocument?companyCode=700006448" TargetMode="External"/><Relationship Id="rId11" Type="http://schemas.openxmlformats.org/officeDocument/2006/relationships/hyperlink" Target="https://comunidad.comprasdominicana.gob.do//Public/Tendering/OpportunityDetail/Index?noticeUID=DO1.NTC.1142636" TargetMode="External"/><Relationship Id="rId99" Type="http://schemas.openxmlformats.org/officeDocument/2006/relationships/hyperlink" Target="https://comunidad.comprasdominicana.gob.do/Public/Companies/SupplierSearchPublic/DownloadSupplierDocument?companyCode=700006539" TargetMode="External"/><Relationship Id="rId10" Type="http://schemas.openxmlformats.org/officeDocument/2006/relationships/hyperlink" Target="https://comunidad.comprasdominicana.gob.do//Public/Tendering/OpportunityDetail/Index?noticeUID=DO1.NTC.1142942" TargetMode="External"/><Relationship Id="rId98" Type="http://schemas.openxmlformats.org/officeDocument/2006/relationships/hyperlink" Target="https://comunidad.comprasdominicana.gob.do/Public/Companies/SupplierSearchPublic/DownloadSupplierDocument?companyCode=700006513" TargetMode="External"/><Relationship Id="rId13" Type="http://schemas.openxmlformats.org/officeDocument/2006/relationships/hyperlink" Target="https://comunidad.comprasdominicana.gob.do//Public/Tendering/OpportunityDetail/Index?noticeUID=DO1.NTC.1143968" TargetMode="External"/><Relationship Id="rId12" Type="http://schemas.openxmlformats.org/officeDocument/2006/relationships/hyperlink" Target="https://comunidad.comprasdominicana.gob.do//Public/Tendering/OpportunityDetail/Index?noticeUID=DO1.NTC.1142737" TargetMode="External"/><Relationship Id="rId91" Type="http://schemas.openxmlformats.org/officeDocument/2006/relationships/hyperlink" Target="https://comunidad.comprasdominicana.gob.do/Public/Companies/SupplierSearchPublic/DownloadSupplierDocument?companyCode=700009673" TargetMode="External"/><Relationship Id="rId90" Type="http://schemas.openxmlformats.org/officeDocument/2006/relationships/hyperlink" Target="https://comunidad.comprasdominicana.gob.do/Public/Companies/SupplierSearchPublic/DownloadSupplierDocument?companyCode=700009665" TargetMode="External"/><Relationship Id="rId93" Type="http://schemas.openxmlformats.org/officeDocument/2006/relationships/hyperlink" Target="https://comunidad.comprasdominicana.gob.do/Public/Companies/SupplierSearchPublic/DownloadSupplierDocument?companyCode=700009814" TargetMode="External"/><Relationship Id="rId92" Type="http://schemas.openxmlformats.org/officeDocument/2006/relationships/hyperlink" Target="https://comunidad.comprasdominicana.gob.do/Public/Companies/SupplierSearchPublic/DownloadSupplierDocument?companyCode=700009681" TargetMode="External"/><Relationship Id="rId15" Type="http://schemas.openxmlformats.org/officeDocument/2006/relationships/hyperlink" Target="https://comunidad.comprasdominicana.gob.do//Public/Tendering/OpportunityDetail/Index?noticeUID=DO1.NTC.1144414" TargetMode="External"/><Relationship Id="rId14" Type="http://schemas.openxmlformats.org/officeDocument/2006/relationships/hyperlink" Target="https://comunidad.comprasdominicana.gob.do//Public/Tendering/OpportunityDetail/Index?noticeUID=DO1.NTC.1144304" TargetMode="External"/><Relationship Id="rId17" Type="http://schemas.openxmlformats.org/officeDocument/2006/relationships/hyperlink" Target="https://comunidad.comprasdominicana.gob.do//Public/Tendering/OpportunityDetail/Index?noticeUID=DO1.NTC.1139855" TargetMode="External"/><Relationship Id="rId16" Type="http://schemas.openxmlformats.org/officeDocument/2006/relationships/hyperlink" Target="https://comunidad.comprasdominicana.gob.do//Public/Tendering/OpportunityDetail/Index?noticeUID=DO1.NTC.1138563" TargetMode="External"/><Relationship Id="rId19" Type="http://schemas.openxmlformats.org/officeDocument/2006/relationships/hyperlink" Target="https://comunidad.comprasdominicana.gob.do//Public/Tendering/OpportunityDetail/Index?noticeUID=DO1.NTC.1143365" TargetMode="External"/><Relationship Id="rId18" Type="http://schemas.openxmlformats.org/officeDocument/2006/relationships/hyperlink" Target="https://comunidad.comprasdominicana.gob.do//Public/Tendering/OpportunityDetail/Index?noticeUID=DO1.NTC.1134644" TargetMode="External"/><Relationship Id="rId84" Type="http://schemas.openxmlformats.org/officeDocument/2006/relationships/hyperlink" Target="https://api.dgcp.gob.do/opendata/emergencia/proveedores.csv" TargetMode="External"/><Relationship Id="rId83" Type="http://schemas.openxmlformats.org/officeDocument/2006/relationships/hyperlink" Target="https://api.dgcp.gob.do/opendata/emergencia/articulos_contratos.csv" TargetMode="External"/><Relationship Id="rId86" Type="http://schemas.openxmlformats.org/officeDocument/2006/relationships/hyperlink" Target="https://comunidad.comprasdominicana.gob.do/Public/Companies/SupplierSearchPublic/DownloadSupplierDocument?companyCode=700000037" TargetMode="External"/><Relationship Id="rId85" Type="http://schemas.openxmlformats.org/officeDocument/2006/relationships/hyperlink" Target="https://comunidad.comprasdominicana.gob.do/Public/Companies/SupplierSearchPublic/DownloadSupplierDocument?companyCode=700000011" TargetMode="External"/><Relationship Id="rId88" Type="http://schemas.openxmlformats.org/officeDocument/2006/relationships/hyperlink" Target="https://comunidad.comprasdominicana.gob.do/Public/Companies/SupplierSearchPublic/DownloadSupplierDocument?companyCode=700000102" TargetMode="External"/><Relationship Id="rId87" Type="http://schemas.openxmlformats.org/officeDocument/2006/relationships/hyperlink" Target="https://comunidad.comprasdominicana.gob.do/Public/Companies/SupplierSearchPublic/DownloadSupplierDocument?companyCode=700000086" TargetMode="External"/><Relationship Id="rId89" Type="http://schemas.openxmlformats.org/officeDocument/2006/relationships/hyperlink" Target="https://comunidad.comprasdominicana.gob.do/Public/Companies/SupplierSearchPublic/DownloadSupplierDocument?companyCode=700000177" TargetMode="External"/><Relationship Id="rId80" Type="http://schemas.openxmlformats.org/officeDocument/2006/relationships/hyperlink" Target="https://comunidad.comprasdominicana.gob.do/Public/Tendering/ContractDetailView/Index?UniqueIdentifier=DO1.PCCNTR.1432203&amp;AwardContractDetailId=394287" TargetMode="External"/><Relationship Id="rId82" Type="http://schemas.openxmlformats.org/officeDocument/2006/relationships/hyperlink" Target="https://api.dgcp.gob.do/opendata/emergencia/articulos_procesos.csv" TargetMode="External"/><Relationship Id="rId81" Type="http://schemas.openxmlformats.org/officeDocument/2006/relationships/hyperlink" Target="https://comunidad.comprasdominicana.gob.do//Public/Tendering/OpportunityDetail/Index?noticeUID=DO1.NTC.1133101" TargetMode="External"/><Relationship Id="rId1" Type="http://schemas.openxmlformats.org/officeDocument/2006/relationships/hyperlink" Target="https://api.dgcp.gob.do/opendata/emergencia" TargetMode="External"/><Relationship Id="rId2" Type="http://schemas.openxmlformats.org/officeDocument/2006/relationships/hyperlink" Target="https://api.dgcp.gob.do/opendata/emergencia/procesos.csv" TargetMode="External"/><Relationship Id="rId3" Type="http://schemas.openxmlformats.org/officeDocument/2006/relationships/hyperlink" Target="https://comunidad.comprasdominicana.gob.do//Public/Tendering/OpportunityDetail/Index?noticeUID=DO1.NTC.1104243" TargetMode="External"/><Relationship Id="rId4" Type="http://schemas.openxmlformats.org/officeDocument/2006/relationships/hyperlink" Target="https://comunidad.comprasdominicana.gob.do//Public/Tendering/OpportunityDetail/Index?noticeUID=DO1.NTC.1138247" TargetMode="External"/><Relationship Id="rId9" Type="http://schemas.openxmlformats.org/officeDocument/2006/relationships/hyperlink" Target="https://comunidad.comprasdominicana.gob.do//Public/Tendering/OpportunityDetail/Index?noticeUID=DO1.NTC.1142164" TargetMode="External"/><Relationship Id="rId5" Type="http://schemas.openxmlformats.org/officeDocument/2006/relationships/hyperlink" Target="https://comunidad.comprasdominicana.gob.do//Public/Tendering/OpportunityDetail/Index?noticeUID=DO1.NTC.1137859" TargetMode="External"/><Relationship Id="rId6" Type="http://schemas.openxmlformats.org/officeDocument/2006/relationships/hyperlink" Target="https://comunidad.comprasdominicana.gob.do//Public/Tendering/OpportunityDetail/Index?noticeUID=DO1.NTC.1143964" TargetMode="External"/><Relationship Id="rId7" Type="http://schemas.openxmlformats.org/officeDocument/2006/relationships/hyperlink" Target="https://comunidad.comprasdominicana.gob.do//Public/Tendering/OpportunityDetail/Index?noticeUID=DO1.NTC.1138712" TargetMode="External"/><Relationship Id="rId8" Type="http://schemas.openxmlformats.org/officeDocument/2006/relationships/hyperlink" Target="https://comunidad.comprasdominicana.gob.do//Public/Tendering/OpportunityDetail/Index?noticeUID=DO1.NTC.1143457" TargetMode="External"/><Relationship Id="rId73" Type="http://schemas.openxmlformats.org/officeDocument/2006/relationships/hyperlink" Target="https://comunidad.comprasdominicana.gob.do//Public/Tendering/OpportunityDetail/Index?noticeUID=DO1.NTC.1136258" TargetMode="External"/><Relationship Id="rId72" Type="http://schemas.openxmlformats.org/officeDocument/2006/relationships/hyperlink" Target="https://comunidad.comprasdominicana.gob.do/Public/Tendering/ContractDetailView/Index?UniqueIdentifier=DO1.PCCNTR.1432628&amp;AwardContractDetailId=388626" TargetMode="External"/><Relationship Id="rId75" Type="http://schemas.openxmlformats.org/officeDocument/2006/relationships/hyperlink" Target="https://comunidad.comprasdominicana.gob.do//Public/Tendering/OpportunityDetail/Index?noticeUID=DO1.NTC.1136258" TargetMode="External"/><Relationship Id="rId74" Type="http://schemas.openxmlformats.org/officeDocument/2006/relationships/hyperlink" Target="https://comunidad.comprasdominicana.gob.do/Public/Tendering/ContractDetailView/Index?UniqueIdentifier=DO1.PCCNTR.1432728&amp;AwardContractDetailId=388628" TargetMode="External"/><Relationship Id="rId77" Type="http://schemas.openxmlformats.org/officeDocument/2006/relationships/hyperlink" Target="https://comunidad.comprasdominicana.gob.do//Public/Tendering/OpportunityDetail/Index?noticeUID=DO1.NTC.1136258" TargetMode="External"/><Relationship Id="rId76" Type="http://schemas.openxmlformats.org/officeDocument/2006/relationships/hyperlink" Target="https://comunidad.comprasdominicana.gob.do/Public/Tendering/ContractDetailView/Index?UniqueIdentifier=DO1.PCCNTR.1432627&amp;AwardContractDetailId=388625" TargetMode="External"/><Relationship Id="rId79" Type="http://schemas.openxmlformats.org/officeDocument/2006/relationships/hyperlink" Target="https://comunidad.comprasdominicana.gob.do//Public/Tendering/OpportunityDetail/Index?noticeUID=DO1.NTC.1133101" TargetMode="External"/><Relationship Id="rId78" Type="http://schemas.openxmlformats.org/officeDocument/2006/relationships/hyperlink" Target="https://comunidad.comprasdominicana.gob.do/Public/Tendering/ContractDetailView/Index?UniqueIdentifier=DO1.PCCNTR.1438916&amp;AwardContractDetailId=394303" TargetMode="External"/><Relationship Id="rId71" Type="http://schemas.openxmlformats.org/officeDocument/2006/relationships/hyperlink" Target="https://comunidad.comprasdominicana.gob.do//Public/Tendering/OpportunityDetail/Index?noticeUID=DO1.NTC.1136258" TargetMode="External"/><Relationship Id="rId70" Type="http://schemas.openxmlformats.org/officeDocument/2006/relationships/hyperlink" Target="https://comunidad.comprasdominicana.gob.do/Public/Tendering/ContractDetailView/Index?UniqueIdentifier=DO1.PCCNTR.1432727&amp;AwardContractDetailId=388627" TargetMode="External"/><Relationship Id="rId62" Type="http://schemas.openxmlformats.org/officeDocument/2006/relationships/hyperlink" Target="https://comunidad.comprasdominicana.gob.do/Public/Tendering/ContractDetailView/Index?UniqueIdentifier=DO1.PCCNTR.1432310&amp;AwardContractDetailId=394285" TargetMode="External"/><Relationship Id="rId61" Type="http://schemas.openxmlformats.org/officeDocument/2006/relationships/hyperlink" Target="https://comunidad.comprasdominicana.gob.do//Public/Tendering/OpportunityDetail/Index?noticeUID=DO1.NTC.1133101" TargetMode="External"/><Relationship Id="rId64" Type="http://schemas.openxmlformats.org/officeDocument/2006/relationships/hyperlink" Target="https://comunidad.comprasdominicana.gob.do/Public/Tendering/ContractDetailView/Index?UniqueIdentifier=DO1.PCCNTR.1432305&amp;AwardContractDetailId=394280" TargetMode="External"/><Relationship Id="rId63" Type="http://schemas.openxmlformats.org/officeDocument/2006/relationships/hyperlink" Target="https://comunidad.comprasdominicana.gob.do//Public/Tendering/OpportunityDetail/Index?noticeUID=DO1.NTC.1133101" TargetMode="External"/><Relationship Id="rId66" Type="http://schemas.openxmlformats.org/officeDocument/2006/relationships/hyperlink" Target="https://comunidad.comprasdominicana.gob.do/Public/Tendering/ContractDetailView/Index?UniqueIdentifier=DO1.PCCNTR.1432401&amp;AwardContractDetailId=394290" TargetMode="External"/><Relationship Id="rId65" Type="http://schemas.openxmlformats.org/officeDocument/2006/relationships/hyperlink" Target="https://comunidad.comprasdominicana.gob.do//Public/Tendering/OpportunityDetail/Index?noticeUID=DO1.NTC.1133101" TargetMode="External"/><Relationship Id="rId68" Type="http://schemas.openxmlformats.org/officeDocument/2006/relationships/hyperlink" Target="https://comunidad.comprasdominicana.gob.do/Public/Tendering/ContractDetailView/Index?UniqueIdentifier=DO1.PCCNTR.1426156&amp;AwardContractDetailId=386388" TargetMode="External"/><Relationship Id="rId67" Type="http://schemas.openxmlformats.org/officeDocument/2006/relationships/hyperlink" Target="https://comunidad.comprasdominicana.gob.do//Public/Tendering/OpportunityDetail/Index?noticeUID=DO1.NTC.1133101" TargetMode="External"/><Relationship Id="rId60" Type="http://schemas.openxmlformats.org/officeDocument/2006/relationships/hyperlink" Target="https://comunidad.comprasdominicana.gob.do/Public/Tendering/ContractDetailView/Index?UniqueIdentifier=DO1.PCCNTR.1432408&amp;AwardContractDetailId=394293" TargetMode="External"/><Relationship Id="rId69" Type="http://schemas.openxmlformats.org/officeDocument/2006/relationships/hyperlink" Target="https://comunidad.comprasdominicana.gob.do//Public/Tendering/OpportunityDetail/Index?noticeUID=DO1.NTC.1132427" TargetMode="External"/><Relationship Id="rId51" Type="http://schemas.openxmlformats.org/officeDocument/2006/relationships/hyperlink" Target="https://comunidad.comprasdominicana.gob.do//Public/Tendering/OpportunityDetail/Index?noticeUID=DO1.NTC.1133101" TargetMode="External"/><Relationship Id="rId50" Type="http://schemas.openxmlformats.org/officeDocument/2006/relationships/hyperlink" Target="https://comunidad.comprasdominicana.gob.do/Public/Tendering/ContractDetailView/Index?UniqueIdentifier=DO1.PCCNTR.1432304&amp;AwardContractDetailId=394279" TargetMode="External"/><Relationship Id="rId53" Type="http://schemas.openxmlformats.org/officeDocument/2006/relationships/hyperlink" Target="https://comunidad.comprasdominicana.gob.do//Public/Tendering/OpportunityDetail/Index?noticeUID=DO1.NTC.1133101" TargetMode="External"/><Relationship Id="rId52" Type="http://schemas.openxmlformats.org/officeDocument/2006/relationships/hyperlink" Target="https://comunidad.comprasdominicana.gob.do/Public/Tendering/ContractDetailView/Index?UniqueIdentifier=DO1.PCCNTR.1432307&amp;AwardContractDetailId=394282" TargetMode="External"/><Relationship Id="rId55" Type="http://schemas.openxmlformats.org/officeDocument/2006/relationships/hyperlink" Target="https://comunidad.comprasdominicana.gob.do//Public/Tendering/OpportunityDetail/Index?noticeUID=DO1.NTC.1133101" TargetMode="External"/><Relationship Id="rId54" Type="http://schemas.openxmlformats.org/officeDocument/2006/relationships/hyperlink" Target="https://comunidad.comprasdominicana.gob.do/Public/Tendering/ContractDetailView/Index?UniqueIdentifier=DO1.PCCNTR.1432309&amp;AwardContractDetailId=394284" TargetMode="External"/><Relationship Id="rId57" Type="http://schemas.openxmlformats.org/officeDocument/2006/relationships/hyperlink" Target="https://comunidad.comprasdominicana.gob.do//Public/Tendering/OpportunityDetail/Index?noticeUID=DO1.NTC.1133101" TargetMode="External"/><Relationship Id="rId56" Type="http://schemas.openxmlformats.org/officeDocument/2006/relationships/hyperlink" Target="https://comunidad.comprasdominicana.gob.do/Public/Tendering/ContractDetailView/Index?UniqueIdentifier=DO1.PCCNTR.1432404&amp;AwardContractDetailId=394291" TargetMode="External"/><Relationship Id="rId59" Type="http://schemas.openxmlformats.org/officeDocument/2006/relationships/hyperlink" Target="https://comunidad.comprasdominicana.gob.do//Public/Tendering/OpportunityDetail/Index?noticeUID=DO1.NTC.1133101" TargetMode="External"/><Relationship Id="rId58" Type="http://schemas.openxmlformats.org/officeDocument/2006/relationships/hyperlink" Target="https://comunidad.comprasdominicana.gob.do/Public/Tendering/ContractDetailView/Index?UniqueIdentifier=DO1.PCCNTR.1432406&amp;AwardContractDetailId=394292"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0"/>
  <cols>
    <col customWidth="1" min="1" max="1" width="34.0"/>
    <col customWidth="1" min="2" max="2" width="35.63"/>
    <col customWidth="1" min="3" max="3" width="62.75"/>
    <col customWidth="1" min="4" max="4" width="72.13"/>
    <col customWidth="1" min="5" max="7" width="12.38"/>
    <col customWidth="1" min="8" max="8" width="43.63"/>
    <col customWidth="1" min="9" max="9" width="33.38"/>
    <col customWidth="1" min="10" max="10" width="30.88"/>
    <col customWidth="1" min="11" max="11" width="43.0"/>
  </cols>
  <sheetData>
    <row r="1" ht="15.75" customHeight="1">
      <c r="A1" s="1" t="s">
        <v>0</v>
      </c>
      <c r="C1" s="2"/>
      <c r="D1" s="2"/>
      <c r="H1" s="3"/>
      <c r="I1" s="4"/>
    </row>
    <row r="2" ht="15.75" customHeight="1">
      <c r="A2" s="5" t="s">
        <v>1</v>
      </c>
      <c r="B2" s="6" t="s">
        <v>2</v>
      </c>
      <c r="C2" s="7" t="s">
        <v>3</v>
      </c>
      <c r="D2" s="7" t="s">
        <v>4</v>
      </c>
      <c r="E2" s="8"/>
      <c r="H2" s="3"/>
      <c r="I2" s="4"/>
    </row>
    <row r="3" ht="15.75" customHeight="1">
      <c r="A3" s="9" t="s">
        <v>5</v>
      </c>
      <c r="B3" s="10" t="s">
        <v>6</v>
      </c>
      <c r="C3" s="11" t="s">
        <v>7</v>
      </c>
      <c r="D3" s="12" t="s">
        <v>8</v>
      </c>
      <c r="E3" s="13"/>
      <c r="F3" s="13"/>
      <c r="G3" s="13"/>
      <c r="H3" s="13" t="s">
        <v>9</v>
      </c>
      <c r="I3" s="14"/>
    </row>
    <row r="4" ht="15.75" customHeight="1">
      <c r="B4" s="10" t="s">
        <v>10</v>
      </c>
      <c r="C4" s="11" t="s">
        <v>11</v>
      </c>
      <c r="D4" s="15" t="s">
        <v>12</v>
      </c>
      <c r="E4" s="13"/>
      <c r="F4" s="13"/>
      <c r="G4" s="13"/>
      <c r="H4" s="13"/>
      <c r="I4" s="13" t="s">
        <v>9</v>
      </c>
      <c r="J4" s="14"/>
    </row>
    <row r="5" ht="15.75" customHeight="1">
      <c r="B5" s="10" t="s">
        <v>13</v>
      </c>
      <c r="C5" s="11" t="s">
        <v>14</v>
      </c>
      <c r="D5" s="15" t="s">
        <v>15</v>
      </c>
      <c r="E5" s="13"/>
      <c r="F5" s="13"/>
      <c r="G5" s="13"/>
      <c r="H5" s="13"/>
      <c r="I5" s="13" t="s">
        <v>9</v>
      </c>
      <c r="J5" s="14"/>
    </row>
    <row r="6" ht="15.75" customHeight="1">
      <c r="B6" s="10" t="s">
        <v>16</v>
      </c>
      <c r="C6" s="11" t="s">
        <v>17</v>
      </c>
      <c r="D6" s="15" t="s">
        <v>18</v>
      </c>
      <c r="E6" s="13"/>
      <c r="F6" s="13"/>
      <c r="G6" s="13"/>
      <c r="H6" s="13"/>
      <c r="I6" s="13" t="s">
        <v>9</v>
      </c>
      <c r="J6" s="14"/>
    </row>
    <row r="7" ht="15.75" customHeight="1">
      <c r="B7" s="10" t="s">
        <v>19</v>
      </c>
      <c r="C7" s="11" t="s">
        <v>20</v>
      </c>
      <c r="D7" s="15" t="s">
        <v>21</v>
      </c>
      <c r="E7" s="13"/>
      <c r="F7" s="13"/>
      <c r="G7" s="13"/>
      <c r="H7" s="13"/>
      <c r="I7" s="13" t="s">
        <v>9</v>
      </c>
      <c r="J7" s="14"/>
    </row>
    <row r="8" ht="15.75" customHeight="1">
      <c r="B8" s="10" t="s">
        <v>22</v>
      </c>
      <c r="C8" s="11" t="s">
        <v>23</v>
      </c>
      <c r="D8" s="15" t="s">
        <v>24</v>
      </c>
      <c r="E8" s="13"/>
      <c r="F8" s="13"/>
      <c r="G8" s="13"/>
      <c r="H8" s="13"/>
      <c r="I8" s="13" t="s">
        <v>9</v>
      </c>
      <c r="J8" s="14"/>
    </row>
    <row r="9" ht="15.75" customHeight="1">
      <c r="B9" s="10" t="s">
        <v>25</v>
      </c>
      <c r="C9" s="11" t="s">
        <v>26</v>
      </c>
      <c r="D9" s="12" t="s">
        <v>27</v>
      </c>
      <c r="E9" s="13"/>
      <c r="F9" s="13"/>
      <c r="G9" s="13"/>
      <c r="H9" s="13"/>
      <c r="I9" s="13" t="s">
        <v>9</v>
      </c>
      <c r="J9" s="14"/>
    </row>
    <row r="10" ht="15.75" customHeight="1">
      <c r="B10" s="10" t="s">
        <v>28</v>
      </c>
      <c r="C10" s="11" t="s">
        <v>29</v>
      </c>
      <c r="D10" s="12" t="s">
        <v>30</v>
      </c>
      <c r="H10" s="3"/>
      <c r="I10" s="4"/>
    </row>
    <row r="11" ht="15.75" customHeight="1">
      <c r="B11" s="16"/>
      <c r="C11" s="4"/>
      <c r="D11" s="4"/>
      <c r="H11" s="3"/>
      <c r="I11" s="4"/>
    </row>
    <row r="12" ht="15.75" customHeight="1">
      <c r="A12" s="8"/>
      <c r="B12" s="8"/>
      <c r="C12" s="4"/>
      <c r="D12" s="4"/>
      <c r="H12" s="3"/>
      <c r="I12" s="4"/>
    </row>
    <row r="13" ht="15.75" customHeight="1">
      <c r="A13" s="8"/>
      <c r="B13" s="8"/>
      <c r="C13" s="4"/>
      <c r="D13" s="4"/>
      <c r="H13" s="3"/>
      <c r="I13" s="4"/>
    </row>
    <row r="14" ht="15.75" customHeight="1">
      <c r="A14" s="8"/>
      <c r="B14" s="8" t="s">
        <v>31</v>
      </c>
      <c r="C14" s="4"/>
      <c r="D14" s="4"/>
      <c r="H14" s="3"/>
      <c r="I14" s="4"/>
    </row>
    <row r="15" ht="15.75" customHeight="1">
      <c r="A15" s="17"/>
      <c r="B15" s="17" t="s">
        <v>32</v>
      </c>
    </row>
    <row r="16" ht="33.75" customHeight="1">
      <c r="A16" s="18"/>
      <c r="B16" s="19"/>
      <c r="C16" s="20"/>
      <c r="D16" s="20"/>
      <c r="E16" s="20"/>
      <c r="F16" s="20"/>
      <c r="G16" s="20"/>
      <c r="H16" s="21"/>
      <c r="I16" s="20"/>
      <c r="J16" s="22"/>
      <c r="K16" s="23"/>
      <c r="L16" s="23"/>
      <c r="M16" s="24" t="s">
        <v>33</v>
      </c>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row>
    <row r="17" ht="15.75" customHeight="1">
      <c r="A17" s="25"/>
      <c r="B17" s="26" t="s">
        <v>34</v>
      </c>
      <c r="C17" s="27" t="s">
        <v>35</v>
      </c>
      <c r="D17" s="27" t="s">
        <v>36</v>
      </c>
      <c r="E17" s="26" t="s">
        <v>37</v>
      </c>
      <c r="F17" s="26" t="s">
        <v>38</v>
      </c>
      <c r="G17" s="26" t="s">
        <v>39</v>
      </c>
      <c r="H17" s="28" t="s">
        <v>40</v>
      </c>
      <c r="I17" s="28" t="s">
        <v>41</v>
      </c>
      <c r="J17" s="28" t="s">
        <v>42</v>
      </c>
      <c r="M17" s="29" t="s">
        <v>43</v>
      </c>
      <c r="N17" s="29" t="s">
        <v>44</v>
      </c>
      <c r="O17" s="29" t="s">
        <v>45</v>
      </c>
      <c r="P17" s="29" t="s">
        <v>46</v>
      </c>
      <c r="Q17" s="29" t="s">
        <v>47</v>
      </c>
      <c r="R17" s="29" t="s">
        <v>48</v>
      </c>
      <c r="S17" s="29" t="s">
        <v>49</v>
      </c>
      <c r="T17" s="29" t="s">
        <v>50</v>
      </c>
      <c r="U17" s="29" t="s">
        <v>51</v>
      </c>
      <c r="V17" s="29" t="s">
        <v>52</v>
      </c>
      <c r="W17" s="29" t="s">
        <v>53</v>
      </c>
      <c r="X17" s="29" t="s">
        <v>54</v>
      </c>
      <c r="Y17" s="29" t="s">
        <v>55</v>
      </c>
      <c r="Z17" s="29" t="s">
        <v>56</v>
      </c>
      <c r="AA17" s="29" t="s">
        <v>57</v>
      </c>
      <c r="AB17" s="29" t="s">
        <v>58</v>
      </c>
      <c r="AC17" s="29" t="s">
        <v>59</v>
      </c>
    </row>
    <row r="18" ht="15.75" customHeight="1">
      <c r="A18" s="8"/>
      <c r="B18" s="30" t="s">
        <v>43</v>
      </c>
      <c r="C18" s="31" t="s">
        <v>60</v>
      </c>
      <c r="D18" s="31">
        <v>4.0</v>
      </c>
      <c r="E18" s="30">
        <v>10.0</v>
      </c>
      <c r="F18" s="30">
        <v>0.0</v>
      </c>
      <c r="G18" s="30" t="s">
        <v>61</v>
      </c>
      <c r="H18" s="32">
        <v>5.0</v>
      </c>
      <c r="I18" s="31" t="s">
        <v>62</v>
      </c>
      <c r="J18" s="31" t="str">
        <f>IFERROR(__xludf.DUMMYFUNCTION("IF(ISBLANK(I18), """", GOOGLETRANSLATE(I18, ""es"", ""en""))"),"Entity Identification")</f>
        <v>Entity Identification</v>
      </c>
      <c r="M18" s="30">
        <v>0.0</v>
      </c>
      <c r="N18" s="30">
        <v>0.0</v>
      </c>
      <c r="O18" s="30">
        <v>0.0</v>
      </c>
      <c r="P18" s="30">
        <v>0.0</v>
      </c>
      <c r="Q18" s="30">
        <v>0.0</v>
      </c>
      <c r="R18" s="30" t="s">
        <v>63</v>
      </c>
      <c r="S18" s="30">
        <v>1.0</v>
      </c>
      <c r="T18" s="30" t="s">
        <v>64</v>
      </c>
      <c r="U18" s="30" t="s">
        <v>65</v>
      </c>
      <c r="V18" s="30" t="s">
        <v>66</v>
      </c>
      <c r="W18" s="30" t="s">
        <v>67</v>
      </c>
      <c r="X18" s="30" t="s">
        <v>68</v>
      </c>
      <c r="Y18" s="30">
        <v>0.0</v>
      </c>
      <c r="Z18" s="30">
        <v>1.0</v>
      </c>
      <c r="AA18" s="33">
        <v>42157.123611111114</v>
      </c>
      <c r="AB18" s="30">
        <v>1.0</v>
      </c>
      <c r="AC18" s="33">
        <v>42157.123611111114</v>
      </c>
    </row>
    <row r="19" ht="15.75" customHeight="1">
      <c r="A19" s="8"/>
      <c r="B19" s="30" t="s">
        <v>44</v>
      </c>
      <c r="C19" s="31" t="s">
        <v>60</v>
      </c>
      <c r="D19" s="31">
        <v>4.0</v>
      </c>
      <c r="E19" s="30">
        <v>10.0</v>
      </c>
      <c r="F19" s="30">
        <v>0.0</v>
      </c>
      <c r="G19" s="30" t="s">
        <v>61</v>
      </c>
      <c r="H19" s="32">
        <v>1.0</v>
      </c>
      <c r="I19" s="31" t="s">
        <v>69</v>
      </c>
      <c r="J19" s="31" t="str">
        <f>IFERROR(__xludf.DUMMYFUNCTION("IF(ISBLANK(I19), """", GOOGLETRANSLATE(I19, ""es"", ""en""))"),"Executing Unit Code")</f>
        <v>Executing Unit Code</v>
      </c>
      <c r="M19" s="30">
        <v>1.0</v>
      </c>
      <c r="N19" s="30">
        <v>1.0</v>
      </c>
      <c r="O19" s="30">
        <v>1.0</v>
      </c>
      <c r="P19" s="30">
        <v>1.0</v>
      </c>
      <c r="Q19" s="30">
        <v>99.0</v>
      </c>
      <c r="R19" s="30" t="s">
        <v>70</v>
      </c>
      <c r="S19" s="30">
        <v>4.0</v>
      </c>
      <c r="T19" s="30" t="s">
        <v>71</v>
      </c>
      <c r="U19" s="30" t="s">
        <v>72</v>
      </c>
      <c r="V19" s="30" t="s">
        <v>66</v>
      </c>
      <c r="W19" s="30" t="s">
        <v>67</v>
      </c>
      <c r="X19" s="30" t="s">
        <v>68</v>
      </c>
      <c r="Y19" s="30">
        <v>0.0</v>
      </c>
      <c r="Z19" s="30">
        <v>1.0</v>
      </c>
      <c r="AA19" s="33">
        <v>42157.12222222222</v>
      </c>
      <c r="AB19" s="30">
        <v>1.0</v>
      </c>
      <c r="AC19" s="33">
        <v>42157.12222222222</v>
      </c>
    </row>
    <row r="20" ht="15.75" customHeight="1">
      <c r="A20" s="8"/>
      <c r="B20" s="30" t="s">
        <v>45</v>
      </c>
      <c r="C20" s="31" t="s">
        <v>60</v>
      </c>
      <c r="D20" s="31">
        <v>4.0</v>
      </c>
      <c r="E20" s="30">
        <v>10.0</v>
      </c>
      <c r="F20" s="30">
        <v>0.0</v>
      </c>
      <c r="G20" s="30" t="s">
        <v>61</v>
      </c>
      <c r="H20" s="32">
        <v>1.0</v>
      </c>
      <c r="I20" s="31" t="s">
        <v>73</v>
      </c>
      <c r="J20" s="31" t="str">
        <f>IFERROR(__xludf.DUMMYFUNCTION("IF(ISBLANK(I20), """", GOOGLETRANSLATE(I20, ""es"", ""en""))"),"General objective code")</f>
        <v>General objective code</v>
      </c>
      <c r="M20" s="30">
        <v>2.0</v>
      </c>
      <c r="N20" s="30">
        <v>1.0</v>
      </c>
      <c r="O20" s="30">
        <v>1.0</v>
      </c>
      <c r="P20" s="30">
        <v>1.0</v>
      </c>
      <c r="Q20" s="30">
        <v>1.0</v>
      </c>
      <c r="R20" s="30" t="s">
        <v>74</v>
      </c>
      <c r="S20" s="30">
        <v>4.0</v>
      </c>
      <c r="T20" s="30" t="s">
        <v>71</v>
      </c>
      <c r="U20" s="30" t="s">
        <v>75</v>
      </c>
      <c r="V20" s="30" t="s">
        <v>66</v>
      </c>
      <c r="W20" s="30" t="s">
        <v>67</v>
      </c>
      <c r="X20" s="30" t="s">
        <v>68</v>
      </c>
      <c r="Y20" s="30">
        <v>0.0</v>
      </c>
      <c r="Z20" s="30">
        <v>1.0</v>
      </c>
      <c r="AA20" s="33">
        <v>42157.12222222222</v>
      </c>
      <c r="AB20" s="30">
        <v>1.0</v>
      </c>
      <c r="AC20" s="33">
        <v>42157.12222222222</v>
      </c>
    </row>
    <row r="21" ht="15.75" customHeight="1">
      <c r="A21" s="8"/>
      <c r="B21" s="30" t="s">
        <v>46</v>
      </c>
      <c r="C21" s="31" t="s">
        <v>60</v>
      </c>
      <c r="D21" s="31">
        <v>4.0</v>
      </c>
      <c r="E21" s="30">
        <v>10.0</v>
      </c>
      <c r="F21" s="30">
        <v>0.0</v>
      </c>
      <c r="G21" s="30" t="s">
        <v>61</v>
      </c>
      <c r="H21" s="32">
        <v>1.0</v>
      </c>
      <c r="I21" s="31" t="s">
        <v>76</v>
      </c>
      <c r="J21" s="31" t="str">
        <f>IFERROR(__xludf.DUMMYFUNCTION("IF(ISBLANK(I21), """", GOOGLETRANSLATE(I21, ""es"", ""en""))"),"Specific Objective Code")</f>
        <v>Specific Objective Code</v>
      </c>
      <c r="M21" s="30">
        <v>3.0</v>
      </c>
      <c r="N21" s="30">
        <v>1.0</v>
      </c>
      <c r="O21" s="30">
        <v>1.0</v>
      </c>
      <c r="P21" s="30">
        <v>1.0</v>
      </c>
      <c r="Q21" s="30">
        <v>2.0</v>
      </c>
      <c r="R21" s="30" t="s">
        <v>77</v>
      </c>
      <c r="S21" s="30">
        <v>4.0</v>
      </c>
      <c r="T21" s="30" t="s">
        <v>71</v>
      </c>
      <c r="U21" s="30" t="s">
        <v>78</v>
      </c>
      <c r="V21" s="30" t="s">
        <v>66</v>
      </c>
      <c r="W21" s="30" t="s">
        <v>67</v>
      </c>
      <c r="X21" s="30" t="s">
        <v>68</v>
      </c>
      <c r="Y21" s="30">
        <v>0.0</v>
      </c>
      <c r="Z21" s="30">
        <v>1.0</v>
      </c>
      <c r="AA21" s="33">
        <v>42157.12222222222</v>
      </c>
      <c r="AB21" s="30">
        <v>1.0</v>
      </c>
      <c r="AC21" s="33">
        <v>42157.12222222222</v>
      </c>
    </row>
    <row r="22" ht="15.75" customHeight="1">
      <c r="A22" s="8"/>
      <c r="B22" s="30" t="s">
        <v>47</v>
      </c>
      <c r="C22" s="31" t="s">
        <v>60</v>
      </c>
      <c r="D22" s="31">
        <v>4.0</v>
      </c>
      <c r="E22" s="30">
        <v>10.0</v>
      </c>
      <c r="F22" s="30">
        <v>0.0</v>
      </c>
      <c r="G22" s="30" t="s">
        <v>61</v>
      </c>
      <c r="H22" s="32">
        <v>4.0</v>
      </c>
      <c r="I22" s="31" t="s">
        <v>79</v>
      </c>
      <c r="J22" s="31" t="str">
        <f>IFERROR(__xludf.DUMMYFUNCTION("IF(ISBLANK(I22), """", GOOGLETRANSLATE(I22, ""es"", ""en""))"),"Line Code ")</f>
        <v>Line Code </v>
      </c>
      <c r="M22" s="30">
        <v>4.0</v>
      </c>
      <c r="N22" s="30">
        <v>1.0</v>
      </c>
      <c r="O22" s="30">
        <v>1.0</v>
      </c>
      <c r="P22" s="30">
        <v>1.0</v>
      </c>
      <c r="Q22" s="30">
        <v>3.0</v>
      </c>
      <c r="R22" s="30" t="s">
        <v>80</v>
      </c>
      <c r="S22" s="30">
        <v>4.0</v>
      </c>
      <c r="T22" s="30" t="s">
        <v>71</v>
      </c>
      <c r="U22" s="30" t="s">
        <v>81</v>
      </c>
      <c r="V22" s="30" t="s">
        <v>66</v>
      </c>
      <c r="W22" s="30" t="s">
        <v>67</v>
      </c>
      <c r="X22" s="30" t="s">
        <v>68</v>
      </c>
      <c r="Y22" s="30">
        <v>0.0</v>
      </c>
      <c r="Z22" s="30">
        <v>1.0</v>
      </c>
      <c r="AA22" s="33">
        <v>42157.12222222222</v>
      </c>
      <c r="AB22" s="30">
        <v>1.0</v>
      </c>
      <c r="AC22" s="33">
        <v>42157.12222222222</v>
      </c>
    </row>
    <row r="23" ht="15.75" customHeight="1">
      <c r="A23" s="8"/>
      <c r="B23" s="30" t="s">
        <v>48</v>
      </c>
      <c r="C23" s="31" t="s">
        <v>82</v>
      </c>
      <c r="D23" s="31">
        <v>21.0</v>
      </c>
      <c r="E23" s="30"/>
      <c r="F23" s="30"/>
      <c r="G23" s="30" t="s">
        <v>61</v>
      </c>
      <c r="H23" s="32" t="s">
        <v>83</v>
      </c>
      <c r="I23" s="31" t="s">
        <v>84</v>
      </c>
      <c r="J23" s="31" t="str">
        <f>IFERROR(__xludf.DUMMYFUNCTION("IF(ISBLANK(I23), """", GOOGLETRANSLATE(I23, ""es"", ""en""))"),"Entity Code ")</f>
        <v>Entity Code </v>
      </c>
      <c r="M23" s="30">
        <v>5.0</v>
      </c>
      <c r="N23" s="30">
        <v>1.0</v>
      </c>
      <c r="O23" s="30">
        <v>1.0</v>
      </c>
      <c r="P23" s="30">
        <v>1.0</v>
      </c>
      <c r="Q23" s="30">
        <v>4.0</v>
      </c>
      <c r="R23" s="30" t="s">
        <v>83</v>
      </c>
      <c r="S23" s="30">
        <v>4.0</v>
      </c>
      <c r="T23" s="30" t="s">
        <v>71</v>
      </c>
      <c r="U23" s="30" t="s">
        <v>85</v>
      </c>
      <c r="V23" s="30" t="s">
        <v>66</v>
      </c>
      <c r="W23" s="30" t="s">
        <v>67</v>
      </c>
      <c r="X23" s="30" t="s">
        <v>68</v>
      </c>
      <c r="Y23" s="30">
        <v>0.0</v>
      </c>
      <c r="Z23" s="30">
        <v>1.0</v>
      </c>
      <c r="AA23" s="33">
        <v>42157.12222222222</v>
      </c>
      <c r="AB23" s="30">
        <v>1.0</v>
      </c>
      <c r="AC23" s="33">
        <v>42157.12222222222</v>
      </c>
    </row>
    <row r="24" ht="15.75" customHeight="1">
      <c r="A24" s="8"/>
      <c r="B24" s="30" t="s">
        <v>49</v>
      </c>
      <c r="C24" s="31" t="s">
        <v>60</v>
      </c>
      <c r="D24" s="31">
        <v>4.0</v>
      </c>
      <c r="E24" s="30">
        <v>10.0</v>
      </c>
      <c r="F24" s="30">
        <v>0.0</v>
      </c>
      <c r="G24" s="30" t="s">
        <v>61</v>
      </c>
      <c r="H24" s="32">
        <v>4.0</v>
      </c>
      <c r="I24" s="31" t="s">
        <v>86</v>
      </c>
      <c r="J24" s="31" t="str">
        <f>IFERROR(__xludf.DUMMYFUNCTION("IF(ISBLANK(I24), """", GOOGLETRANSLATE(I24, ""es"", ""en""))"),"Level Code ")</f>
        <v>Level Code </v>
      </c>
      <c r="M24" s="30">
        <v>6.0</v>
      </c>
      <c r="N24" s="30">
        <v>1.0</v>
      </c>
      <c r="O24" s="30">
        <v>1.0</v>
      </c>
      <c r="P24" s="30">
        <v>1.0</v>
      </c>
      <c r="Q24" s="30">
        <v>5.0</v>
      </c>
      <c r="R24" s="30" t="s">
        <v>87</v>
      </c>
      <c r="S24" s="30">
        <v>4.0</v>
      </c>
      <c r="T24" s="30" t="s">
        <v>71</v>
      </c>
      <c r="U24" s="30" t="s">
        <v>88</v>
      </c>
      <c r="V24" s="30" t="s">
        <v>66</v>
      </c>
      <c r="W24" s="30" t="s">
        <v>67</v>
      </c>
      <c r="X24" s="30" t="s">
        <v>68</v>
      </c>
      <c r="Y24" s="30">
        <v>0.0</v>
      </c>
      <c r="Z24" s="30">
        <v>1.0</v>
      </c>
      <c r="AA24" s="33">
        <v>42157.12222222222</v>
      </c>
      <c r="AB24" s="30">
        <v>1.0</v>
      </c>
      <c r="AC24" s="33">
        <v>42157.12222222222</v>
      </c>
    </row>
    <row r="25" ht="15.75" customHeight="1">
      <c r="A25" s="8"/>
      <c r="B25" s="30" t="s">
        <v>50</v>
      </c>
      <c r="C25" s="31" t="s">
        <v>82</v>
      </c>
      <c r="D25" s="31">
        <v>60.0</v>
      </c>
      <c r="E25" s="30"/>
      <c r="F25" s="30"/>
      <c r="G25" s="30" t="s">
        <v>61</v>
      </c>
      <c r="H25" s="32" t="s">
        <v>71</v>
      </c>
      <c r="I25" s="31" t="s">
        <v>89</v>
      </c>
      <c r="J25" s="31" t="str">
        <f>IFERROR(__xludf.DUMMYFUNCTION("IF(ISBLANK(I25), """", GOOGLETRANSLATE(I25, ""es"", ""en""))"),"Text Level")</f>
        <v>Text Level</v>
      </c>
      <c r="M25" s="30">
        <v>7.0</v>
      </c>
      <c r="N25" s="30">
        <v>1.0</v>
      </c>
      <c r="O25" s="30">
        <v>1.0</v>
      </c>
      <c r="P25" s="30">
        <v>1.0</v>
      </c>
      <c r="Q25" s="30">
        <v>6.0</v>
      </c>
      <c r="R25" s="30" t="s">
        <v>90</v>
      </c>
      <c r="S25" s="30">
        <v>4.0</v>
      </c>
      <c r="T25" s="30" t="s">
        <v>71</v>
      </c>
      <c r="U25" s="30" t="s">
        <v>91</v>
      </c>
      <c r="V25" s="30" t="s">
        <v>66</v>
      </c>
      <c r="W25" s="30" t="s">
        <v>67</v>
      </c>
      <c r="X25" s="30" t="s">
        <v>68</v>
      </c>
      <c r="Y25" s="30">
        <v>0.0</v>
      </c>
      <c r="Z25" s="30">
        <v>1.0</v>
      </c>
      <c r="AA25" s="33">
        <v>42157.12222222222</v>
      </c>
      <c r="AB25" s="30">
        <v>1.0</v>
      </c>
      <c r="AC25" s="33">
        <v>42157.12222222222</v>
      </c>
    </row>
    <row r="26" ht="15.75" customHeight="1">
      <c r="A26" s="8"/>
      <c r="B26" s="30" t="s">
        <v>51</v>
      </c>
      <c r="C26" s="31" t="s">
        <v>82</v>
      </c>
      <c r="D26" s="31">
        <v>2048.0</v>
      </c>
      <c r="E26" s="30"/>
      <c r="F26" s="30"/>
      <c r="G26" s="30" t="s">
        <v>61</v>
      </c>
      <c r="H26" s="32" t="s">
        <v>85</v>
      </c>
      <c r="I26" s="31" t="s">
        <v>92</v>
      </c>
      <c r="J26" s="31" t="str">
        <f>IFERROR(__xludf.DUMMYFUNCTION("IF(ISBLANK(I26), """", GOOGLETRANSLATE(I26, ""es"", ""en""))"),"Entity Description")</f>
        <v>Entity Description</v>
      </c>
      <c r="M26" s="30">
        <v>8.0</v>
      </c>
      <c r="N26" s="30">
        <v>1.0</v>
      </c>
      <c r="O26" s="30">
        <v>1.0</v>
      </c>
      <c r="P26" s="30">
        <v>1.0</v>
      </c>
      <c r="Q26" s="30">
        <v>7.0</v>
      </c>
      <c r="R26" s="30" t="s">
        <v>93</v>
      </c>
      <c r="S26" s="30">
        <v>4.0</v>
      </c>
      <c r="T26" s="30" t="s">
        <v>71</v>
      </c>
      <c r="U26" s="30" t="s">
        <v>94</v>
      </c>
      <c r="V26" s="30" t="s">
        <v>66</v>
      </c>
      <c r="W26" s="30" t="s">
        <v>67</v>
      </c>
      <c r="X26" s="30" t="s">
        <v>68</v>
      </c>
      <c r="Y26" s="30">
        <v>0.0</v>
      </c>
      <c r="Z26" s="30">
        <v>1.0</v>
      </c>
      <c r="AA26" s="33">
        <v>42157.12222222222</v>
      </c>
      <c r="AB26" s="30">
        <v>1.0</v>
      </c>
      <c r="AC26" s="33">
        <v>42157.12222222222</v>
      </c>
    </row>
    <row r="27" ht="15.75" customHeight="1">
      <c r="A27" s="8"/>
      <c r="B27" s="30" t="s">
        <v>52</v>
      </c>
      <c r="C27" s="31" t="s">
        <v>82</v>
      </c>
      <c r="D27" s="31">
        <v>1.0</v>
      </c>
      <c r="E27" s="30"/>
      <c r="F27" s="30"/>
      <c r="G27" s="30" t="s">
        <v>61</v>
      </c>
      <c r="H27" s="32" t="s">
        <v>66</v>
      </c>
      <c r="I27" s="31" t="s">
        <v>95</v>
      </c>
      <c r="J27" s="31" t="str">
        <f>IFERROR(__xludf.DUMMYFUNCTION("IF(ISBLANK(I27), """", GOOGLETRANSLATE(I27, ""es"", ""en""))"),"Active Registration Indicator Code (S) is YES")</f>
        <v>Active Registration Indicator Code (S) is YES</v>
      </c>
      <c r="M27" s="30">
        <v>9.0</v>
      </c>
      <c r="N27" s="30">
        <v>1.0</v>
      </c>
      <c r="O27" s="30">
        <v>1.0</v>
      </c>
      <c r="P27" s="30">
        <v>1.0</v>
      </c>
      <c r="Q27" s="30">
        <v>8.0</v>
      </c>
      <c r="R27" s="30" t="s">
        <v>96</v>
      </c>
      <c r="S27" s="30">
        <v>4.0</v>
      </c>
      <c r="T27" s="30" t="s">
        <v>71</v>
      </c>
      <c r="U27" s="30" t="s">
        <v>97</v>
      </c>
      <c r="V27" s="30" t="s">
        <v>66</v>
      </c>
      <c r="W27" s="30" t="s">
        <v>67</v>
      </c>
      <c r="X27" s="30" t="s">
        <v>68</v>
      </c>
      <c r="Y27" s="30">
        <v>0.0</v>
      </c>
      <c r="Z27" s="30">
        <v>1.0</v>
      </c>
      <c r="AA27" s="33">
        <v>42157.12222222222</v>
      </c>
      <c r="AB27" s="30">
        <v>1.0</v>
      </c>
      <c r="AC27" s="33">
        <v>42157.12222222222</v>
      </c>
    </row>
    <row r="28" ht="15.75" customHeight="1">
      <c r="A28" s="8"/>
      <c r="B28" s="30" t="s">
        <v>53</v>
      </c>
      <c r="C28" s="31" t="s">
        <v>82</v>
      </c>
      <c r="D28" s="31">
        <v>13.0</v>
      </c>
      <c r="E28" s="30"/>
      <c r="F28" s="30"/>
      <c r="G28" s="30" t="s">
        <v>61</v>
      </c>
      <c r="H28" s="32" t="s">
        <v>67</v>
      </c>
      <c r="I28" s="31" t="s">
        <v>98</v>
      </c>
      <c r="J28" s="31" t="str">
        <f>IFERROR(__xludf.DUMMYFUNCTION("IF(ISBLANK(I28), """", GOOGLETRANSLATE(I28, ""es"", ""en""))"),"Active Record Indicator Text (YES) is YES")</f>
        <v>Active Record Indicator Text (YES) is YES</v>
      </c>
    </row>
    <row r="29" ht="15.75" customHeight="1">
      <c r="A29" s="8"/>
      <c r="B29" s="30" t="s">
        <v>54</v>
      </c>
      <c r="C29" s="31" t="s">
        <v>82</v>
      </c>
      <c r="D29" s="31">
        <v>32.0</v>
      </c>
      <c r="E29" s="30"/>
      <c r="F29" s="30"/>
      <c r="G29" s="30" t="s">
        <v>61</v>
      </c>
      <c r="H29" s="32" t="s">
        <v>68</v>
      </c>
      <c r="I29" s="31" t="s">
        <v>99</v>
      </c>
      <c r="J29" s="31" t="str">
        <f>IFERROR(__xludf.DUMMYFUNCTION("IF(ISBLANK(I29), """", GOOGLETRANSLATE(I29, ""es"", ""en""))"),"Registration status")</f>
        <v>Registration status</v>
      </c>
    </row>
    <row r="30" ht="15.75" customHeight="1">
      <c r="A30" s="8"/>
      <c r="B30" s="30" t="s">
        <v>55</v>
      </c>
      <c r="C30" s="31" t="s">
        <v>60</v>
      </c>
      <c r="D30" s="31">
        <v>4.0</v>
      </c>
      <c r="E30" s="30">
        <v>10.0</v>
      </c>
      <c r="F30" s="30">
        <v>0.0</v>
      </c>
      <c r="G30" s="30" t="s">
        <v>100</v>
      </c>
      <c r="H30" s="32">
        <v>0.0</v>
      </c>
      <c r="I30" s="31"/>
      <c r="J30" s="31" t="str">
        <f>IFERROR(__xludf.DUMMYFUNCTION("IF(ISBLANK(I30), """", GOOGLETRANSLATE(I30, ""es"", ""en""))"),"")</f>
        <v/>
      </c>
    </row>
    <row r="31" ht="15.75" customHeight="1">
      <c r="A31" s="8"/>
      <c r="B31" s="30" t="s">
        <v>56</v>
      </c>
      <c r="C31" s="31" t="s">
        <v>60</v>
      </c>
      <c r="D31" s="31">
        <v>4.0</v>
      </c>
      <c r="E31" s="30">
        <v>10.0</v>
      </c>
      <c r="F31" s="30">
        <v>0.0</v>
      </c>
      <c r="G31" s="30" t="s">
        <v>61</v>
      </c>
      <c r="H31" s="32">
        <v>1.0</v>
      </c>
      <c r="I31" s="31" t="s">
        <v>101</v>
      </c>
      <c r="J31" s="31" t="str">
        <f>IFERROR(__xludf.DUMMYFUNCTION("IF(ISBLANK(I31), """", GOOGLETRANSLATE(I31, ""es"", ""en""))"),"User who inserted the record, Fields used by the institution for internal use")</f>
        <v>User who inserted the record, Fields used by the institution for internal use</v>
      </c>
    </row>
    <row r="32" ht="15.75" customHeight="1">
      <c r="A32" s="8"/>
      <c r="B32" s="30" t="s">
        <v>57</v>
      </c>
      <c r="C32" s="31" t="s">
        <v>102</v>
      </c>
      <c r="D32" s="31">
        <v>4.0</v>
      </c>
      <c r="E32" s="30"/>
      <c r="F32" s="30"/>
      <c r="G32" s="30" t="s">
        <v>61</v>
      </c>
      <c r="H32" s="32">
        <v>42157.12222222222</v>
      </c>
      <c r="I32" s="31" t="s">
        <v>103</v>
      </c>
      <c r="J32" s="31" t="str">
        <f>IFERROR(__xludf.DUMMYFUNCTION("IF(ISBLANK(I32), """", GOOGLETRANSLATE(I32, ""es"", ""en""))"),"Insertion date, Fields used by the institution for internal use")</f>
        <v>Insertion date, Fields used by the institution for internal use</v>
      </c>
    </row>
    <row r="33" ht="15.75" customHeight="1">
      <c r="A33" s="8"/>
      <c r="B33" s="30" t="s">
        <v>58</v>
      </c>
      <c r="C33" s="31" t="s">
        <v>60</v>
      </c>
      <c r="D33" s="31">
        <v>4.0</v>
      </c>
      <c r="E33" s="30">
        <v>10.0</v>
      </c>
      <c r="F33" s="30">
        <v>0.0</v>
      </c>
      <c r="G33" s="30" t="s">
        <v>100</v>
      </c>
      <c r="H33" s="32">
        <v>1.0</v>
      </c>
      <c r="I33" s="31" t="s">
        <v>104</v>
      </c>
      <c r="J33" s="31" t="str">
        <f>IFERROR(__xludf.DUMMYFUNCTION("IF(ISBLANK(I33), """", GOOGLETRANSLATE(I33, ""es"", ""en""))"),"Update User Callsign")</f>
        <v>Update User Callsign</v>
      </c>
    </row>
    <row r="34" ht="15.75" customHeight="1">
      <c r="A34" s="8"/>
      <c r="B34" s="30" t="s">
        <v>59</v>
      </c>
      <c r="C34" s="31" t="s">
        <v>102</v>
      </c>
      <c r="D34" s="31">
        <v>4.0</v>
      </c>
      <c r="E34" s="30"/>
      <c r="F34" s="30"/>
      <c r="G34" s="30" t="s">
        <v>100</v>
      </c>
      <c r="H34" s="32">
        <v>42157.12222222222</v>
      </c>
      <c r="I34" s="31" t="s">
        <v>105</v>
      </c>
      <c r="J34" s="31" t="str">
        <f>IFERROR(__xludf.DUMMYFUNCTION("IF(ISBLANK(I34), """", GOOGLETRANSLATE(I34, ""es"", ""en""))"),"Update date")</f>
        <v>Update date</v>
      </c>
    </row>
    <row r="35" ht="15.75" customHeight="1">
      <c r="C35" s="4"/>
      <c r="D35" s="4"/>
      <c r="H35" s="3"/>
      <c r="I35" s="4"/>
    </row>
    <row r="36" ht="15.75" customHeight="1">
      <c r="C36" s="4"/>
      <c r="D36" s="4"/>
      <c r="H36" s="3"/>
      <c r="I36" s="4"/>
    </row>
    <row r="37" ht="15.75" customHeight="1">
      <c r="C37" s="4"/>
      <c r="D37" s="4"/>
      <c r="H37" s="3"/>
      <c r="I37" s="4"/>
    </row>
    <row r="38" ht="15.75" customHeight="1">
      <c r="C38" s="4"/>
      <c r="D38" s="4"/>
      <c r="H38" s="3"/>
      <c r="I38" s="4"/>
    </row>
    <row r="39" ht="15.75" customHeight="1">
      <c r="C39" s="4"/>
      <c r="D39" s="4"/>
      <c r="H39" s="3"/>
      <c r="I39" s="4"/>
    </row>
    <row r="40" ht="15.75" customHeight="1">
      <c r="A40" s="17"/>
      <c r="B40" s="17" t="s">
        <v>106</v>
      </c>
    </row>
    <row r="41" ht="33.75" customHeight="1">
      <c r="A41" s="34"/>
      <c r="B41" s="35" t="s">
        <v>107</v>
      </c>
      <c r="C41" s="20"/>
      <c r="D41" s="20"/>
      <c r="E41" s="20"/>
      <c r="F41" s="20"/>
      <c r="G41" s="22"/>
      <c r="H41" s="35" t="str">
        <f>IFERROR(__xludf.DUMMYFUNCTION("IF(ISBLANK(B41), """", GOOGLETRANSLATE(B41, ""es"", ""en""))"),"Information about government institutions and their associated characteristics or attributes.")</f>
        <v>Information about government institutions and their associated characteristics or attributes.</v>
      </c>
      <c r="I41" s="20"/>
      <c r="J41" s="22"/>
      <c r="K41" s="23"/>
      <c r="L41" s="23"/>
      <c r="M41" s="24" t="s">
        <v>33</v>
      </c>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row>
    <row r="42" ht="15.75" customHeight="1">
      <c r="A42" s="25"/>
      <c r="B42" s="26" t="s">
        <v>34</v>
      </c>
      <c r="C42" s="27" t="s">
        <v>35</v>
      </c>
      <c r="D42" s="27" t="s">
        <v>36</v>
      </c>
      <c r="E42" s="26" t="s">
        <v>37</v>
      </c>
      <c r="F42" s="26" t="s">
        <v>38</v>
      </c>
      <c r="G42" s="26" t="s">
        <v>39</v>
      </c>
      <c r="H42" s="28" t="s">
        <v>40</v>
      </c>
      <c r="I42" s="28" t="s">
        <v>41</v>
      </c>
      <c r="J42" s="28" t="s">
        <v>42</v>
      </c>
      <c r="M42" s="29" t="s">
        <v>108</v>
      </c>
      <c r="N42" s="29" t="s">
        <v>109</v>
      </c>
      <c r="O42" s="29" t="s">
        <v>110</v>
      </c>
      <c r="P42" s="29" t="s">
        <v>111</v>
      </c>
      <c r="Q42" s="29" t="s">
        <v>112</v>
      </c>
      <c r="R42" s="29" t="s">
        <v>113</v>
      </c>
      <c r="S42" s="29" t="s">
        <v>114</v>
      </c>
      <c r="T42" s="29" t="s">
        <v>52</v>
      </c>
      <c r="U42" s="29" t="s">
        <v>53</v>
      </c>
      <c r="V42" s="29" t="s">
        <v>115</v>
      </c>
      <c r="W42" s="29" t="s">
        <v>116</v>
      </c>
      <c r="X42" s="29" t="s">
        <v>117</v>
      </c>
      <c r="Y42" s="29" t="s">
        <v>54</v>
      </c>
      <c r="Z42" s="29" t="s">
        <v>55</v>
      </c>
      <c r="AA42" s="29" t="s">
        <v>56</v>
      </c>
      <c r="AB42" s="29" t="s">
        <v>57</v>
      </c>
      <c r="AC42" s="29" t="s">
        <v>58</v>
      </c>
      <c r="AD42" s="29" t="s">
        <v>59</v>
      </c>
    </row>
    <row r="43" ht="15.75" customHeight="1">
      <c r="A43" s="8"/>
      <c r="B43" s="30" t="s">
        <v>108</v>
      </c>
      <c r="C43" s="31" t="s">
        <v>60</v>
      </c>
      <c r="D43" s="31">
        <v>4.0</v>
      </c>
      <c r="E43" s="30">
        <v>10.0</v>
      </c>
      <c r="F43" s="30">
        <v>0.0</v>
      </c>
      <c r="G43" s="31" t="s">
        <v>61</v>
      </c>
      <c r="H43" s="32">
        <v>20.0</v>
      </c>
      <c r="I43" s="31" t="s">
        <v>118</v>
      </c>
      <c r="J43" s="31" t="str">
        <f>IFERROR(__xludf.DUMMYFUNCTION("IF(ISBLANK(I43), """", GOOGLETRANSLATE(I43, ""es"", ""en""))"),"State Institution Identifier")</f>
        <v>State Institution Identifier</v>
      </c>
      <c r="M43" s="30">
        <v>3.0</v>
      </c>
      <c r="N43" s="30" t="s">
        <v>119</v>
      </c>
      <c r="O43" s="30" t="s">
        <v>120</v>
      </c>
      <c r="P43" s="30">
        <v>2.0</v>
      </c>
      <c r="Q43" s="30" t="s">
        <v>121</v>
      </c>
      <c r="R43" s="30" t="s">
        <v>66</v>
      </c>
      <c r="S43" s="30" t="s">
        <v>122</v>
      </c>
      <c r="T43" s="30" t="s">
        <v>66</v>
      </c>
      <c r="U43" s="30" t="s">
        <v>67</v>
      </c>
      <c r="V43" s="30">
        <v>201.0</v>
      </c>
      <c r="W43" s="30">
        <v>2.0</v>
      </c>
      <c r="X43" s="30">
        <v>1.0</v>
      </c>
      <c r="Y43" s="30" t="s">
        <v>68</v>
      </c>
      <c r="Z43" s="30">
        <v>0.0</v>
      </c>
      <c r="AA43" s="30">
        <v>1.0</v>
      </c>
      <c r="AB43" s="33">
        <v>42489.08819444444</v>
      </c>
      <c r="AC43" s="30">
        <v>22.0</v>
      </c>
      <c r="AD43" s="33">
        <v>42489.08819444444</v>
      </c>
    </row>
    <row r="44" ht="15.75" customHeight="1">
      <c r="A44" s="8"/>
      <c r="B44" s="30" t="s">
        <v>109</v>
      </c>
      <c r="C44" s="31" t="s">
        <v>82</v>
      </c>
      <c r="D44" s="31">
        <v>120.0</v>
      </c>
      <c r="E44" s="30"/>
      <c r="F44" s="30"/>
      <c r="G44" s="31" t="s">
        <v>100</v>
      </c>
      <c r="H44" s="36" t="s">
        <v>123</v>
      </c>
      <c r="I44" s="31" t="s">
        <v>124</v>
      </c>
      <c r="J44" s="31" t="str">
        <f>IFERROR(__xludf.DUMMYFUNCTION("IF(ISBLANK(I44), """", GOOGLETRANSLATE(I44, ""es"", ""en""))"),"Description of the state institution. An institution is understood as any type of social organization, whether public or private, created with the purpose of fulfilling an objective within the community and whose operation is oriented to norms and structu"&amp;"res within which each member It has a mission or work to fulfill to achieve the proposed goals in a general way.")</f>
        <v>Description of the state institution. An institution is understood as any type of social organization, whether public or private, created with the purpose of fulfilling an objective within the community and whose operation is oriented to norms and structures within which each member It has a mission or work to fulfill to achieve the proposed goals in a general way.</v>
      </c>
      <c r="M44" s="30">
        <v>14.0</v>
      </c>
      <c r="N44" s="30" t="s">
        <v>125</v>
      </c>
      <c r="O44" s="30" t="s">
        <v>126</v>
      </c>
      <c r="P44" s="30">
        <v>3.0</v>
      </c>
      <c r="Q44" s="30" t="s">
        <v>127</v>
      </c>
      <c r="R44" s="30" t="s">
        <v>66</v>
      </c>
      <c r="S44" s="30" t="s">
        <v>122</v>
      </c>
      <c r="T44" s="30" t="s">
        <v>66</v>
      </c>
      <c r="U44" s="30" t="s">
        <v>67</v>
      </c>
      <c r="V44" s="30">
        <v>202.0</v>
      </c>
      <c r="W44" s="30">
        <v>1.0</v>
      </c>
      <c r="X44" s="30">
        <v>1.0</v>
      </c>
      <c r="Y44" s="30" t="s">
        <v>68</v>
      </c>
      <c r="Z44" s="30">
        <v>0.0</v>
      </c>
      <c r="AA44" s="30">
        <v>1.0</v>
      </c>
      <c r="AB44" s="33">
        <v>42489.08819444444</v>
      </c>
      <c r="AC44" s="30">
        <v>43.0</v>
      </c>
      <c r="AD44" s="33">
        <v>43138.625</v>
      </c>
    </row>
    <row r="45" ht="15.75" customHeight="1">
      <c r="A45" s="8"/>
      <c r="B45" s="30" t="s">
        <v>110</v>
      </c>
      <c r="C45" s="31" t="s">
        <v>82</v>
      </c>
      <c r="D45" s="31">
        <v>30.0</v>
      </c>
      <c r="E45" s="30"/>
      <c r="F45" s="30"/>
      <c r="G45" s="31" t="s">
        <v>100</v>
      </c>
      <c r="H45" s="36" t="s">
        <v>128</v>
      </c>
      <c r="I45" s="31" t="s">
        <v>129</v>
      </c>
      <c r="J45" s="31" t="str">
        <f>IFERROR(__xludf.DUMMYFUNCTION("IF(ISBLANK(I45), """", GOOGLETRANSLATE(I45, ""es"", ""en""))"),"Acronyms of the state institution")</f>
        <v>Acronyms of the state institution</v>
      </c>
      <c r="M45" s="30">
        <v>20.0</v>
      </c>
      <c r="N45" s="30" t="s">
        <v>123</v>
      </c>
      <c r="O45" s="30" t="s">
        <v>128</v>
      </c>
      <c r="P45" s="30">
        <v>3.0</v>
      </c>
      <c r="Q45" s="30" t="s">
        <v>127</v>
      </c>
      <c r="R45" s="30" t="s">
        <v>66</v>
      </c>
      <c r="S45" s="30" t="s">
        <v>122</v>
      </c>
      <c r="T45" s="30" t="s">
        <v>66</v>
      </c>
      <c r="U45" s="30" t="s">
        <v>67</v>
      </c>
      <c r="V45" s="30">
        <v>203.0</v>
      </c>
      <c r="W45" s="30">
        <v>1.0</v>
      </c>
      <c r="X45" s="30">
        <v>1.0</v>
      </c>
      <c r="Y45" s="30" t="s">
        <v>68</v>
      </c>
      <c r="Z45" s="30">
        <v>0.0</v>
      </c>
      <c r="AA45" s="30">
        <v>1.0</v>
      </c>
      <c r="AB45" s="33">
        <v>42489.08819444444</v>
      </c>
      <c r="AC45" s="30">
        <v>1.0</v>
      </c>
      <c r="AD45" s="33">
        <v>42489.08819444444</v>
      </c>
    </row>
    <row r="46" ht="15.75" customHeight="1">
      <c r="A46" s="8"/>
      <c r="B46" s="30" t="s">
        <v>111</v>
      </c>
      <c r="C46" s="31" t="s">
        <v>60</v>
      </c>
      <c r="D46" s="31">
        <v>4.0</v>
      </c>
      <c r="E46" s="30">
        <v>10.0</v>
      </c>
      <c r="F46" s="30">
        <v>0.0</v>
      </c>
      <c r="G46" s="31" t="s">
        <v>61</v>
      </c>
      <c r="H46" s="36">
        <v>3.0</v>
      </c>
      <c r="I46" s="31" t="s">
        <v>130</v>
      </c>
      <c r="J46" s="31" t="str">
        <f>IFERROR(__xludf.DUMMYFUNCTION("IF(ISBLANK(I46), """", GOOGLETRANSLATE(I46, ""es"", ""en""))"),"Division identifier")</f>
        <v>Division identifier</v>
      </c>
      <c r="M46" s="30">
        <v>25.0</v>
      </c>
      <c r="N46" s="30" t="s">
        <v>131</v>
      </c>
      <c r="O46" s="30" t="s">
        <v>132</v>
      </c>
      <c r="P46" s="30">
        <v>3.0</v>
      </c>
      <c r="Q46" s="30" t="s">
        <v>127</v>
      </c>
      <c r="R46" s="30" t="s">
        <v>66</v>
      </c>
      <c r="S46" s="30" t="s">
        <v>122</v>
      </c>
      <c r="T46" s="30" t="s">
        <v>66</v>
      </c>
      <c r="U46" s="30" t="s">
        <v>67</v>
      </c>
      <c r="V46" s="30">
        <v>205.0</v>
      </c>
      <c r="W46" s="30">
        <v>1.0</v>
      </c>
      <c r="X46" s="30">
        <v>1.0</v>
      </c>
      <c r="Y46" s="30" t="s">
        <v>68</v>
      </c>
      <c r="Z46" s="30">
        <v>0.0</v>
      </c>
      <c r="AA46" s="30">
        <v>1.0</v>
      </c>
      <c r="AB46" s="33">
        <v>42489.08819444444</v>
      </c>
      <c r="AC46" s="30">
        <v>1.0</v>
      </c>
      <c r="AD46" s="33">
        <v>42489.08819444444</v>
      </c>
    </row>
    <row r="47" ht="15.75" customHeight="1">
      <c r="A47" s="8"/>
      <c r="B47" s="30" t="s">
        <v>112</v>
      </c>
      <c r="C47" s="31" t="s">
        <v>82</v>
      </c>
      <c r="D47" s="31">
        <v>120.0</v>
      </c>
      <c r="E47" s="30"/>
      <c r="F47" s="30"/>
      <c r="G47" s="31" t="s">
        <v>100</v>
      </c>
      <c r="H47" s="36" t="s">
        <v>127</v>
      </c>
      <c r="I47" s="31" t="s">
        <v>133</v>
      </c>
      <c r="J47" s="31" t="str">
        <f>IFERROR(__xludf.DUMMYFUNCTION("IF(ISBLANK(I47), """", GOOGLETRANSLATE(I47, ""es"", ""en""))"),"Division of the institution")</f>
        <v>Division of the institution</v>
      </c>
      <c r="M47" s="30">
        <v>26.0</v>
      </c>
      <c r="N47" s="30" t="s">
        <v>134</v>
      </c>
      <c r="O47" s="30" t="s">
        <v>135</v>
      </c>
      <c r="P47" s="30">
        <v>4.0</v>
      </c>
      <c r="Q47" s="30" t="s">
        <v>136</v>
      </c>
      <c r="R47" s="30" t="s">
        <v>66</v>
      </c>
      <c r="S47" s="30" t="s">
        <v>122</v>
      </c>
      <c r="T47" s="30" t="s">
        <v>66</v>
      </c>
      <c r="U47" s="30" t="s">
        <v>67</v>
      </c>
      <c r="V47" s="30">
        <v>205.0</v>
      </c>
      <c r="W47" s="30">
        <v>1.0</v>
      </c>
      <c r="X47" s="30">
        <v>2.0</v>
      </c>
      <c r="Y47" s="30" t="s">
        <v>68</v>
      </c>
      <c r="Z47" s="30">
        <v>0.0</v>
      </c>
      <c r="AA47" s="30">
        <v>1.0</v>
      </c>
      <c r="AB47" s="33">
        <v>42489.08819444444</v>
      </c>
      <c r="AC47" s="30">
        <v>1.0</v>
      </c>
      <c r="AD47" s="33">
        <v>42489.08819444444</v>
      </c>
    </row>
    <row r="48" ht="15.75" customHeight="1">
      <c r="A48" s="8"/>
      <c r="B48" s="30" t="s">
        <v>113</v>
      </c>
      <c r="C48" s="31" t="s">
        <v>82</v>
      </c>
      <c r="D48" s="31">
        <v>1.0</v>
      </c>
      <c r="E48" s="30"/>
      <c r="F48" s="30"/>
      <c r="G48" s="31" t="s">
        <v>100</v>
      </c>
      <c r="H48" s="36" t="s">
        <v>66</v>
      </c>
      <c r="I48" s="31" t="s">
        <v>137</v>
      </c>
      <c r="J48" s="31" t="str">
        <f>IFERROR(__xludf.DUMMYFUNCTION("IF(ISBLANK(I48), """", GOOGLETRANSLATE(I48, ""es"", ""en""))"),"Type of institution code")</f>
        <v>Type of institution code</v>
      </c>
      <c r="M48" s="30">
        <v>29.0</v>
      </c>
      <c r="N48" s="30" t="s">
        <v>138</v>
      </c>
      <c r="O48" s="30" t="s">
        <v>139</v>
      </c>
      <c r="P48" s="30">
        <v>2.0</v>
      </c>
      <c r="Q48" s="30" t="s">
        <v>121</v>
      </c>
      <c r="R48" s="30" t="s">
        <v>66</v>
      </c>
      <c r="S48" s="30" t="s">
        <v>122</v>
      </c>
      <c r="T48" s="30" t="s">
        <v>66</v>
      </c>
      <c r="U48" s="30" t="s">
        <v>67</v>
      </c>
      <c r="V48" s="30">
        <v>206.0</v>
      </c>
      <c r="W48" s="30">
        <v>1.0</v>
      </c>
      <c r="X48" s="30">
        <v>1.0</v>
      </c>
      <c r="Y48" s="30" t="s">
        <v>68</v>
      </c>
      <c r="Z48" s="30">
        <v>0.0</v>
      </c>
      <c r="AA48" s="30">
        <v>1.0</v>
      </c>
      <c r="AB48" s="33">
        <v>42489.08819444444</v>
      </c>
      <c r="AC48" s="30">
        <v>1.0</v>
      </c>
      <c r="AD48" s="33">
        <v>42489.08819444444</v>
      </c>
    </row>
    <row r="49" ht="15.75" customHeight="1">
      <c r="A49" s="8"/>
      <c r="B49" s="30" t="s">
        <v>114</v>
      </c>
      <c r="C49" s="31" t="s">
        <v>82</v>
      </c>
      <c r="D49" s="31">
        <v>60.0</v>
      </c>
      <c r="E49" s="30"/>
      <c r="F49" s="30"/>
      <c r="G49" s="31" t="s">
        <v>61</v>
      </c>
      <c r="H49" s="36" t="s">
        <v>122</v>
      </c>
      <c r="I49" s="31" t="s">
        <v>140</v>
      </c>
      <c r="J49" s="31" t="str">
        <f>IFERROR(__xludf.DUMMYFUNCTION("IF(ISBLANK(I49), """", GOOGLETRANSLATE(I49, ""es"", ""en""))"),"Type of Institution Text")</f>
        <v>Type of Institution Text</v>
      </c>
      <c r="M49" s="30">
        <v>30.0</v>
      </c>
      <c r="N49" s="30" t="s">
        <v>141</v>
      </c>
      <c r="O49" s="30" t="s">
        <v>142</v>
      </c>
      <c r="P49" s="30">
        <v>2.0</v>
      </c>
      <c r="Q49" s="30" t="s">
        <v>121</v>
      </c>
      <c r="R49" s="30" t="s">
        <v>66</v>
      </c>
      <c r="S49" s="30" t="s">
        <v>122</v>
      </c>
      <c r="T49" s="30" t="s">
        <v>66</v>
      </c>
      <c r="U49" s="30" t="s">
        <v>67</v>
      </c>
      <c r="V49" s="30">
        <v>207.0</v>
      </c>
      <c r="W49" s="30">
        <v>1.0</v>
      </c>
      <c r="X49" s="30">
        <v>1.0</v>
      </c>
      <c r="Y49" s="30" t="s">
        <v>68</v>
      </c>
      <c r="Z49" s="30">
        <v>0.0</v>
      </c>
      <c r="AA49" s="30">
        <v>1.0</v>
      </c>
      <c r="AB49" s="33">
        <v>42489.08819444444</v>
      </c>
      <c r="AC49" s="30">
        <v>1.0</v>
      </c>
      <c r="AD49" s="33">
        <v>42489.08819444444</v>
      </c>
    </row>
    <row r="50" ht="15.75" customHeight="1">
      <c r="A50" s="8"/>
      <c r="B50" s="30" t="s">
        <v>52</v>
      </c>
      <c r="C50" s="31" t="s">
        <v>82</v>
      </c>
      <c r="D50" s="31">
        <v>1.0</v>
      </c>
      <c r="E50" s="30"/>
      <c r="F50" s="30"/>
      <c r="G50" s="31" t="s">
        <v>61</v>
      </c>
      <c r="H50" s="36" t="s">
        <v>66</v>
      </c>
      <c r="I50" s="31" t="s">
        <v>95</v>
      </c>
      <c r="J50" s="31" t="str">
        <f>IFERROR(__xludf.DUMMYFUNCTION("IF(ISBLANK(I50), """", GOOGLETRANSLATE(I50, ""es"", ""en""))"),"Active Registration Indicator Code (S) is YES")</f>
        <v>Active Registration Indicator Code (S) is YES</v>
      </c>
      <c r="M50" s="30">
        <v>33.0</v>
      </c>
      <c r="N50" s="30" t="s">
        <v>143</v>
      </c>
      <c r="O50" s="30" t="s">
        <v>144</v>
      </c>
      <c r="P50" s="30">
        <v>2.0</v>
      </c>
      <c r="Q50" s="30" t="s">
        <v>121</v>
      </c>
      <c r="R50" s="30" t="s">
        <v>66</v>
      </c>
      <c r="S50" s="30" t="s">
        <v>122</v>
      </c>
      <c r="T50" s="30" t="s">
        <v>66</v>
      </c>
      <c r="U50" s="30" t="s">
        <v>67</v>
      </c>
      <c r="V50" s="30">
        <v>209.0</v>
      </c>
      <c r="W50" s="30">
        <v>1.0</v>
      </c>
      <c r="X50" s="30">
        <v>1.0</v>
      </c>
      <c r="Y50" s="30" t="s">
        <v>68</v>
      </c>
      <c r="Z50" s="30">
        <v>0.0</v>
      </c>
      <c r="AA50" s="30">
        <v>1.0</v>
      </c>
      <c r="AB50" s="33">
        <v>42489.08819444444</v>
      </c>
      <c r="AC50" s="30">
        <v>1.0</v>
      </c>
      <c r="AD50" s="33">
        <v>42489.08819444444</v>
      </c>
    </row>
    <row r="51" ht="15.75" customHeight="1">
      <c r="A51" s="8"/>
      <c r="B51" s="30" t="s">
        <v>53</v>
      </c>
      <c r="C51" s="31" t="s">
        <v>82</v>
      </c>
      <c r="D51" s="31">
        <v>13.0</v>
      </c>
      <c r="E51" s="30"/>
      <c r="F51" s="30"/>
      <c r="G51" s="31" t="s">
        <v>61</v>
      </c>
      <c r="H51" s="36" t="s">
        <v>67</v>
      </c>
      <c r="I51" s="31" t="s">
        <v>98</v>
      </c>
      <c r="J51" s="31" t="str">
        <f>IFERROR(__xludf.DUMMYFUNCTION("IF(ISBLANK(I51), """", GOOGLETRANSLATE(I51, ""es"", ""en""))"),"Active Record Indicator Text (YES) is YES")</f>
        <v>Active Record Indicator Text (YES) is YES</v>
      </c>
      <c r="M51" s="30">
        <v>34.0</v>
      </c>
      <c r="N51" s="30" t="s">
        <v>145</v>
      </c>
      <c r="O51" s="30" t="s">
        <v>146</v>
      </c>
      <c r="P51" s="30">
        <v>1.0</v>
      </c>
      <c r="Q51" s="30" t="s">
        <v>147</v>
      </c>
      <c r="R51" s="30" t="s">
        <v>66</v>
      </c>
      <c r="S51" s="30" t="s">
        <v>122</v>
      </c>
      <c r="T51" s="30" t="s">
        <v>66</v>
      </c>
      <c r="U51" s="30" t="s">
        <v>67</v>
      </c>
      <c r="V51" s="30">
        <v>210.0</v>
      </c>
      <c r="W51" s="30">
        <v>1.0</v>
      </c>
      <c r="X51" s="30">
        <v>1.0</v>
      </c>
      <c r="Y51" s="30" t="s">
        <v>68</v>
      </c>
      <c r="Z51" s="30">
        <v>0.0</v>
      </c>
      <c r="AA51" s="30">
        <v>1.0</v>
      </c>
      <c r="AB51" s="33">
        <v>42489.08819444444</v>
      </c>
      <c r="AC51" s="30">
        <v>1.0</v>
      </c>
      <c r="AD51" s="33">
        <v>42489.08819444444</v>
      </c>
    </row>
    <row r="52" ht="15.75" customHeight="1">
      <c r="A52" s="8"/>
      <c r="B52" s="30" t="s">
        <v>115</v>
      </c>
      <c r="C52" s="31" t="s">
        <v>82</v>
      </c>
      <c r="D52" s="31">
        <v>4.0</v>
      </c>
      <c r="E52" s="30"/>
      <c r="F52" s="30"/>
      <c r="G52" s="31" t="s">
        <v>61</v>
      </c>
      <c r="H52" s="36">
        <v>203.0</v>
      </c>
      <c r="I52" s="31" t="s">
        <v>148</v>
      </c>
      <c r="J52" s="31" t="str">
        <f>IFERROR(__xludf.DUMMYFUNCTION("IF(ISBLANK(I52), """", GOOGLETRANSLATE(I52, ""es"", ""en""))"),"Chapter, ,Identifies the first level of hierarchy within the institutional level.")</f>
        <v>Chapter, ,Identifies the first level of hierarchy within the institutional level.</v>
      </c>
      <c r="M52" s="30">
        <v>35.0</v>
      </c>
      <c r="N52" s="30" t="s">
        <v>149</v>
      </c>
      <c r="O52" s="30" t="s">
        <v>150</v>
      </c>
      <c r="P52" s="30">
        <v>1.0</v>
      </c>
      <c r="Q52" s="30" t="s">
        <v>147</v>
      </c>
      <c r="R52" s="30" t="s">
        <v>66</v>
      </c>
      <c r="S52" s="30" t="s">
        <v>122</v>
      </c>
      <c r="T52" s="30" t="s">
        <v>66</v>
      </c>
      <c r="U52" s="30" t="s">
        <v>67</v>
      </c>
      <c r="V52" s="30">
        <v>210.0</v>
      </c>
      <c r="W52" s="30">
        <v>1.0</v>
      </c>
      <c r="X52" s="30">
        <v>2.0</v>
      </c>
      <c r="Y52" s="30" t="s">
        <v>68</v>
      </c>
      <c r="Z52" s="30">
        <v>0.0</v>
      </c>
      <c r="AA52" s="30">
        <v>1.0</v>
      </c>
      <c r="AB52" s="33">
        <v>42489.08819444444</v>
      </c>
      <c r="AC52" s="30">
        <v>1.0</v>
      </c>
      <c r="AD52" s="33">
        <v>42489.08819444444</v>
      </c>
    </row>
    <row r="53" ht="15.75" customHeight="1">
      <c r="A53" s="8"/>
      <c r="B53" s="30" t="s">
        <v>116</v>
      </c>
      <c r="C53" s="31" t="s">
        <v>82</v>
      </c>
      <c r="D53" s="31">
        <v>2.0</v>
      </c>
      <c r="E53" s="30"/>
      <c r="F53" s="30"/>
      <c r="G53" s="31" t="s">
        <v>100</v>
      </c>
      <c r="H53" s="36">
        <v>1.0</v>
      </c>
      <c r="I53" s="31" t="s">
        <v>151</v>
      </c>
      <c r="J53" s="31" t="str">
        <f>IFERROR(__xludf.DUMMYFUNCTION("IF(ISBLANK(I53), """", GOOGLETRANSLATE(I53, ""es"", ""en""))"),"Subchapter,Identifies the second level of hierarchy within the institutional level.")</f>
        <v>Subchapter,Identifies the second level of hierarchy within the institutional level.</v>
      </c>
    </row>
    <row r="54" ht="15.75" customHeight="1">
      <c r="A54" s="8"/>
      <c r="B54" s="30" t="s">
        <v>117</v>
      </c>
      <c r="C54" s="31" t="s">
        <v>82</v>
      </c>
      <c r="D54" s="31">
        <v>4.0</v>
      </c>
      <c r="E54" s="30"/>
      <c r="F54" s="30"/>
      <c r="G54" s="31" t="s">
        <v>100</v>
      </c>
      <c r="H54" s="36">
        <v>1.0</v>
      </c>
      <c r="I54" s="31" t="s">
        <v>152</v>
      </c>
      <c r="J54" s="31" t="str">
        <f>IFERROR(__xludf.DUMMYFUNCTION("IF(ISBLANK(I54), """", GOOGLETRANSLATE(I54, ""es"", ""en""))"),"Executing unit")</f>
        <v>Executing unit</v>
      </c>
    </row>
    <row r="55" ht="15.75" customHeight="1">
      <c r="A55" s="8"/>
      <c r="B55" s="30" t="s">
        <v>54</v>
      </c>
      <c r="C55" s="31" t="s">
        <v>82</v>
      </c>
      <c r="D55" s="31">
        <v>32.0</v>
      </c>
      <c r="E55" s="30"/>
      <c r="F55" s="30"/>
      <c r="G55" s="31" t="s">
        <v>61</v>
      </c>
      <c r="H55" s="36" t="s">
        <v>68</v>
      </c>
      <c r="I55" s="31" t="s">
        <v>153</v>
      </c>
      <c r="J55" s="31" t="str">
        <f>IFERROR(__xludf.DUMMYFUNCTION("IF(ISBLANK(I55), """", GOOGLETRANSLATE(I55, ""es"", ""en""))"),"Registration Status")</f>
        <v>Registration Status</v>
      </c>
    </row>
    <row r="56" ht="15.75" customHeight="1">
      <c r="A56" s="8"/>
      <c r="B56" s="30" t="s">
        <v>55</v>
      </c>
      <c r="C56" s="31" t="s">
        <v>60</v>
      </c>
      <c r="D56" s="31">
        <v>4.0</v>
      </c>
      <c r="E56" s="30">
        <v>10.0</v>
      </c>
      <c r="F56" s="30">
        <v>0.0</v>
      </c>
      <c r="G56" s="31" t="s">
        <v>100</v>
      </c>
      <c r="H56" s="36">
        <v>0.0</v>
      </c>
      <c r="I56" s="31"/>
      <c r="J56" s="31" t="str">
        <f>IFERROR(__xludf.DUMMYFUNCTION("IF(ISBLANK(I56), """", GOOGLETRANSLATE(I56, ""es"", ""en""))"),"")</f>
        <v/>
      </c>
    </row>
    <row r="57" ht="15.75" customHeight="1">
      <c r="A57" s="8"/>
      <c r="B57" s="30" t="s">
        <v>56</v>
      </c>
      <c r="C57" s="31" t="s">
        <v>60</v>
      </c>
      <c r="D57" s="31">
        <v>4.0</v>
      </c>
      <c r="E57" s="30">
        <v>10.0</v>
      </c>
      <c r="F57" s="30">
        <v>0.0</v>
      </c>
      <c r="G57" s="31" t="s">
        <v>61</v>
      </c>
      <c r="H57" s="36">
        <v>1.0</v>
      </c>
      <c r="I57" s="31" t="s">
        <v>101</v>
      </c>
      <c r="J57" s="31" t="str">
        <f>IFERROR(__xludf.DUMMYFUNCTION("IF(ISBLANK(I57), """", GOOGLETRANSLATE(I57, ""es"", ""en""))"),"User who inserted the record, Fields used by the institution for internal use")</f>
        <v>User who inserted the record, Fields used by the institution for internal use</v>
      </c>
    </row>
    <row r="58" ht="15.75" customHeight="1">
      <c r="A58" s="8"/>
      <c r="B58" s="30" t="s">
        <v>57</v>
      </c>
      <c r="C58" s="31" t="s">
        <v>102</v>
      </c>
      <c r="D58" s="31">
        <v>4.0</v>
      </c>
      <c r="E58" s="30"/>
      <c r="F58" s="30"/>
      <c r="G58" s="31" t="s">
        <v>61</v>
      </c>
      <c r="H58" s="37">
        <v>42489.08819444444</v>
      </c>
      <c r="I58" s="31" t="s">
        <v>103</v>
      </c>
      <c r="J58" s="31" t="str">
        <f>IFERROR(__xludf.DUMMYFUNCTION("IF(ISBLANK(I58), """", GOOGLETRANSLATE(I58, ""es"", ""en""))"),"Insertion date, Fields used by the institution for internal use")</f>
        <v>Insertion date, Fields used by the institution for internal use</v>
      </c>
    </row>
    <row r="59" ht="15.75" customHeight="1">
      <c r="A59" s="8"/>
      <c r="B59" s="30" t="s">
        <v>58</v>
      </c>
      <c r="C59" s="31" t="s">
        <v>60</v>
      </c>
      <c r="D59" s="31">
        <v>4.0</v>
      </c>
      <c r="E59" s="30">
        <v>10.0</v>
      </c>
      <c r="F59" s="30">
        <v>0.0</v>
      </c>
      <c r="G59" s="31" t="s">
        <v>100</v>
      </c>
      <c r="H59" s="36">
        <v>1.0</v>
      </c>
      <c r="I59" s="31" t="s">
        <v>104</v>
      </c>
      <c r="J59" s="31" t="str">
        <f>IFERROR(__xludf.DUMMYFUNCTION("IF(ISBLANK(I59), """", GOOGLETRANSLATE(I59, ""es"", ""en""))"),"Update User Callsign")</f>
        <v>Update User Callsign</v>
      </c>
    </row>
    <row r="60" ht="15.75" customHeight="1">
      <c r="A60" s="8"/>
      <c r="B60" s="30" t="s">
        <v>59</v>
      </c>
      <c r="C60" s="31" t="s">
        <v>102</v>
      </c>
      <c r="D60" s="31">
        <v>4.0</v>
      </c>
      <c r="E60" s="30"/>
      <c r="F60" s="30"/>
      <c r="G60" s="31" t="s">
        <v>100</v>
      </c>
      <c r="H60" s="37">
        <v>42489.08819444444</v>
      </c>
      <c r="I60" s="31" t="s">
        <v>105</v>
      </c>
      <c r="J60" s="31" t="str">
        <f>IFERROR(__xludf.DUMMYFUNCTION("IF(ISBLANK(I60), """", GOOGLETRANSLATE(I60, ""es"", ""en""))"),"Update date")</f>
        <v>Update date</v>
      </c>
    </row>
    <row r="61" ht="15.75" customHeight="1">
      <c r="C61" s="4"/>
      <c r="D61" s="4"/>
      <c r="H61" s="3"/>
      <c r="I61" s="4"/>
    </row>
    <row r="62" ht="15.75" customHeight="1">
      <c r="C62" s="4"/>
      <c r="D62" s="4"/>
      <c r="H62" s="3"/>
      <c r="I62" s="4"/>
    </row>
    <row r="63" ht="15.75" customHeight="1">
      <c r="C63" s="4"/>
      <c r="D63" s="4"/>
      <c r="H63" s="3"/>
      <c r="I63" s="4"/>
    </row>
    <row r="64" ht="15.75" customHeight="1">
      <c r="C64" s="4"/>
      <c r="D64" s="4"/>
      <c r="H64" s="3"/>
      <c r="I64" s="4"/>
    </row>
    <row r="65" ht="15.75" customHeight="1">
      <c r="A65" s="17"/>
      <c r="B65" s="38" t="s">
        <v>154</v>
      </c>
      <c r="C65" s="20"/>
      <c r="D65" s="20"/>
      <c r="E65" s="20"/>
      <c r="F65" s="20"/>
      <c r="G65" s="20"/>
      <c r="H65" s="20"/>
      <c r="I65" s="20"/>
      <c r="J65" s="22"/>
    </row>
    <row r="66" ht="33.75" customHeight="1">
      <c r="A66" s="34"/>
      <c r="B66" s="35" t="s">
        <v>155</v>
      </c>
      <c r="C66" s="20"/>
      <c r="D66" s="20"/>
      <c r="E66" s="20"/>
      <c r="F66" s="20"/>
      <c r="G66" s="22"/>
      <c r="H66" s="35" t="str">
        <f>IFERROR(__xludf.DUMMYFUNCTION("IF(ISBLANK(B66), """", GOOGLETRANSLATE(B66, ""es"", ""en""))"),"Information on the progress of components and products associated with investment projects. Progress is recorded by quarters.")</f>
        <v>Information on the progress of components and products associated with investment projects. Progress is recorded by quarters.</v>
      </c>
      <c r="I66" s="20"/>
      <c r="J66" s="22"/>
      <c r="K66" s="23"/>
      <c r="L66" s="23"/>
      <c r="M66" s="24" t="s">
        <v>33</v>
      </c>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39"/>
      <c r="AT66" s="23"/>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row>
    <row r="67" ht="15.75" customHeight="1">
      <c r="A67" s="25"/>
      <c r="B67" s="26" t="s">
        <v>34</v>
      </c>
      <c r="C67" s="27" t="s">
        <v>35</v>
      </c>
      <c r="D67" s="27" t="s">
        <v>36</v>
      </c>
      <c r="E67" s="26" t="s">
        <v>37</v>
      </c>
      <c r="F67" s="26" t="s">
        <v>38</v>
      </c>
      <c r="G67" s="26" t="s">
        <v>39</v>
      </c>
      <c r="H67" s="28" t="s">
        <v>40</v>
      </c>
      <c r="I67" s="28" t="s">
        <v>41</v>
      </c>
      <c r="J67" s="28" t="s">
        <v>42</v>
      </c>
      <c r="K67" s="40" t="s">
        <v>156</v>
      </c>
      <c r="M67" s="29" t="s">
        <v>157</v>
      </c>
      <c r="N67" s="29" t="s">
        <v>158</v>
      </c>
      <c r="O67" s="29" t="s">
        <v>159</v>
      </c>
      <c r="P67" s="29" t="s">
        <v>160</v>
      </c>
      <c r="Q67" s="29" t="s">
        <v>161</v>
      </c>
      <c r="R67" s="29" t="s">
        <v>162</v>
      </c>
      <c r="S67" s="29" t="s">
        <v>163</v>
      </c>
      <c r="T67" s="29" t="s">
        <v>164</v>
      </c>
      <c r="U67" s="29" t="s">
        <v>165</v>
      </c>
      <c r="V67" s="29" t="s">
        <v>166</v>
      </c>
      <c r="W67" s="29" t="s">
        <v>167</v>
      </c>
      <c r="X67" s="29" t="s">
        <v>168</v>
      </c>
      <c r="Y67" s="29" t="s">
        <v>169</v>
      </c>
      <c r="Z67" s="29" t="s">
        <v>170</v>
      </c>
      <c r="AA67" s="29" t="s">
        <v>171</v>
      </c>
      <c r="AB67" s="29" t="s">
        <v>172</v>
      </c>
      <c r="AC67" s="29" t="s">
        <v>173</v>
      </c>
      <c r="AD67" s="29" t="s">
        <v>174</v>
      </c>
      <c r="AE67" s="29" t="s">
        <v>175</v>
      </c>
      <c r="AF67" s="29" t="s">
        <v>176</v>
      </c>
      <c r="AG67" s="29" t="s">
        <v>177</v>
      </c>
      <c r="AH67" s="29" t="s">
        <v>178</v>
      </c>
      <c r="AI67" s="29" t="s">
        <v>179</v>
      </c>
      <c r="AJ67" s="29" t="s">
        <v>180</v>
      </c>
      <c r="AK67" s="29" t="s">
        <v>181</v>
      </c>
      <c r="AL67" s="29" t="s">
        <v>182</v>
      </c>
      <c r="AM67" s="29" t="s">
        <v>183</v>
      </c>
      <c r="AN67" s="29" t="s">
        <v>184</v>
      </c>
      <c r="AO67" s="29" t="s">
        <v>185</v>
      </c>
      <c r="AP67" s="29" t="s">
        <v>186</v>
      </c>
      <c r="AQ67" s="29" t="s">
        <v>54</v>
      </c>
      <c r="AR67" s="29" t="s">
        <v>55</v>
      </c>
      <c r="AS67" s="29" t="s">
        <v>56</v>
      </c>
      <c r="AT67" s="29" t="s">
        <v>57</v>
      </c>
      <c r="AU67" s="29" t="s">
        <v>58</v>
      </c>
      <c r="AV67" s="29" t="s">
        <v>59</v>
      </c>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row>
    <row r="68" ht="15.75" customHeight="1">
      <c r="A68" s="8"/>
      <c r="B68" s="30" t="s">
        <v>157</v>
      </c>
      <c r="C68" s="31" t="s">
        <v>60</v>
      </c>
      <c r="D68" s="31">
        <v>4.0</v>
      </c>
      <c r="E68" s="30">
        <v>10.0</v>
      </c>
      <c r="F68" s="30">
        <v>0.0</v>
      </c>
      <c r="G68" s="32" t="s">
        <v>61</v>
      </c>
      <c r="H68" s="32">
        <v>5039.0</v>
      </c>
      <c r="I68" s="31" t="s">
        <v>187</v>
      </c>
      <c r="J68" s="31" t="str">
        <f>IFERROR(__xludf.DUMMYFUNCTION("IF(ISBLANK(I68), """", GOOGLETRANSLATE(I68, ""es"", ""en""))"),"Project Physical Schedule Identifier")</f>
        <v>Project Physical Schedule Identifier</v>
      </c>
      <c r="K68" s="42" t="s">
        <v>188</v>
      </c>
      <c r="M68" s="30">
        <v>2498.0</v>
      </c>
      <c r="N68" s="30">
        <v>1779.0</v>
      </c>
      <c r="O68" s="30" t="s">
        <v>189</v>
      </c>
      <c r="P68" s="30">
        <v>2872.0</v>
      </c>
      <c r="Q68" s="30" t="s">
        <v>190</v>
      </c>
      <c r="R68" s="30">
        <v>9135.0</v>
      </c>
      <c r="S68" s="30" t="s">
        <v>191</v>
      </c>
      <c r="T68" s="30">
        <v>36.0</v>
      </c>
      <c r="U68" s="30" t="s">
        <v>192</v>
      </c>
      <c r="V68" s="30" t="s">
        <v>193</v>
      </c>
      <c r="W68" s="30" t="s">
        <v>193</v>
      </c>
      <c r="X68" s="30" t="s">
        <v>194</v>
      </c>
      <c r="Y68" s="30" t="s">
        <v>195</v>
      </c>
      <c r="Z68" s="30" t="s">
        <v>193</v>
      </c>
      <c r="AA68" s="30" t="s">
        <v>193</v>
      </c>
      <c r="AB68" s="30" t="s">
        <v>194</v>
      </c>
      <c r="AC68" s="30" t="s">
        <v>195</v>
      </c>
      <c r="AD68" s="30" t="s">
        <v>194</v>
      </c>
      <c r="AE68" s="30" t="s">
        <v>195</v>
      </c>
      <c r="AF68" s="30" t="s">
        <v>194</v>
      </c>
      <c r="AG68" s="30" t="s">
        <v>195</v>
      </c>
      <c r="AH68" s="30" t="s">
        <v>194</v>
      </c>
      <c r="AI68" s="30" t="s">
        <v>195</v>
      </c>
      <c r="AJ68" s="30" t="s">
        <v>194</v>
      </c>
      <c r="AK68" s="30" t="s">
        <v>195</v>
      </c>
      <c r="AL68" s="30" t="s">
        <v>193</v>
      </c>
      <c r="AM68" s="30" t="s">
        <v>193</v>
      </c>
      <c r="AN68" s="30" t="s">
        <v>193</v>
      </c>
      <c r="AO68" s="30" t="s">
        <v>193</v>
      </c>
      <c r="AP68" s="30">
        <v>1938.0</v>
      </c>
      <c r="AQ68" s="30" t="s">
        <v>68</v>
      </c>
      <c r="AR68" s="30">
        <v>0.0</v>
      </c>
      <c r="AS68" s="30">
        <v>207.0</v>
      </c>
      <c r="AT68" s="33">
        <v>43144.402083333334</v>
      </c>
      <c r="AU68" s="30">
        <v>39.0</v>
      </c>
      <c r="AV68" s="33">
        <v>43880.61597222222</v>
      </c>
    </row>
    <row r="69" ht="15.75" customHeight="1">
      <c r="A69" s="8"/>
      <c r="B69" s="30" t="s">
        <v>158</v>
      </c>
      <c r="C69" s="31" t="s">
        <v>60</v>
      </c>
      <c r="D69" s="31">
        <v>4.0</v>
      </c>
      <c r="E69" s="30">
        <v>10.0</v>
      </c>
      <c r="F69" s="30">
        <v>0.0</v>
      </c>
      <c r="G69" s="32" t="s">
        <v>61</v>
      </c>
      <c r="H69" s="32">
        <v>2035.0</v>
      </c>
      <c r="I69" s="31" t="s">
        <v>196</v>
      </c>
      <c r="J69" s="31" t="str">
        <f>IFERROR(__xludf.DUMMYFUNCTION("IF(ISBLANK(I69), """", GOOGLETRANSLATE(I69, ""es"", ""en""))"),"Unique identifier of the Investment project (SNIP System)")</f>
        <v>Unique identifier of the Investment project (SNIP System)</v>
      </c>
      <c r="M69" s="30">
        <v>5039.0</v>
      </c>
      <c r="N69" s="30">
        <v>2035.0</v>
      </c>
      <c r="O69" s="30" t="s">
        <v>189</v>
      </c>
      <c r="P69" s="30">
        <v>3686.0</v>
      </c>
      <c r="Q69" s="30" t="s">
        <v>197</v>
      </c>
      <c r="R69" s="30">
        <v>6389.0</v>
      </c>
      <c r="S69" s="30" t="s">
        <v>191</v>
      </c>
      <c r="T69" s="30">
        <v>36.0</v>
      </c>
      <c r="U69" s="30" t="s">
        <v>192</v>
      </c>
      <c r="V69" s="30" t="s">
        <v>198</v>
      </c>
      <c r="W69" s="30" t="s">
        <v>198</v>
      </c>
      <c r="X69" s="30" t="s">
        <v>194</v>
      </c>
      <c r="Y69" s="30" t="s">
        <v>195</v>
      </c>
      <c r="Z69" s="30" t="s">
        <v>198</v>
      </c>
      <c r="AA69" s="30" t="s">
        <v>198</v>
      </c>
      <c r="AB69" s="30" t="s">
        <v>194</v>
      </c>
      <c r="AC69" s="30" t="s">
        <v>195</v>
      </c>
      <c r="AD69" s="30" t="s">
        <v>194</v>
      </c>
      <c r="AE69" s="30" t="s">
        <v>195</v>
      </c>
      <c r="AF69" s="30" t="s">
        <v>194</v>
      </c>
      <c r="AG69" s="30" t="s">
        <v>195</v>
      </c>
      <c r="AH69" s="30" t="s">
        <v>194</v>
      </c>
      <c r="AI69" s="30" t="s">
        <v>195</v>
      </c>
      <c r="AJ69" s="30" t="s">
        <v>194</v>
      </c>
      <c r="AK69" s="30" t="s">
        <v>195</v>
      </c>
      <c r="AL69" s="30" t="s">
        <v>198</v>
      </c>
      <c r="AM69" s="30" t="s">
        <v>198</v>
      </c>
      <c r="AN69" s="30" t="s">
        <v>198</v>
      </c>
      <c r="AO69" s="30" t="s">
        <v>198</v>
      </c>
      <c r="AP69" s="30">
        <v>2216.0</v>
      </c>
      <c r="AQ69" s="30" t="s">
        <v>68</v>
      </c>
      <c r="AR69" s="30">
        <v>0.0</v>
      </c>
      <c r="AS69" s="30">
        <v>38.0</v>
      </c>
      <c r="AT69" s="33">
        <v>44900.46597222222</v>
      </c>
      <c r="AU69" s="30">
        <v>38.0</v>
      </c>
      <c r="AV69" s="33">
        <v>45387.513194444444</v>
      </c>
    </row>
    <row r="70" ht="15.75" customHeight="1">
      <c r="A70" s="8"/>
      <c r="B70" s="30" t="s">
        <v>159</v>
      </c>
      <c r="C70" s="31" t="s">
        <v>82</v>
      </c>
      <c r="D70" s="31">
        <v>250.0</v>
      </c>
      <c r="E70" s="30"/>
      <c r="F70" s="30"/>
      <c r="G70" s="32" t="s">
        <v>100</v>
      </c>
      <c r="H70" s="32" t="s">
        <v>189</v>
      </c>
      <c r="I70" s="31" t="s">
        <v>199</v>
      </c>
      <c r="J70" s="31" t="str">
        <f>IFERROR(__xludf.DUMMYFUNCTION("IF(ISBLANK(I70), """", GOOGLETRANSLATE(I70, ""es"", ""en""))"),"Component phase")</f>
        <v>Component phase</v>
      </c>
      <c r="M70" s="30">
        <v>58.0</v>
      </c>
      <c r="N70" s="30">
        <v>2035.0</v>
      </c>
      <c r="O70" s="30" t="s">
        <v>189</v>
      </c>
      <c r="P70" s="30">
        <v>4072.0</v>
      </c>
      <c r="Q70" s="30" t="s">
        <v>200</v>
      </c>
      <c r="R70" s="30">
        <v>6391.0</v>
      </c>
      <c r="S70" s="30" t="s">
        <v>191</v>
      </c>
      <c r="T70" s="30">
        <v>36.0</v>
      </c>
      <c r="U70" s="30" t="s">
        <v>192</v>
      </c>
      <c r="V70" s="30" t="s">
        <v>201</v>
      </c>
      <c r="W70" s="30" t="s">
        <v>201</v>
      </c>
      <c r="X70" s="30" t="s">
        <v>201</v>
      </c>
      <c r="Y70" s="30" t="s">
        <v>201</v>
      </c>
      <c r="Z70" s="30" t="s">
        <v>194</v>
      </c>
      <c r="AA70" s="30" t="s">
        <v>195</v>
      </c>
      <c r="AB70" s="30" t="s">
        <v>194</v>
      </c>
      <c r="AC70" s="30" t="s">
        <v>195</v>
      </c>
      <c r="AD70" s="30" t="s">
        <v>194</v>
      </c>
      <c r="AE70" s="30" t="s">
        <v>195</v>
      </c>
      <c r="AF70" s="30" t="s">
        <v>194</v>
      </c>
      <c r="AG70" s="30" t="s">
        <v>195</v>
      </c>
      <c r="AH70" s="30" t="s">
        <v>194</v>
      </c>
      <c r="AI70" s="30" t="s">
        <v>195</v>
      </c>
      <c r="AJ70" s="30" t="s">
        <v>194</v>
      </c>
      <c r="AK70" s="30" t="s">
        <v>195</v>
      </c>
      <c r="AL70" s="30" t="s">
        <v>201</v>
      </c>
      <c r="AM70" s="30" t="s">
        <v>201</v>
      </c>
      <c r="AN70" s="30" t="s">
        <v>201</v>
      </c>
      <c r="AO70" s="30" t="s">
        <v>201</v>
      </c>
      <c r="AP70" s="30">
        <v>2216.0</v>
      </c>
      <c r="AQ70" s="30" t="s">
        <v>68</v>
      </c>
      <c r="AR70" s="30">
        <v>0.0</v>
      </c>
      <c r="AS70" s="30">
        <v>41.0</v>
      </c>
      <c r="AT70" s="33">
        <v>42677.4</v>
      </c>
      <c r="AU70" s="30">
        <v>38.0</v>
      </c>
      <c r="AV70" s="33">
        <v>45387.513194444444</v>
      </c>
    </row>
    <row r="71" ht="15.75" customHeight="1">
      <c r="A71" s="8"/>
      <c r="B71" s="30" t="s">
        <v>160</v>
      </c>
      <c r="C71" s="31" t="s">
        <v>60</v>
      </c>
      <c r="D71" s="31">
        <v>4.0</v>
      </c>
      <c r="E71" s="30">
        <v>10.0</v>
      </c>
      <c r="F71" s="30">
        <v>0.0</v>
      </c>
      <c r="G71" s="32" t="s">
        <v>61</v>
      </c>
      <c r="H71" s="32">
        <v>3686.0</v>
      </c>
      <c r="I71" s="31" t="s">
        <v>202</v>
      </c>
      <c r="J71" s="31" t="str">
        <f>IFERROR(__xludf.DUMMYFUNCTION("IF(ISBLANK(I71), """", GOOGLETRANSLATE(I71, ""es"", ""en""))"),"Component identifier")</f>
        <v>Component identifier</v>
      </c>
      <c r="M71" s="30">
        <v>59.0</v>
      </c>
      <c r="N71" s="30">
        <v>2035.0</v>
      </c>
      <c r="O71" s="30" t="s">
        <v>189</v>
      </c>
      <c r="P71" s="30">
        <v>4073.0</v>
      </c>
      <c r="Q71" s="30" t="s">
        <v>203</v>
      </c>
      <c r="R71" s="30">
        <v>6392.0</v>
      </c>
      <c r="S71" s="30" t="s">
        <v>204</v>
      </c>
      <c r="T71" s="30">
        <v>36.0</v>
      </c>
      <c r="U71" s="30" t="s">
        <v>192</v>
      </c>
      <c r="V71" s="30" t="s">
        <v>205</v>
      </c>
      <c r="W71" s="30" t="s">
        <v>205</v>
      </c>
      <c r="X71" s="30" t="s">
        <v>205</v>
      </c>
      <c r="Y71" s="30" t="s">
        <v>205</v>
      </c>
      <c r="Z71" s="30" t="s">
        <v>194</v>
      </c>
      <c r="AA71" s="30" t="s">
        <v>195</v>
      </c>
      <c r="AB71" s="30" t="s">
        <v>194</v>
      </c>
      <c r="AC71" s="30" t="s">
        <v>195</v>
      </c>
      <c r="AD71" s="30" t="s">
        <v>194</v>
      </c>
      <c r="AE71" s="30" t="s">
        <v>195</v>
      </c>
      <c r="AF71" s="30" t="s">
        <v>194</v>
      </c>
      <c r="AG71" s="30" t="s">
        <v>195</v>
      </c>
      <c r="AH71" s="30" t="s">
        <v>194</v>
      </c>
      <c r="AI71" s="30" t="s">
        <v>195</v>
      </c>
      <c r="AJ71" s="30" t="s">
        <v>194</v>
      </c>
      <c r="AK71" s="30" t="s">
        <v>195</v>
      </c>
      <c r="AL71" s="30" t="s">
        <v>205</v>
      </c>
      <c r="AM71" s="30" t="s">
        <v>205</v>
      </c>
      <c r="AN71" s="30" t="s">
        <v>205</v>
      </c>
      <c r="AO71" s="30" t="s">
        <v>205</v>
      </c>
      <c r="AP71" s="30">
        <v>2216.0</v>
      </c>
      <c r="AQ71" s="30" t="s">
        <v>68</v>
      </c>
      <c r="AR71" s="30">
        <v>0.0</v>
      </c>
      <c r="AS71" s="30">
        <v>41.0</v>
      </c>
      <c r="AT71" s="33">
        <v>42677.4</v>
      </c>
      <c r="AU71" s="30">
        <v>38.0</v>
      </c>
      <c r="AV71" s="33">
        <v>45387.513194444444</v>
      </c>
    </row>
    <row r="72" ht="15.75" customHeight="1">
      <c r="A72" s="8"/>
      <c r="B72" s="30" t="s">
        <v>161</v>
      </c>
      <c r="C72" s="31" t="s">
        <v>82</v>
      </c>
      <c r="D72" s="31">
        <v>250.0</v>
      </c>
      <c r="E72" s="30"/>
      <c r="F72" s="30"/>
      <c r="G72" s="32" t="s">
        <v>100</v>
      </c>
      <c r="H72" s="32" t="s">
        <v>197</v>
      </c>
      <c r="I72" s="31" t="s">
        <v>206</v>
      </c>
      <c r="J72" s="31" t="str">
        <f>IFERROR(__xludf.DUMMYFUNCTION("IF(ISBLANK(I72), """", GOOGLETRANSLATE(I72, ""es"", ""en""))"),"Component Description")</f>
        <v>Component Description</v>
      </c>
      <c r="M72" s="30">
        <v>60.0</v>
      </c>
      <c r="N72" s="30">
        <v>2035.0</v>
      </c>
      <c r="O72" s="30" t="s">
        <v>189</v>
      </c>
      <c r="P72" s="30">
        <v>4187.0</v>
      </c>
      <c r="Q72" s="30" t="s">
        <v>207</v>
      </c>
      <c r="R72" s="30">
        <v>6395.0</v>
      </c>
      <c r="S72" s="30" t="s">
        <v>204</v>
      </c>
      <c r="T72" s="30">
        <v>36.0</v>
      </c>
      <c r="U72" s="30" t="s">
        <v>192</v>
      </c>
      <c r="V72" s="30" t="s">
        <v>208</v>
      </c>
      <c r="W72" s="30" t="s">
        <v>208</v>
      </c>
      <c r="X72" s="30" t="s">
        <v>194</v>
      </c>
      <c r="Y72" s="30" t="s">
        <v>195</v>
      </c>
      <c r="Z72" s="30" t="s">
        <v>208</v>
      </c>
      <c r="AA72" s="30" t="s">
        <v>208</v>
      </c>
      <c r="AB72" s="30" t="s">
        <v>194</v>
      </c>
      <c r="AC72" s="30" t="s">
        <v>195</v>
      </c>
      <c r="AD72" s="30" t="s">
        <v>194</v>
      </c>
      <c r="AE72" s="30" t="s">
        <v>195</v>
      </c>
      <c r="AF72" s="30" t="s">
        <v>194</v>
      </c>
      <c r="AG72" s="30" t="s">
        <v>195</v>
      </c>
      <c r="AH72" s="30" t="s">
        <v>194</v>
      </c>
      <c r="AI72" s="30" t="s">
        <v>195</v>
      </c>
      <c r="AJ72" s="30" t="s">
        <v>194</v>
      </c>
      <c r="AK72" s="30" t="s">
        <v>195</v>
      </c>
      <c r="AL72" s="30" t="s">
        <v>208</v>
      </c>
      <c r="AM72" s="30" t="s">
        <v>208</v>
      </c>
      <c r="AN72" s="30" t="s">
        <v>208</v>
      </c>
      <c r="AO72" s="30" t="s">
        <v>208</v>
      </c>
      <c r="AP72" s="30">
        <v>2216.0</v>
      </c>
      <c r="AQ72" s="30" t="s">
        <v>68</v>
      </c>
      <c r="AR72" s="30">
        <v>0.0</v>
      </c>
      <c r="AS72" s="30">
        <v>41.0</v>
      </c>
      <c r="AT72" s="33">
        <v>42677.4</v>
      </c>
      <c r="AU72" s="30">
        <v>38.0</v>
      </c>
      <c r="AV72" s="33">
        <v>45387.513194444444</v>
      </c>
    </row>
    <row r="73" ht="15.75" customHeight="1">
      <c r="A73" s="8"/>
      <c r="B73" s="30" t="s">
        <v>162</v>
      </c>
      <c r="C73" s="31" t="s">
        <v>60</v>
      </c>
      <c r="D73" s="31">
        <v>4.0</v>
      </c>
      <c r="E73" s="30">
        <v>10.0</v>
      </c>
      <c r="F73" s="30">
        <v>0.0</v>
      </c>
      <c r="G73" s="32" t="s">
        <v>100</v>
      </c>
      <c r="H73" s="32">
        <v>6389.0</v>
      </c>
      <c r="I73" s="31" t="s">
        <v>209</v>
      </c>
      <c r="J73" s="31" t="str">
        <f>IFERROR(__xludf.DUMMYFUNCTION("IF(ISBLANK(I73), """", GOOGLETRANSLATE(I73, ""es"", ""en""))"),"Product identifier")</f>
        <v>Product identifier</v>
      </c>
      <c r="M73" s="30">
        <v>61.0</v>
      </c>
      <c r="N73" s="30">
        <v>2035.0</v>
      </c>
      <c r="O73" s="30" t="s">
        <v>189</v>
      </c>
      <c r="P73" s="30">
        <v>4212.0</v>
      </c>
      <c r="Q73" s="30" t="s">
        <v>210</v>
      </c>
      <c r="R73" s="30">
        <v>6397.0</v>
      </c>
      <c r="S73" s="30" t="s">
        <v>191</v>
      </c>
      <c r="T73" s="30">
        <v>36.0</v>
      </c>
      <c r="U73" s="30" t="s">
        <v>192</v>
      </c>
      <c r="V73" s="30" t="s">
        <v>211</v>
      </c>
      <c r="W73" s="30" t="s">
        <v>211</v>
      </c>
      <c r="X73" s="30" t="s">
        <v>194</v>
      </c>
      <c r="Y73" s="30" t="s">
        <v>195</v>
      </c>
      <c r="Z73" s="30" t="s">
        <v>211</v>
      </c>
      <c r="AA73" s="30" t="s">
        <v>211</v>
      </c>
      <c r="AB73" s="30" t="s">
        <v>194</v>
      </c>
      <c r="AC73" s="30" t="s">
        <v>195</v>
      </c>
      <c r="AD73" s="30" t="s">
        <v>194</v>
      </c>
      <c r="AE73" s="30" t="s">
        <v>195</v>
      </c>
      <c r="AF73" s="30" t="s">
        <v>194</v>
      </c>
      <c r="AG73" s="30" t="s">
        <v>195</v>
      </c>
      <c r="AH73" s="30" t="s">
        <v>194</v>
      </c>
      <c r="AI73" s="30" t="s">
        <v>195</v>
      </c>
      <c r="AJ73" s="30" t="s">
        <v>194</v>
      </c>
      <c r="AK73" s="30" t="s">
        <v>195</v>
      </c>
      <c r="AL73" s="30" t="s">
        <v>211</v>
      </c>
      <c r="AM73" s="30" t="s">
        <v>211</v>
      </c>
      <c r="AN73" s="30" t="s">
        <v>211</v>
      </c>
      <c r="AO73" s="30" t="s">
        <v>211</v>
      </c>
      <c r="AP73" s="30">
        <v>2216.0</v>
      </c>
      <c r="AQ73" s="30" t="s">
        <v>68</v>
      </c>
      <c r="AR73" s="30">
        <v>0.0</v>
      </c>
      <c r="AS73" s="30">
        <v>41.0</v>
      </c>
      <c r="AT73" s="33">
        <v>42677.4</v>
      </c>
      <c r="AU73" s="30">
        <v>38.0</v>
      </c>
      <c r="AV73" s="33">
        <v>45387.513194444444</v>
      </c>
    </row>
    <row r="74" ht="15.75" customHeight="1">
      <c r="A74" s="8"/>
      <c r="B74" s="30" t="s">
        <v>163</v>
      </c>
      <c r="C74" s="31" t="s">
        <v>82</v>
      </c>
      <c r="D74" s="31">
        <v>200.0</v>
      </c>
      <c r="E74" s="30"/>
      <c r="F74" s="30"/>
      <c r="G74" s="32" t="s">
        <v>61</v>
      </c>
      <c r="H74" s="32" t="s">
        <v>191</v>
      </c>
      <c r="I74" s="31" t="s">
        <v>212</v>
      </c>
      <c r="J74" s="31" t="str">
        <f>IFERROR(__xludf.DUMMYFUNCTION("IF(ISBLANK(I74), """", GOOGLETRANSLATE(I74, ""es"", ""en""))"),"Product description")</f>
        <v>Product description</v>
      </c>
      <c r="M74" s="30">
        <v>62.0</v>
      </c>
      <c r="N74" s="30">
        <v>2035.0</v>
      </c>
      <c r="O74" s="30" t="s">
        <v>189</v>
      </c>
      <c r="P74" s="30">
        <v>4295.0</v>
      </c>
      <c r="Q74" s="30" t="s">
        <v>213</v>
      </c>
      <c r="R74" s="30">
        <v>6398.0</v>
      </c>
      <c r="S74" s="30" t="s">
        <v>191</v>
      </c>
      <c r="T74" s="30">
        <v>36.0</v>
      </c>
      <c r="U74" s="30" t="s">
        <v>192</v>
      </c>
      <c r="V74" s="30" t="s">
        <v>208</v>
      </c>
      <c r="W74" s="30" t="s">
        <v>208</v>
      </c>
      <c r="X74" s="30" t="s">
        <v>194</v>
      </c>
      <c r="Y74" s="30" t="s">
        <v>195</v>
      </c>
      <c r="Z74" s="30" t="s">
        <v>208</v>
      </c>
      <c r="AA74" s="30" t="s">
        <v>208</v>
      </c>
      <c r="AB74" s="30" t="s">
        <v>194</v>
      </c>
      <c r="AC74" s="30" t="s">
        <v>195</v>
      </c>
      <c r="AD74" s="30" t="s">
        <v>194</v>
      </c>
      <c r="AE74" s="30" t="s">
        <v>195</v>
      </c>
      <c r="AF74" s="30" t="s">
        <v>194</v>
      </c>
      <c r="AG74" s="30" t="s">
        <v>195</v>
      </c>
      <c r="AH74" s="30" t="s">
        <v>194</v>
      </c>
      <c r="AI74" s="30" t="s">
        <v>195</v>
      </c>
      <c r="AJ74" s="30" t="s">
        <v>194</v>
      </c>
      <c r="AK74" s="30" t="s">
        <v>195</v>
      </c>
      <c r="AL74" s="30" t="s">
        <v>208</v>
      </c>
      <c r="AM74" s="30" t="s">
        <v>208</v>
      </c>
      <c r="AN74" s="30" t="s">
        <v>208</v>
      </c>
      <c r="AO74" s="30" t="s">
        <v>208</v>
      </c>
      <c r="AP74" s="30">
        <v>2216.0</v>
      </c>
      <c r="AQ74" s="30" t="s">
        <v>68</v>
      </c>
      <c r="AR74" s="30">
        <v>0.0</v>
      </c>
      <c r="AS74" s="30">
        <v>41.0</v>
      </c>
      <c r="AT74" s="33">
        <v>42677.4</v>
      </c>
      <c r="AU74" s="30">
        <v>38.0</v>
      </c>
      <c r="AV74" s="33">
        <v>45387.513194444444</v>
      </c>
    </row>
    <row r="75" ht="15.75" customHeight="1">
      <c r="A75" s="8"/>
      <c r="B75" s="30" t="s">
        <v>164</v>
      </c>
      <c r="C75" s="31" t="s">
        <v>60</v>
      </c>
      <c r="D75" s="31">
        <v>4.0</v>
      </c>
      <c r="E75" s="30">
        <v>10.0</v>
      </c>
      <c r="F75" s="30">
        <v>0.0</v>
      </c>
      <c r="G75" s="32" t="s">
        <v>100</v>
      </c>
      <c r="H75" s="32">
        <v>36.0</v>
      </c>
      <c r="I75" s="31" t="s">
        <v>214</v>
      </c>
      <c r="J75" s="31" t="str">
        <f>IFERROR(__xludf.DUMMYFUNCTION("IF(ISBLANK(I75), """", GOOGLETRANSLATE(I75, ""es"", ""en""))"),"identifier of the unit of measurement of the Goal")</f>
        <v>identifier of the unit of measurement of the Goal</v>
      </c>
      <c r="M75" s="30">
        <v>63.0</v>
      </c>
      <c r="N75" s="30">
        <v>2035.0</v>
      </c>
      <c r="O75" s="30" t="s">
        <v>189</v>
      </c>
      <c r="P75" s="30">
        <v>4298.0</v>
      </c>
      <c r="Q75" s="30" t="s">
        <v>215</v>
      </c>
      <c r="R75" s="30">
        <v>6399.0</v>
      </c>
      <c r="S75" s="30" t="s">
        <v>191</v>
      </c>
      <c r="T75" s="30">
        <v>36.0</v>
      </c>
      <c r="U75" s="30" t="s">
        <v>192</v>
      </c>
      <c r="V75" s="30" t="s">
        <v>216</v>
      </c>
      <c r="W75" s="30" t="s">
        <v>216</v>
      </c>
      <c r="X75" s="30" t="s">
        <v>194</v>
      </c>
      <c r="Y75" s="30" t="s">
        <v>195</v>
      </c>
      <c r="Z75" s="30" t="s">
        <v>216</v>
      </c>
      <c r="AA75" s="30" t="s">
        <v>216</v>
      </c>
      <c r="AB75" s="30" t="s">
        <v>194</v>
      </c>
      <c r="AC75" s="30" t="s">
        <v>195</v>
      </c>
      <c r="AD75" s="30" t="s">
        <v>194</v>
      </c>
      <c r="AE75" s="30" t="s">
        <v>195</v>
      </c>
      <c r="AF75" s="30" t="s">
        <v>194</v>
      </c>
      <c r="AG75" s="30" t="s">
        <v>195</v>
      </c>
      <c r="AH75" s="30" t="s">
        <v>194</v>
      </c>
      <c r="AI75" s="30" t="s">
        <v>195</v>
      </c>
      <c r="AJ75" s="30" t="s">
        <v>194</v>
      </c>
      <c r="AK75" s="30" t="s">
        <v>195</v>
      </c>
      <c r="AL75" s="30" t="s">
        <v>216</v>
      </c>
      <c r="AM75" s="30" t="s">
        <v>216</v>
      </c>
      <c r="AN75" s="30" t="s">
        <v>216</v>
      </c>
      <c r="AO75" s="30" t="s">
        <v>216</v>
      </c>
      <c r="AP75" s="30">
        <v>2216.0</v>
      </c>
      <c r="AQ75" s="30" t="s">
        <v>68</v>
      </c>
      <c r="AR75" s="30">
        <v>0.0</v>
      </c>
      <c r="AS75" s="30">
        <v>41.0</v>
      </c>
      <c r="AT75" s="33">
        <v>42677.4</v>
      </c>
      <c r="AU75" s="30">
        <v>38.0</v>
      </c>
      <c r="AV75" s="33">
        <v>45387.513194444444</v>
      </c>
    </row>
    <row r="76" ht="15.75" customHeight="1">
      <c r="A76" s="8"/>
      <c r="B76" s="30" t="s">
        <v>165</v>
      </c>
      <c r="C76" s="31" t="s">
        <v>82</v>
      </c>
      <c r="D76" s="31">
        <v>200.0</v>
      </c>
      <c r="E76" s="30"/>
      <c r="F76" s="30"/>
      <c r="G76" s="32" t="s">
        <v>61</v>
      </c>
      <c r="H76" s="32" t="s">
        <v>192</v>
      </c>
      <c r="I76" s="31" t="s">
        <v>217</v>
      </c>
      <c r="J76" s="31" t="str">
        <f>IFERROR(__xludf.DUMMYFUNCTION("IF(ISBLANK(I76), """", GOOGLETRANSLATE(I76, ""es"", ""en""))"),"Description of the unit of measurement of the goal")</f>
        <v>Description of the unit of measurement of the goal</v>
      </c>
      <c r="M76" s="30">
        <v>64.0</v>
      </c>
      <c r="N76" s="30">
        <v>2035.0</v>
      </c>
      <c r="O76" s="30" t="s">
        <v>189</v>
      </c>
      <c r="P76" s="30">
        <v>4296.0</v>
      </c>
      <c r="Q76" s="30" t="s">
        <v>218</v>
      </c>
      <c r="R76" s="30">
        <v>6400.0</v>
      </c>
      <c r="S76" s="30" t="s">
        <v>191</v>
      </c>
      <c r="T76" s="30">
        <v>36.0</v>
      </c>
      <c r="U76" s="30" t="s">
        <v>192</v>
      </c>
      <c r="V76" s="30" t="s">
        <v>219</v>
      </c>
      <c r="W76" s="30" t="s">
        <v>219</v>
      </c>
      <c r="X76" s="30" t="s">
        <v>194</v>
      </c>
      <c r="Y76" s="30" t="s">
        <v>195</v>
      </c>
      <c r="Z76" s="30" t="s">
        <v>219</v>
      </c>
      <c r="AA76" s="30" t="s">
        <v>219</v>
      </c>
      <c r="AB76" s="30" t="s">
        <v>194</v>
      </c>
      <c r="AC76" s="30" t="s">
        <v>195</v>
      </c>
      <c r="AD76" s="30" t="s">
        <v>194</v>
      </c>
      <c r="AE76" s="30" t="s">
        <v>195</v>
      </c>
      <c r="AF76" s="30" t="s">
        <v>194</v>
      </c>
      <c r="AG76" s="30" t="s">
        <v>195</v>
      </c>
      <c r="AH76" s="30" t="s">
        <v>194</v>
      </c>
      <c r="AI76" s="30" t="s">
        <v>195</v>
      </c>
      <c r="AJ76" s="30" t="s">
        <v>194</v>
      </c>
      <c r="AK76" s="30" t="s">
        <v>195</v>
      </c>
      <c r="AL76" s="30" t="s">
        <v>219</v>
      </c>
      <c r="AM76" s="30" t="s">
        <v>219</v>
      </c>
      <c r="AN76" s="30" t="s">
        <v>219</v>
      </c>
      <c r="AO76" s="30" t="s">
        <v>219</v>
      </c>
      <c r="AP76" s="30">
        <v>2216.0</v>
      </c>
      <c r="AQ76" s="30" t="s">
        <v>68</v>
      </c>
      <c r="AR76" s="30">
        <v>0.0</v>
      </c>
      <c r="AS76" s="30">
        <v>41.0</v>
      </c>
      <c r="AT76" s="33">
        <v>42677.4</v>
      </c>
      <c r="AU76" s="30">
        <v>38.0</v>
      </c>
      <c r="AV76" s="33">
        <v>45387.513194444444</v>
      </c>
    </row>
    <row r="77" ht="15.75" customHeight="1">
      <c r="A77" s="8"/>
      <c r="B77" s="30" t="s">
        <v>166</v>
      </c>
      <c r="C77" s="31" t="s">
        <v>220</v>
      </c>
      <c r="D77" s="31">
        <v>9.0</v>
      </c>
      <c r="E77" s="30">
        <v>19.0</v>
      </c>
      <c r="F77" s="30">
        <v>2.0</v>
      </c>
      <c r="G77" s="32" t="s">
        <v>61</v>
      </c>
      <c r="H77" s="32" t="s">
        <v>198</v>
      </c>
      <c r="I77" s="31" t="s">
        <v>221</v>
      </c>
      <c r="J77" s="31" t="str">
        <f>IFERROR(__xludf.DUMMYFUNCTION("IF(ISBLANK(I77), """", GOOGLETRANSLATE(I77, ""es"", ""en""))"),"Proposed Goal")</f>
        <v>Proposed Goal</v>
      </c>
      <c r="K77" s="40" t="s">
        <v>222</v>
      </c>
      <c r="M77" s="30">
        <v>65.0</v>
      </c>
      <c r="N77" s="30">
        <v>2035.0</v>
      </c>
      <c r="O77" s="30" t="s">
        <v>189</v>
      </c>
      <c r="P77" s="30">
        <v>4302.0</v>
      </c>
      <c r="Q77" s="30" t="s">
        <v>223</v>
      </c>
      <c r="R77" s="30">
        <v>6402.0</v>
      </c>
      <c r="S77" s="30" t="s">
        <v>191</v>
      </c>
      <c r="T77" s="30">
        <v>36.0</v>
      </c>
      <c r="U77" s="30" t="s">
        <v>192</v>
      </c>
      <c r="V77" s="30" t="s">
        <v>224</v>
      </c>
      <c r="W77" s="30" t="s">
        <v>224</v>
      </c>
      <c r="X77" s="30" t="s">
        <v>194</v>
      </c>
      <c r="Y77" s="30" t="s">
        <v>195</v>
      </c>
      <c r="Z77" s="30" t="s">
        <v>194</v>
      </c>
      <c r="AA77" s="30" t="s">
        <v>195</v>
      </c>
      <c r="AB77" s="30" t="s">
        <v>224</v>
      </c>
      <c r="AC77" s="30" t="s">
        <v>224</v>
      </c>
      <c r="AD77" s="30" t="s">
        <v>194</v>
      </c>
      <c r="AE77" s="30" t="s">
        <v>195</v>
      </c>
      <c r="AF77" s="30" t="s">
        <v>194</v>
      </c>
      <c r="AG77" s="30" t="s">
        <v>195</v>
      </c>
      <c r="AH77" s="30" t="s">
        <v>194</v>
      </c>
      <c r="AI77" s="30" t="s">
        <v>195</v>
      </c>
      <c r="AJ77" s="30" t="s">
        <v>194</v>
      </c>
      <c r="AK77" s="30" t="s">
        <v>195</v>
      </c>
      <c r="AL77" s="30" t="s">
        <v>194</v>
      </c>
      <c r="AM77" s="30" t="s">
        <v>195</v>
      </c>
      <c r="AN77" s="30" t="s">
        <v>224</v>
      </c>
      <c r="AO77" s="30" t="s">
        <v>224</v>
      </c>
      <c r="AP77" s="30">
        <v>2216.0</v>
      </c>
      <c r="AQ77" s="30" t="s">
        <v>68</v>
      </c>
      <c r="AR77" s="30">
        <v>0.0</v>
      </c>
      <c r="AS77" s="30">
        <v>41.0</v>
      </c>
      <c r="AT77" s="33">
        <v>42677.4</v>
      </c>
      <c r="AU77" s="30">
        <v>38.0</v>
      </c>
      <c r="AV77" s="33">
        <v>45387.513194444444</v>
      </c>
    </row>
    <row r="78" ht="15.75" customHeight="1">
      <c r="A78" s="8"/>
      <c r="B78" s="30" t="s">
        <v>167</v>
      </c>
      <c r="C78" s="31" t="s">
        <v>225</v>
      </c>
      <c r="D78" s="31">
        <v>8000.0</v>
      </c>
      <c r="E78" s="30"/>
      <c r="F78" s="30"/>
      <c r="G78" s="32" t="s">
        <v>100</v>
      </c>
      <c r="H78" s="32" t="s">
        <v>198</v>
      </c>
      <c r="I78" s="31" t="s">
        <v>226</v>
      </c>
      <c r="J78" s="31" t="str">
        <f>IFERROR(__xludf.DUMMYFUNCTION("IF(ISBLANK(I78), """", GOOGLETRANSLATE(I78, ""es"", ""en""))"),"Goal in Text")</f>
        <v>Goal in Text</v>
      </c>
      <c r="K78" s="43" t="s">
        <v>227</v>
      </c>
    </row>
    <row r="79" ht="15.75" customHeight="1">
      <c r="A79" s="8"/>
      <c r="B79" s="30" t="s">
        <v>168</v>
      </c>
      <c r="C79" s="31" t="s">
        <v>220</v>
      </c>
      <c r="D79" s="31">
        <v>9.0</v>
      </c>
      <c r="E79" s="30">
        <v>19.0</v>
      </c>
      <c r="F79" s="30">
        <v>2.0</v>
      </c>
      <c r="G79" s="32" t="s">
        <v>61</v>
      </c>
      <c r="H79" s="32" t="s">
        <v>194</v>
      </c>
      <c r="I79" s="31" t="s">
        <v>228</v>
      </c>
      <c r="J79" s="31" t="str">
        <f>IFERROR(__xludf.DUMMYFUNCTION("IF(ISBLANK(I79), """", GOOGLETRANSLATE(I79, ""es"", ""en""))"),"Goal achieved")</f>
        <v>Goal achieved</v>
      </c>
    </row>
    <row r="80" ht="15.75" customHeight="1">
      <c r="A80" s="8"/>
      <c r="B80" s="30" t="s">
        <v>169</v>
      </c>
      <c r="C80" s="31" t="s">
        <v>225</v>
      </c>
      <c r="D80" s="31">
        <v>8000.0</v>
      </c>
      <c r="E80" s="30"/>
      <c r="F80" s="30"/>
      <c r="G80" s="32" t="s">
        <v>100</v>
      </c>
      <c r="H80" s="32" t="s">
        <v>195</v>
      </c>
      <c r="I80" s="31" t="s">
        <v>229</v>
      </c>
      <c r="J80" s="31" t="str">
        <f>IFERROR(__xludf.DUMMYFUNCTION("IF(ISBLANK(I80), """", GOOGLETRANSLATE(I80, ""es"", ""en""))"),"Goal achieved in text")</f>
        <v>Goal achieved in text</v>
      </c>
    </row>
    <row r="81" ht="15.75" customHeight="1">
      <c r="A81" s="8"/>
      <c r="B81" s="30" t="s">
        <v>170</v>
      </c>
      <c r="C81" s="31" t="s">
        <v>220</v>
      </c>
      <c r="D81" s="31">
        <v>9.0</v>
      </c>
      <c r="E81" s="30">
        <v>19.0</v>
      </c>
      <c r="F81" s="30">
        <v>2.0</v>
      </c>
      <c r="G81" s="32" t="s">
        <v>61</v>
      </c>
      <c r="H81" s="32" t="s">
        <v>198</v>
      </c>
      <c r="I81" s="31" t="s">
        <v>230</v>
      </c>
      <c r="J81" s="31" t="str">
        <f>IFERROR(__xludf.DUMMYFUNCTION("IF(ISBLANK(I81), """", GOOGLETRANSLATE(I81, ""es"", ""en""))"),"Goal in execution ")</f>
        <v>Goal in execution </v>
      </c>
    </row>
    <row r="82" ht="15.75" customHeight="1">
      <c r="A82" s="8"/>
      <c r="B82" s="30" t="s">
        <v>171</v>
      </c>
      <c r="C82" s="31" t="s">
        <v>225</v>
      </c>
      <c r="D82" s="31">
        <v>8000.0</v>
      </c>
      <c r="E82" s="30"/>
      <c r="F82" s="30"/>
      <c r="G82" s="32" t="s">
        <v>100</v>
      </c>
      <c r="H82" s="32" t="s">
        <v>198</v>
      </c>
      <c r="I82" s="31" t="s">
        <v>231</v>
      </c>
      <c r="J82" s="31" t="str">
        <f>IFERROR(__xludf.DUMMYFUNCTION("IF(ISBLANK(I82), """", GOOGLETRANSLATE(I82, ""es"", ""en""))"),"Goal in execution Text")</f>
        <v>Goal in execution Text</v>
      </c>
    </row>
    <row r="83" ht="15.75" customHeight="1">
      <c r="A83" s="8"/>
      <c r="B83" s="30" t="s">
        <v>172</v>
      </c>
      <c r="C83" s="31" t="s">
        <v>220</v>
      </c>
      <c r="D83" s="31">
        <v>9.0</v>
      </c>
      <c r="E83" s="30">
        <v>19.0</v>
      </c>
      <c r="F83" s="30">
        <v>2.0</v>
      </c>
      <c r="G83" s="32" t="s">
        <v>61</v>
      </c>
      <c r="H83" s="32" t="s">
        <v>194</v>
      </c>
      <c r="I83" s="31" t="s">
        <v>232</v>
      </c>
      <c r="J83" s="31" t="str">
        <f>IFERROR(__xludf.DUMMYFUNCTION("IF(ISBLANK(I83), """", GOOGLETRANSLATE(I83, ""es"", ""en""))"),"Progress on Product Goals in Quarter 1")</f>
        <v>Progress on Product Goals in Quarter 1</v>
      </c>
    </row>
    <row r="84" ht="15.75" customHeight="1">
      <c r="A84" s="8"/>
      <c r="B84" s="30" t="s">
        <v>173</v>
      </c>
      <c r="C84" s="31" t="s">
        <v>225</v>
      </c>
      <c r="D84" s="31">
        <v>8000.0</v>
      </c>
      <c r="E84" s="30"/>
      <c r="F84" s="30"/>
      <c r="G84" s="32" t="s">
        <v>100</v>
      </c>
      <c r="H84" s="32" t="s">
        <v>195</v>
      </c>
      <c r="I84" s="31" t="s">
        <v>233</v>
      </c>
      <c r="J84" s="31" t="str">
        <f>IFERROR(__xludf.DUMMYFUNCTION("IF(ISBLANK(I84), """", GOOGLETRANSLATE(I84, ""es"", ""en""))"),"Progress on Product Goals in Quarter 1 in text")</f>
        <v>Progress on Product Goals in Quarter 1 in text</v>
      </c>
    </row>
    <row r="85" ht="15.75" customHeight="1">
      <c r="A85" s="8"/>
      <c r="B85" s="30" t="s">
        <v>174</v>
      </c>
      <c r="C85" s="31" t="s">
        <v>220</v>
      </c>
      <c r="D85" s="31">
        <v>9.0</v>
      </c>
      <c r="E85" s="30">
        <v>19.0</v>
      </c>
      <c r="F85" s="30">
        <v>2.0</v>
      </c>
      <c r="G85" s="32" t="s">
        <v>61</v>
      </c>
      <c r="H85" s="32" t="s">
        <v>194</v>
      </c>
      <c r="I85" s="31" t="s">
        <v>234</v>
      </c>
      <c r="J85" s="31" t="str">
        <f>IFERROR(__xludf.DUMMYFUNCTION("IF(ISBLANK(I85), """", GOOGLETRANSLATE(I85, ""es"", ""en""))"),"Progress on Product Goals in Quarter 2")</f>
        <v>Progress on Product Goals in Quarter 2</v>
      </c>
    </row>
    <row r="86" ht="15.75" customHeight="1">
      <c r="A86" s="8"/>
      <c r="B86" s="30" t="s">
        <v>175</v>
      </c>
      <c r="C86" s="31" t="s">
        <v>225</v>
      </c>
      <c r="D86" s="31">
        <v>8000.0</v>
      </c>
      <c r="E86" s="30"/>
      <c r="F86" s="30"/>
      <c r="G86" s="32" t="s">
        <v>100</v>
      </c>
      <c r="H86" s="32" t="s">
        <v>195</v>
      </c>
      <c r="I86" s="31" t="s">
        <v>235</v>
      </c>
      <c r="J86" s="31" t="str">
        <f>IFERROR(__xludf.DUMMYFUNCTION("IF(ISBLANK(I86), """", GOOGLETRANSLATE(I86, ""es"", ""en""))"),"Progress on Product Goals in Quarter 2 in text")</f>
        <v>Progress on Product Goals in Quarter 2 in text</v>
      </c>
    </row>
    <row r="87" ht="15.75" customHeight="1">
      <c r="A87" s="8"/>
      <c r="B87" s="30" t="s">
        <v>176</v>
      </c>
      <c r="C87" s="31" t="s">
        <v>220</v>
      </c>
      <c r="D87" s="31">
        <v>9.0</v>
      </c>
      <c r="E87" s="30">
        <v>19.0</v>
      </c>
      <c r="F87" s="30">
        <v>2.0</v>
      </c>
      <c r="G87" s="32" t="s">
        <v>61</v>
      </c>
      <c r="H87" s="32" t="s">
        <v>194</v>
      </c>
      <c r="I87" s="31" t="s">
        <v>236</v>
      </c>
      <c r="J87" s="31" t="str">
        <f>IFERROR(__xludf.DUMMYFUNCTION("IF(ISBLANK(I87), """", GOOGLETRANSLATE(I87, ""es"", ""en""))"),"Progress on Product Goals in Quarter 3")</f>
        <v>Progress on Product Goals in Quarter 3</v>
      </c>
    </row>
    <row r="88" ht="15.75" customHeight="1">
      <c r="A88" s="8"/>
      <c r="B88" s="30" t="s">
        <v>177</v>
      </c>
      <c r="C88" s="31" t="s">
        <v>225</v>
      </c>
      <c r="D88" s="31">
        <v>8000.0</v>
      </c>
      <c r="E88" s="30"/>
      <c r="F88" s="30"/>
      <c r="G88" s="32" t="s">
        <v>100</v>
      </c>
      <c r="H88" s="32" t="s">
        <v>195</v>
      </c>
      <c r="I88" s="31" t="s">
        <v>237</v>
      </c>
      <c r="J88" s="31" t="str">
        <f>IFERROR(__xludf.DUMMYFUNCTION("IF(ISBLANK(I88), """", GOOGLETRANSLATE(I88, ""es"", ""en""))"),"Progress on Product Goals in Quarter 3 in text")</f>
        <v>Progress on Product Goals in Quarter 3 in text</v>
      </c>
    </row>
    <row r="89" ht="15.75" customHeight="1">
      <c r="A89" s="8"/>
      <c r="B89" s="30" t="s">
        <v>178</v>
      </c>
      <c r="C89" s="31" t="s">
        <v>220</v>
      </c>
      <c r="D89" s="31">
        <v>9.0</v>
      </c>
      <c r="E89" s="30">
        <v>19.0</v>
      </c>
      <c r="F89" s="30">
        <v>2.0</v>
      </c>
      <c r="G89" s="32" t="s">
        <v>61</v>
      </c>
      <c r="H89" s="32" t="s">
        <v>194</v>
      </c>
      <c r="I89" s="31" t="s">
        <v>238</v>
      </c>
      <c r="J89" s="31" t="str">
        <f>IFERROR(__xludf.DUMMYFUNCTION("IF(ISBLANK(I89), """", GOOGLETRANSLATE(I89, ""es"", ""en""))"),"Progress on Product Goals in Quarter 4")</f>
        <v>Progress on Product Goals in Quarter 4</v>
      </c>
    </row>
    <row r="90" ht="15.75" customHeight="1">
      <c r="A90" s="8"/>
      <c r="B90" s="30" t="s">
        <v>179</v>
      </c>
      <c r="C90" s="31" t="s">
        <v>225</v>
      </c>
      <c r="D90" s="31">
        <v>8000.0</v>
      </c>
      <c r="E90" s="30"/>
      <c r="F90" s="30"/>
      <c r="G90" s="32" t="s">
        <v>100</v>
      </c>
      <c r="H90" s="32" t="s">
        <v>195</v>
      </c>
      <c r="I90" s="31" t="s">
        <v>239</v>
      </c>
      <c r="J90" s="31" t="str">
        <f>IFERROR(__xludf.DUMMYFUNCTION("IF(ISBLANK(I90), """", GOOGLETRANSLATE(I90, ""es"", ""en""))"),"Progress on Product Goals in Quarter 4 in text")</f>
        <v>Progress on Product Goals in Quarter 4 in text</v>
      </c>
    </row>
    <row r="91" ht="15.75" customHeight="1">
      <c r="A91" s="8"/>
      <c r="B91" s="30" t="s">
        <v>180</v>
      </c>
      <c r="C91" s="31" t="s">
        <v>220</v>
      </c>
      <c r="D91" s="31">
        <v>9.0</v>
      </c>
      <c r="E91" s="30">
        <v>19.0</v>
      </c>
      <c r="F91" s="30">
        <v>2.0</v>
      </c>
      <c r="G91" s="32" t="s">
        <v>61</v>
      </c>
      <c r="H91" s="32" t="s">
        <v>194</v>
      </c>
      <c r="I91" s="31"/>
      <c r="J91" s="31" t="str">
        <f>IFERROR(__xludf.DUMMYFUNCTION("IF(ISBLANK(I91), """", GOOGLETRANSLATE(I91, ""es"", ""en""))"),"")</f>
        <v/>
      </c>
    </row>
    <row r="92" ht="15.75" customHeight="1">
      <c r="A92" s="8"/>
      <c r="B92" s="30" t="s">
        <v>181</v>
      </c>
      <c r="C92" s="31" t="s">
        <v>225</v>
      </c>
      <c r="D92" s="31">
        <v>8000.0</v>
      </c>
      <c r="E92" s="30"/>
      <c r="F92" s="30"/>
      <c r="G92" s="32" t="s">
        <v>100</v>
      </c>
      <c r="H92" s="32" t="s">
        <v>195</v>
      </c>
      <c r="I92" s="31"/>
      <c r="J92" s="31" t="str">
        <f>IFERROR(__xludf.DUMMYFUNCTION("IF(ISBLANK(I92), """", GOOGLETRANSLATE(I92, ""es"", ""en""))"),"")</f>
        <v/>
      </c>
    </row>
    <row r="93" ht="15.75" customHeight="1">
      <c r="A93" s="8"/>
      <c r="B93" s="30" t="s">
        <v>182</v>
      </c>
      <c r="C93" s="31" t="s">
        <v>220</v>
      </c>
      <c r="D93" s="31">
        <v>13.0</v>
      </c>
      <c r="E93" s="30">
        <v>20.0</v>
      </c>
      <c r="F93" s="30">
        <v>2.0</v>
      </c>
      <c r="G93" s="32" t="s">
        <v>100</v>
      </c>
      <c r="H93" s="32" t="s">
        <v>198</v>
      </c>
      <c r="I93" s="31" t="s">
        <v>240</v>
      </c>
      <c r="J93" s="31" t="str">
        <f>IFERROR(__xludf.DUMMYFUNCTION("IF(ISBLANK(I93), """", GOOGLETRANSLATE(I93, ""es"", ""en""))"),"Goal achieved in execution")</f>
        <v>Goal achieved in execution</v>
      </c>
    </row>
    <row r="94" ht="15.75" customHeight="1">
      <c r="A94" s="8"/>
      <c r="B94" s="30" t="s">
        <v>183</v>
      </c>
      <c r="C94" s="31" t="s">
        <v>225</v>
      </c>
      <c r="D94" s="31">
        <v>8000.0</v>
      </c>
      <c r="E94" s="30"/>
      <c r="F94" s="30"/>
      <c r="G94" s="32" t="s">
        <v>100</v>
      </c>
      <c r="H94" s="32" t="s">
        <v>198</v>
      </c>
      <c r="I94" s="31" t="s">
        <v>241</v>
      </c>
      <c r="J94" s="31" t="str">
        <f>IFERROR(__xludf.DUMMYFUNCTION("IF(ISBLANK(I94), """", GOOGLETRANSLATE(I94, ""es"", ""en""))"),"Goal achieved in execution Text")</f>
        <v>Goal achieved in execution Text</v>
      </c>
    </row>
    <row r="95" ht="15.75" customHeight="1">
      <c r="A95" s="8"/>
      <c r="B95" s="30" t="s">
        <v>184</v>
      </c>
      <c r="C95" s="31" t="s">
        <v>220</v>
      </c>
      <c r="D95" s="31">
        <v>13.0</v>
      </c>
      <c r="E95" s="30">
        <v>25.0</v>
      </c>
      <c r="F95" s="30">
        <v>2.0</v>
      </c>
      <c r="G95" s="32" t="s">
        <v>100</v>
      </c>
      <c r="H95" s="32" t="s">
        <v>198</v>
      </c>
      <c r="I95" s="31" t="s">
        <v>242</v>
      </c>
      <c r="J95" s="31" t="str">
        <f>IFERROR(__xludf.DUMMYFUNCTION("IF(ISBLANK(I95), """", GOOGLETRANSLATE(I95, ""es"", ""en""))"),"Total ")</f>
        <v>Total </v>
      </c>
    </row>
    <row r="96" ht="15.75" customHeight="1">
      <c r="A96" s="8"/>
      <c r="B96" s="30" t="s">
        <v>185</v>
      </c>
      <c r="C96" s="31" t="s">
        <v>225</v>
      </c>
      <c r="D96" s="31">
        <v>8000.0</v>
      </c>
      <c r="E96" s="30"/>
      <c r="F96" s="30"/>
      <c r="G96" s="32" t="s">
        <v>100</v>
      </c>
      <c r="H96" s="32" t="s">
        <v>198</v>
      </c>
      <c r="I96" s="31" t="s">
        <v>243</v>
      </c>
      <c r="J96" s="31" t="str">
        <f>IFERROR(__xludf.DUMMYFUNCTION("IF(ISBLANK(I96), """", GOOGLETRANSLATE(I96, ""es"", ""en""))"),"Total Text")</f>
        <v>Total Text</v>
      </c>
    </row>
    <row r="97" ht="15.75" customHeight="1">
      <c r="A97" s="8"/>
      <c r="B97" s="30" t="s">
        <v>186</v>
      </c>
      <c r="C97" s="31" t="s">
        <v>60</v>
      </c>
      <c r="D97" s="31">
        <v>4.0</v>
      </c>
      <c r="E97" s="30">
        <v>10.0</v>
      </c>
      <c r="F97" s="30">
        <v>0.0</v>
      </c>
      <c r="G97" s="32" t="s">
        <v>61</v>
      </c>
      <c r="H97" s="32">
        <v>2216.0</v>
      </c>
      <c r="I97" s="31" t="s">
        <v>244</v>
      </c>
      <c r="J97" s="31" t="str">
        <f>IFERROR(__xludf.DUMMYFUNCTION("IF(ISBLANK(I97), """", GOOGLETRANSLATE(I97, ""es"", ""en""))"),"Project Phase Identifier")</f>
        <v>Project Phase Identifier</v>
      </c>
    </row>
    <row r="98" ht="15.75" customHeight="1">
      <c r="A98" s="8"/>
      <c r="B98" s="30" t="s">
        <v>54</v>
      </c>
      <c r="C98" s="31" t="s">
        <v>82</v>
      </c>
      <c r="D98" s="31">
        <v>32.0</v>
      </c>
      <c r="E98" s="30"/>
      <c r="F98" s="30"/>
      <c r="G98" s="32" t="s">
        <v>61</v>
      </c>
      <c r="H98" s="32" t="s">
        <v>68</v>
      </c>
      <c r="I98" s="31" t="s">
        <v>153</v>
      </c>
      <c r="J98" s="31" t="str">
        <f>IFERROR(__xludf.DUMMYFUNCTION("IF(ISBLANK(I98), """", GOOGLETRANSLATE(I98, ""es"", ""en""))"),"Registration Status")</f>
        <v>Registration Status</v>
      </c>
    </row>
    <row r="99" ht="15.75" customHeight="1">
      <c r="A99" s="8"/>
      <c r="B99" s="30" t="s">
        <v>55</v>
      </c>
      <c r="C99" s="31" t="s">
        <v>60</v>
      </c>
      <c r="D99" s="31">
        <v>4.0</v>
      </c>
      <c r="E99" s="30">
        <v>10.0</v>
      </c>
      <c r="F99" s="30">
        <v>0.0</v>
      </c>
      <c r="G99" s="32" t="s">
        <v>100</v>
      </c>
      <c r="H99" s="32">
        <v>0.0</v>
      </c>
      <c r="I99" s="31"/>
      <c r="J99" s="31" t="str">
        <f>IFERROR(__xludf.DUMMYFUNCTION("IF(ISBLANK(I99), """", GOOGLETRANSLATE(I99, ""es"", ""en""))"),"")</f>
        <v/>
      </c>
    </row>
    <row r="100" ht="15.75" customHeight="1">
      <c r="A100" s="8"/>
      <c r="B100" s="30" t="s">
        <v>56</v>
      </c>
      <c r="C100" s="31" t="s">
        <v>60</v>
      </c>
      <c r="D100" s="31">
        <v>4.0</v>
      </c>
      <c r="E100" s="30">
        <v>10.0</v>
      </c>
      <c r="F100" s="30">
        <v>0.0</v>
      </c>
      <c r="G100" s="32" t="s">
        <v>61</v>
      </c>
      <c r="H100" s="32">
        <v>38.0</v>
      </c>
      <c r="I100" s="31" t="s">
        <v>101</v>
      </c>
      <c r="J100" s="31" t="str">
        <f>IFERROR(__xludf.DUMMYFUNCTION("IF(ISBLANK(I100), """", GOOGLETRANSLATE(I100, ""es"", ""en""))"),"User who inserted the record, Fields used by the institution for internal use")</f>
        <v>User who inserted the record, Fields used by the institution for internal use</v>
      </c>
    </row>
    <row r="101" ht="15.75" customHeight="1">
      <c r="A101" s="8"/>
      <c r="B101" s="30" t="s">
        <v>57</v>
      </c>
      <c r="C101" s="31" t="s">
        <v>102</v>
      </c>
      <c r="D101" s="31">
        <v>4.0</v>
      </c>
      <c r="E101" s="30"/>
      <c r="F101" s="30"/>
      <c r="G101" s="32" t="s">
        <v>61</v>
      </c>
      <c r="H101" s="44">
        <v>44900.46597222222</v>
      </c>
      <c r="I101" s="31" t="s">
        <v>103</v>
      </c>
      <c r="J101" s="31" t="str">
        <f>IFERROR(__xludf.DUMMYFUNCTION("IF(ISBLANK(I101), """", GOOGLETRANSLATE(I101, ""es"", ""en""))"),"Insertion date, Fields used by the institution for internal use")</f>
        <v>Insertion date, Fields used by the institution for internal use</v>
      </c>
    </row>
    <row r="102" ht="15.75" customHeight="1">
      <c r="A102" s="8"/>
      <c r="B102" s="30" t="s">
        <v>58</v>
      </c>
      <c r="C102" s="31" t="s">
        <v>60</v>
      </c>
      <c r="D102" s="31">
        <v>4.0</v>
      </c>
      <c r="E102" s="30">
        <v>10.0</v>
      </c>
      <c r="F102" s="30">
        <v>0.0</v>
      </c>
      <c r="G102" s="32" t="s">
        <v>100</v>
      </c>
      <c r="H102" s="32">
        <v>38.0</v>
      </c>
      <c r="I102" s="31" t="s">
        <v>104</v>
      </c>
      <c r="J102" s="31" t="str">
        <f>IFERROR(__xludf.DUMMYFUNCTION("IF(ISBLANK(I102), """", GOOGLETRANSLATE(I102, ""es"", ""en""))"),"Update User Callsign")</f>
        <v>Update User Callsign</v>
      </c>
    </row>
    <row r="103" ht="15.75" customHeight="1">
      <c r="A103" s="8"/>
      <c r="B103" s="30" t="s">
        <v>59</v>
      </c>
      <c r="C103" s="31" t="s">
        <v>102</v>
      </c>
      <c r="D103" s="31">
        <v>4.0</v>
      </c>
      <c r="E103" s="30"/>
      <c r="F103" s="30"/>
      <c r="G103" s="32" t="s">
        <v>100</v>
      </c>
      <c r="H103" s="44">
        <v>45387.513194444444</v>
      </c>
      <c r="I103" s="31" t="s">
        <v>105</v>
      </c>
      <c r="J103" s="31" t="str">
        <f>IFERROR(__xludf.DUMMYFUNCTION("IF(ISBLANK(I103), """", GOOGLETRANSLATE(I103, ""es"", ""en""))"),"Update date")</f>
        <v>Update date</v>
      </c>
    </row>
    <row r="104" ht="15.75" customHeight="1">
      <c r="C104" s="4"/>
      <c r="D104" s="4"/>
      <c r="H104" s="3"/>
      <c r="I104" s="4"/>
    </row>
    <row r="105" ht="15.75" customHeight="1">
      <c r="C105" s="4"/>
      <c r="D105" s="4"/>
      <c r="H105" s="3"/>
      <c r="I105" s="4"/>
    </row>
    <row r="106" ht="15.75" customHeight="1">
      <c r="C106" s="4"/>
      <c r="D106" s="4"/>
      <c r="H106" s="3"/>
      <c r="I106" s="4"/>
    </row>
    <row r="107" ht="15.75" customHeight="1">
      <c r="A107" s="17"/>
      <c r="B107" s="38" t="s">
        <v>245</v>
      </c>
      <c r="C107" s="20"/>
      <c r="D107" s="20"/>
      <c r="E107" s="20"/>
      <c r="F107" s="20"/>
      <c r="G107" s="20"/>
      <c r="H107" s="20"/>
      <c r="I107" s="20"/>
      <c r="J107" s="22"/>
    </row>
    <row r="108" ht="33.75" customHeight="1">
      <c r="A108" s="34"/>
      <c r="B108" s="35" t="s">
        <v>246</v>
      </c>
      <c r="C108" s="20"/>
      <c r="D108" s="20"/>
      <c r="E108" s="20"/>
      <c r="F108" s="20"/>
      <c r="G108" s="22"/>
      <c r="H108" s="35" t="str">
        <f>IFERROR(__xludf.DUMMYFUNCTION("IF(ISBLANK(B108), """", GOOGLETRANSLATE(B108, ""es"", ""en""))"),"Phases by investment project")</f>
        <v>Phases by investment project</v>
      </c>
      <c r="I108" s="20"/>
      <c r="J108" s="22"/>
      <c r="K108" s="23"/>
      <c r="L108" s="23"/>
      <c r="M108" s="24" t="s">
        <v>33</v>
      </c>
      <c r="N108" s="23"/>
      <c r="O108" s="23"/>
      <c r="P108" s="23"/>
      <c r="Q108" s="45"/>
      <c r="R108" s="23"/>
      <c r="S108" s="23"/>
      <c r="T108" s="23"/>
      <c r="U108" s="23"/>
      <c r="V108" s="23"/>
      <c r="W108" s="23"/>
      <c r="X108" s="23"/>
      <c r="Y108" s="23"/>
      <c r="Z108" s="23"/>
      <c r="AA108" s="23"/>
      <c r="AB108" s="39"/>
      <c r="AC108" s="23"/>
      <c r="AD108" s="39"/>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row>
    <row r="109" ht="15.75" customHeight="1">
      <c r="A109" s="25"/>
      <c r="B109" s="26" t="s">
        <v>34</v>
      </c>
      <c r="C109" s="27" t="s">
        <v>35</v>
      </c>
      <c r="D109" s="27" t="s">
        <v>36</v>
      </c>
      <c r="E109" s="26" t="s">
        <v>37</v>
      </c>
      <c r="F109" s="26" t="s">
        <v>38</v>
      </c>
      <c r="G109" s="26" t="s">
        <v>39</v>
      </c>
      <c r="H109" s="28" t="s">
        <v>40</v>
      </c>
      <c r="I109" s="28" t="s">
        <v>41</v>
      </c>
      <c r="J109" s="28" t="s">
        <v>42</v>
      </c>
      <c r="K109" s="40" t="s">
        <v>247</v>
      </c>
      <c r="M109" s="6" t="s">
        <v>186</v>
      </c>
      <c r="N109" s="6" t="s">
        <v>158</v>
      </c>
      <c r="O109" s="6" t="s">
        <v>248</v>
      </c>
      <c r="P109" s="6" t="s">
        <v>159</v>
      </c>
      <c r="Q109" s="46" t="s">
        <v>249</v>
      </c>
      <c r="R109" s="6" t="s">
        <v>250</v>
      </c>
      <c r="S109" s="6" t="s">
        <v>251</v>
      </c>
      <c r="T109" s="6" t="s">
        <v>252</v>
      </c>
      <c r="U109" s="6" t="s">
        <v>253</v>
      </c>
      <c r="V109" s="6" t="s">
        <v>254</v>
      </c>
      <c r="W109" s="6" t="s">
        <v>255</v>
      </c>
      <c r="X109" s="6" t="s">
        <v>256</v>
      </c>
      <c r="Y109" s="6" t="s">
        <v>257</v>
      </c>
      <c r="Z109" s="6" t="s">
        <v>258</v>
      </c>
      <c r="AA109" s="6" t="s">
        <v>259</v>
      </c>
      <c r="AB109" s="6" t="s">
        <v>54</v>
      </c>
      <c r="AC109" s="6" t="s">
        <v>55</v>
      </c>
      <c r="AD109" s="6" t="s">
        <v>56</v>
      </c>
      <c r="AE109" s="6" t="s">
        <v>57</v>
      </c>
      <c r="AF109" s="6" t="s">
        <v>58</v>
      </c>
      <c r="AG109" s="6" t="s">
        <v>59</v>
      </c>
      <c r="AH109" s="6" t="s">
        <v>260</v>
      </c>
      <c r="AI109" s="6" t="s">
        <v>261</v>
      </c>
      <c r="AJ109" s="6" t="s">
        <v>262</v>
      </c>
    </row>
    <row r="110" ht="15.75" customHeight="1">
      <c r="A110" s="8"/>
      <c r="B110" s="30" t="s">
        <v>186</v>
      </c>
      <c r="C110" s="31" t="s">
        <v>60</v>
      </c>
      <c r="D110" s="31">
        <v>4.0</v>
      </c>
      <c r="E110" s="30">
        <v>10.0</v>
      </c>
      <c r="F110" s="30">
        <v>0.0</v>
      </c>
      <c r="G110" s="32" t="s">
        <v>61</v>
      </c>
      <c r="H110" s="32">
        <v>1732.0</v>
      </c>
      <c r="I110" s="31" t="s">
        <v>263</v>
      </c>
      <c r="J110" s="31" t="str">
        <f>IFERROR(__xludf.DUMMYFUNCTION("IF(ISBLANK(I110), """", GOOGLETRANSLATE(I110, ""es"", ""en""))"),"Phase code identifier ")</f>
        <v>Phase code identifier </v>
      </c>
      <c r="K110" s="47" t="s">
        <v>264</v>
      </c>
      <c r="M110" s="30">
        <v>1726.0</v>
      </c>
      <c r="N110" s="30">
        <v>1578.0</v>
      </c>
      <c r="O110" s="30" t="s">
        <v>265</v>
      </c>
      <c r="P110" s="30" t="s">
        <v>266</v>
      </c>
      <c r="Q110" s="30" t="s">
        <v>189</v>
      </c>
      <c r="R110" s="30">
        <v>30.0</v>
      </c>
      <c r="S110" s="30" t="s">
        <v>267</v>
      </c>
      <c r="T110" s="48">
        <v>4145000.0</v>
      </c>
      <c r="U110" s="30" t="s">
        <v>268</v>
      </c>
      <c r="V110" s="30" t="s">
        <v>269</v>
      </c>
      <c r="W110" s="30" t="s">
        <v>270</v>
      </c>
      <c r="X110" s="30" t="s">
        <v>271</v>
      </c>
      <c r="Y110" s="30">
        <v>2012.0</v>
      </c>
      <c r="Z110" s="30">
        <v>2022.0</v>
      </c>
      <c r="AA110" s="30">
        <v>2020.0</v>
      </c>
      <c r="AB110" s="30" t="s">
        <v>68</v>
      </c>
      <c r="AC110" s="30">
        <v>0.0</v>
      </c>
      <c r="AD110" s="30">
        <v>1.0</v>
      </c>
      <c r="AE110" s="33">
        <v>42286.0</v>
      </c>
      <c r="AF110" s="30">
        <v>34.0</v>
      </c>
      <c r="AG110" s="33">
        <v>44236.59027777778</v>
      </c>
      <c r="AH110" s="30" t="s">
        <v>194</v>
      </c>
      <c r="AI110" s="30" t="s">
        <v>272</v>
      </c>
      <c r="AJ110" s="30" t="s">
        <v>273</v>
      </c>
    </row>
    <row r="111" ht="15.75" customHeight="1">
      <c r="A111" s="8"/>
      <c r="B111" s="30" t="s">
        <v>158</v>
      </c>
      <c r="C111" s="31" t="s">
        <v>60</v>
      </c>
      <c r="D111" s="31">
        <v>4.0</v>
      </c>
      <c r="E111" s="30">
        <v>10.0</v>
      </c>
      <c r="F111" s="30">
        <v>0.0</v>
      </c>
      <c r="G111" s="32" t="s">
        <v>61</v>
      </c>
      <c r="H111" s="32">
        <v>1585.0</v>
      </c>
      <c r="I111" s="31" t="s">
        <v>196</v>
      </c>
      <c r="J111" s="31" t="str">
        <f>IFERROR(__xludf.DUMMYFUNCTION("IF(ISBLANK(I111), """", GOOGLETRANSLATE(I111, ""es"", ""en""))"),"Unique identifier of the Investment project (SNIP System)")</f>
        <v>Unique identifier of the Investment project (SNIP System)</v>
      </c>
      <c r="M111" s="30">
        <v>1730.0</v>
      </c>
      <c r="N111" s="30">
        <v>1582.0</v>
      </c>
      <c r="O111" s="30" t="s">
        <v>274</v>
      </c>
      <c r="P111" s="30" t="s">
        <v>266</v>
      </c>
      <c r="Q111" s="30" t="s">
        <v>189</v>
      </c>
      <c r="R111" s="30">
        <v>30.0</v>
      </c>
      <c r="S111" s="30" t="s">
        <v>267</v>
      </c>
      <c r="T111" s="48">
        <v>4145000.0</v>
      </c>
      <c r="U111" s="30" t="s">
        <v>275</v>
      </c>
      <c r="V111" s="30" t="s">
        <v>276</v>
      </c>
      <c r="W111" s="30" t="s">
        <v>277</v>
      </c>
      <c r="X111" s="30" t="s">
        <v>278</v>
      </c>
      <c r="Y111" s="30">
        <v>2012.0</v>
      </c>
      <c r="Z111" s="30">
        <v>2020.0</v>
      </c>
      <c r="AA111" s="30">
        <v>2019.0</v>
      </c>
      <c r="AB111" s="30" t="s">
        <v>68</v>
      </c>
      <c r="AC111" s="30">
        <v>0.0</v>
      </c>
      <c r="AD111" s="30">
        <v>1.0</v>
      </c>
      <c r="AE111" s="33">
        <v>42286.0</v>
      </c>
      <c r="AF111" s="30">
        <v>282.0</v>
      </c>
      <c r="AG111" s="33">
        <v>43580.63263888889</v>
      </c>
      <c r="AH111" s="30" t="s">
        <v>194</v>
      </c>
      <c r="AI111" s="30" t="s">
        <v>279</v>
      </c>
      <c r="AJ111" s="30" t="s">
        <v>280</v>
      </c>
    </row>
    <row r="112" ht="15.75" customHeight="1">
      <c r="A112" s="8"/>
      <c r="B112" s="30" t="s">
        <v>248</v>
      </c>
      <c r="C112" s="31" t="s">
        <v>82</v>
      </c>
      <c r="D112" s="31">
        <v>250.0</v>
      </c>
      <c r="E112" s="30"/>
      <c r="F112" s="30"/>
      <c r="G112" s="32" t="s">
        <v>100</v>
      </c>
      <c r="H112" s="32" t="s">
        <v>281</v>
      </c>
      <c r="I112" s="31" t="s">
        <v>282</v>
      </c>
      <c r="J112" s="31" t="str">
        <f>IFERROR(__xludf.DUMMYFUNCTION("IF(ISBLANK(I112), """", GOOGLETRANSLATE(I112, ""es"", ""en""))"),"Investment project description")</f>
        <v>Investment project description</v>
      </c>
      <c r="M112" s="30">
        <v>1732.0</v>
      </c>
      <c r="N112" s="30">
        <v>1585.0</v>
      </c>
      <c r="O112" s="30" t="s">
        <v>281</v>
      </c>
      <c r="P112" s="30" t="s">
        <v>266</v>
      </c>
      <c r="Q112" s="30" t="s">
        <v>189</v>
      </c>
      <c r="R112" s="30">
        <v>30.0</v>
      </c>
      <c r="S112" s="30" t="s">
        <v>267</v>
      </c>
      <c r="T112" s="48">
        <v>4145000.0</v>
      </c>
      <c r="U112" s="30" t="s">
        <v>283</v>
      </c>
      <c r="V112" s="30" t="s">
        <v>284</v>
      </c>
      <c r="W112" s="30" t="s">
        <v>285</v>
      </c>
      <c r="X112" s="30" t="s">
        <v>286</v>
      </c>
      <c r="Y112" s="30">
        <v>2012.0</v>
      </c>
      <c r="Z112" s="30">
        <v>2021.0</v>
      </c>
      <c r="AA112" s="30">
        <v>2021.0</v>
      </c>
      <c r="AB112" s="30" t="s">
        <v>68</v>
      </c>
      <c r="AC112" s="30">
        <v>0.0</v>
      </c>
      <c r="AD112" s="30">
        <v>1.0</v>
      </c>
      <c r="AE112" s="33">
        <v>42286.0</v>
      </c>
      <c r="AF112" s="30">
        <v>53.0</v>
      </c>
      <c r="AG112" s="33">
        <v>44175.44861111111</v>
      </c>
      <c r="AH112" s="30" t="s">
        <v>194</v>
      </c>
      <c r="AI112" s="30" t="s">
        <v>287</v>
      </c>
      <c r="AJ112" s="30" t="s">
        <v>288</v>
      </c>
    </row>
    <row r="113" ht="15.75" customHeight="1">
      <c r="A113" s="8"/>
      <c r="B113" s="30" t="s">
        <v>159</v>
      </c>
      <c r="C113" s="31" t="s">
        <v>82</v>
      </c>
      <c r="D113" s="31">
        <v>1.0</v>
      </c>
      <c r="E113" s="30"/>
      <c r="F113" s="30"/>
      <c r="G113" s="32" t="s">
        <v>61</v>
      </c>
      <c r="H113" s="32" t="s">
        <v>266</v>
      </c>
      <c r="I113" s="31" t="s">
        <v>289</v>
      </c>
      <c r="J113" s="31" t="str">
        <f>IFERROR(__xludf.DUMMYFUNCTION("IF(ISBLANK(I113), """", GOOGLETRANSLATE(I113, ""es"", ""en""))"),"Project phase identifier (A, I)")</f>
        <v>Project phase identifier (A, I)</v>
      </c>
      <c r="M113" s="30">
        <v>1737.0</v>
      </c>
      <c r="N113" s="30">
        <v>1590.0</v>
      </c>
      <c r="O113" s="30" t="s">
        <v>290</v>
      </c>
      <c r="P113" s="30" t="s">
        <v>266</v>
      </c>
      <c r="Q113" s="30" t="s">
        <v>189</v>
      </c>
      <c r="R113" s="30">
        <v>30.0</v>
      </c>
      <c r="S113" s="30" t="s">
        <v>267</v>
      </c>
      <c r="T113" s="48">
        <v>4145000.0</v>
      </c>
      <c r="U113" s="30" t="s">
        <v>291</v>
      </c>
      <c r="V113" s="30" t="s">
        <v>292</v>
      </c>
      <c r="W113" s="30" t="s">
        <v>293</v>
      </c>
      <c r="X113" s="30" t="s">
        <v>294</v>
      </c>
      <c r="Y113" s="30">
        <v>2012.0</v>
      </c>
      <c r="Z113" s="30">
        <v>2020.0</v>
      </c>
      <c r="AA113" s="30">
        <v>2019.0</v>
      </c>
      <c r="AB113" s="30" t="s">
        <v>68</v>
      </c>
      <c r="AC113" s="30">
        <v>0.0</v>
      </c>
      <c r="AD113" s="30">
        <v>1.0</v>
      </c>
      <c r="AE113" s="33">
        <v>42286.0</v>
      </c>
      <c r="AF113" s="30">
        <v>282.0</v>
      </c>
      <c r="AG113" s="33">
        <v>43580.62986111111</v>
      </c>
      <c r="AH113" s="30" t="s">
        <v>194</v>
      </c>
      <c r="AI113" s="30" t="s">
        <v>295</v>
      </c>
      <c r="AJ113" s="30" t="s">
        <v>296</v>
      </c>
    </row>
    <row r="114" ht="15.75" customHeight="1">
      <c r="A114" s="8"/>
      <c r="B114" s="30" t="s">
        <v>249</v>
      </c>
      <c r="C114" s="31" t="s">
        <v>82</v>
      </c>
      <c r="D114" s="31">
        <v>13.0</v>
      </c>
      <c r="E114" s="30"/>
      <c r="F114" s="30"/>
      <c r="G114" s="32" t="s">
        <v>61</v>
      </c>
      <c r="H114" s="32" t="s">
        <v>189</v>
      </c>
      <c r="I114" s="31" t="s">
        <v>297</v>
      </c>
      <c r="J114" s="31" t="str">
        <f>IFERROR(__xludf.DUMMYFUNCTION("IF(ISBLANK(I114), """", GOOGLETRANSLATE(I114, ""es"", ""en""))"),"Project phase identifier (Pre-investment, Investment)")</f>
        <v>Project phase identifier (Pre-investment, Investment)</v>
      </c>
      <c r="M114" s="30">
        <v>2136.0</v>
      </c>
      <c r="N114" s="30">
        <v>1965.0</v>
      </c>
      <c r="O114" s="30" t="s">
        <v>298</v>
      </c>
      <c r="P114" s="30" t="s">
        <v>266</v>
      </c>
      <c r="Q114" s="30" t="s">
        <v>189</v>
      </c>
      <c r="R114" s="30">
        <v>30.0</v>
      </c>
      <c r="S114" s="30" t="s">
        <v>267</v>
      </c>
      <c r="T114" s="48">
        <v>100000.0</v>
      </c>
      <c r="U114" s="30" t="s">
        <v>299</v>
      </c>
      <c r="V114" s="30" t="s">
        <v>300</v>
      </c>
      <c r="W114" s="30" t="s">
        <v>299</v>
      </c>
      <c r="X114" s="30" t="s">
        <v>300</v>
      </c>
      <c r="Y114" s="30">
        <v>2012.0</v>
      </c>
      <c r="Z114" s="30">
        <v>2023.0</v>
      </c>
      <c r="AA114" s="30">
        <v>2022.0</v>
      </c>
      <c r="AB114" s="30" t="s">
        <v>68</v>
      </c>
      <c r="AC114" s="30">
        <v>0.0</v>
      </c>
      <c r="AD114" s="30">
        <v>1.0</v>
      </c>
      <c r="AE114" s="33">
        <v>42286.0</v>
      </c>
      <c r="AF114" s="30">
        <v>53.0</v>
      </c>
      <c r="AG114" s="33">
        <v>44861.73472222222</v>
      </c>
      <c r="AH114" s="30" t="s">
        <v>301</v>
      </c>
      <c r="AI114" s="30" t="s">
        <v>302</v>
      </c>
      <c r="AJ114" s="30" t="s">
        <v>194</v>
      </c>
    </row>
    <row r="115" ht="15.75" customHeight="1">
      <c r="A115" s="8"/>
      <c r="B115" s="30" t="s">
        <v>250</v>
      </c>
      <c r="C115" s="31" t="s">
        <v>60</v>
      </c>
      <c r="D115" s="31">
        <v>4.0</v>
      </c>
      <c r="E115" s="30">
        <v>10.0</v>
      </c>
      <c r="F115" s="30">
        <v>0.0</v>
      </c>
      <c r="G115" s="32" t="s">
        <v>100</v>
      </c>
      <c r="H115" s="32">
        <v>30.0</v>
      </c>
      <c r="I115" s="31" t="s">
        <v>303</v>
      </c>
      <c r="J115" s="31" t="str">
        <f>IFERROR(__xludf.DUMMYFUNCTION("IF(ISBLANK(I115), """", GOOGLETRANSLATE(I115, ""es"", ""en""))"),"Currency Identifier")</f>
        <v>Currency Identifier</v>
      </c>
      <c r="M115" s="30">
        <v>2541.0</v>
      </c>
      <c r="N115" s="30">
        <v>2331.0</v>
      </c>
      <c r="O115" s="30" t="s">
        <v>304</v>
      </c>
      <c r="P115" s="30" t="s">
        <v>266</v>
      </c>
      <c r="Q115" s="30" t="s">
        <v>189</v>
      </c>
      <c r="R115" s="30">
        <v>30.0</v>
      </c>
      <c r="S115" s="30" t="s">
        <v>267</v>
      </c>
      <c r="T115" s="48">
        <v>100000.0</v>
      </c>
      <c r="U115" s="30" t="s">
        <v>305</v>
      </c>
      <c r="V115" s="30" t="s">
        <v>306</v>
      </c>
      <c r="W115" s="30" t="s">
        <v>305</v>
      </c>
      <c r="X115" s="30" t="s">
        <v>306</v>
      </c>
      <c r="Y115" s="30">
        <v>2013.0</v>
      </c>
      <c r="Z115" s="30">
        <v>2022.0</v>
      </c>
      <c r="AA115" s="30">
        <v>2022.0</v>
      </c>
      <c r="AB115" s="30" t="s">
        <v>68</v>
      </c>
      <c r="AC115" s="30">
        <v>0.0</v>
      </c>
      <c r="AD115" s="30">
        <v>1.0</v>
      </c>
      <c r="AE115" s="33">
        <v>42286.0</v>
      </c>
      <c r="AF115" s="30">
        <v>189.0</v>
      </c>
      <c r="AG115" s="33">
        <v>44792.34097222222</v>
      </c>
      <c r="AH115" s="30" t="s">
        <v>307</v>
      </c>
      <c r="AI115" s="30" t="s">
        <v>308</v>
      </c>
      <c r="AJ115" s="30" t="s">
        <v>194</v>
      </c>
    </row>
    <row r="116" ht="15.75" customHeight="1">
      <c r="A116" s="8"/>
      <c r="B116" s="30" t="s">
        <v>251</v>
      </c>
      <c r="C116" s="31" t="s">
        <v>82</v>
      </c>
      <c r="D116" s="31">
        <v>120.0</v>
      </c>
      <c r="E116" s="30"/>
      <c r="F116" s="30"/>
      <c r="G116" s="32" t="s">
        <v>100</v>
      </c>
      <c r="H116" s="32" t="s">
        <v>267</v>
      </c>
      <c r="I116" s="31" t="s">
        <v>309</v>
      </c>
      <c r="J116" s="31" t="str">
        <f>IFERROR(__xludf.DUMMYFUNCTION("IF(ISBLANK(I116), """", GOOGLETRANSLATE(I116, ""es"", ""en""))"),"Currency text identifier")</f>
        <v>Currency text identifier</v>
      </c>
      <c r="M116" s="30">
        <v>3146.0</v>
      </c>
      <c r="N116" s="30">
        <v>2949.0</v>
      </c>
      <c r="O116" s="30" t="s">
        <v>310</v>
      </c>
      <c r="P116" s="30" t="s">
        <v>266</v>
      </c>
      <c r="Q116" s="30" t="s">
        <v>189</v>
      </c>
      <c r="R116" s="30">
        <v>30.0</v>
      </c>
      <c r="S116" s="30" t="s">
        <v>267</v>
      </c>
      <c r="T116" s="48">
        <v>5849000.0</v>
      </c>
      <c r="U116" s="30" t="s">
        <v>311</v>
      </c>
      <c r="V116" s="30" t="s">
        <v>312</v>
      </c>
      <c r="W116" s="30" t="s">
        <v>313</v>
      </c>
      <c r="X116" s="30" t="s">
        <v>314</v>
      </c>
      <c r="Y116" s="30">
        <v>2020.0</v>
      </c>
      <c r="Z116" s="30">
        <v>2023.0</v>
      </c>
      <c r="AA116" s="30">
        <v>2022.0</v>
      </c>
      <c r="AB116" s="30" t="s">
        <v>68</v>
      </c>
      <c r="AC116" s="30">
        <v>0.0</v>
      </c>
      <c r="AD116" s="30">
        <v>1.0</v>
      </c>
      <c r="AE116" s="33">
        <v>42286.0</v>
      </c>
      <c r="AF116" s="30">
        <v>36.0</v>
      </c>
      <c r="AG116" s="33">
        <v>44524.677083333336</v>
      </c>
      <c r="AH116" s="30" t="s">
        <v>194</v>
      </c>
      <c r="AI116" s="30" t="s">
        <v>313</v>
      </c>
      <c r="AJ116" s="30" t="s">
        <v>194</v>
      </c>
    </row>
    <row r="117" ht="15.75" customHeight="1">
      <c r="A117" s="8"/>
      <c r="B117" s="30" t="s">
        <v>252</v>
      </c>
      <c r="C117" s="31" t="s">
        <v>220</v>
      </c>
      <c r="D117" s="31">
        <v>9.0</v>
      </c>
      <c r="E117" s="30">
        <v>10.0</v>
      </c>
      <c r="F117" s="30">
        <v>5.0</v>
      </c>
      <c r="G117" s="32" t="s">
        <v>100</v>
      </c>
      <c r="H117" s="49">
        <v>4145000.0</v>
      </c>
      <c r="I117" s="31" t="s">
        <v>315</v>
      </c>
      <c r="J117" s="31" t="str">
        <f>IFERROR(__xludf.DUMMYFUNCTION("IF(ISBLANK(I117), """", GOOGLETRANSLATE(I117, ""es"", ""en""))"),"Type or Rate of Exchange")</f>
        <v>Type or Rate of Exchange</v>
      </c>
      <c r="M117" s="30">
        <v>3147.0</v>
      </c>
      <c r="N117" s="30">
        <v>2951.0</v>
      </c>
      <c r="O117" s="30" t="s">
        <v>316</v>
      </c>
      <c r="P117" s="30" t="s">
        <v>266</v>
      </c>
      <c r="Q117" s="30" t="s">
        <v>189</v>
      </c>
      <c r="R117" s="30">
        <v>30.0</v>
      </c>
      <c r="S117" s="30" t="s">
        <v>267</v>
      </c>
      <c r="T117" s="48">
        <v>4787663.0</v>
      </c>
      <c r="U117" s="30" t="s">
        <v>317</v>
      </c>
      <c r="V117" s="30" t="s">
        <v>318</v>
      </c>
      <c r="W117" s="30" t="s">
        <v>319</v>
      </c>
      <c r="X117" s="30" t="s">
        <v>320</v>
      </c>
      <c r="Y117" s="30">
        <v>2014.0</v>
      </c>
      <c r="Z117" s="30">
        <v>2022.0</v>
      </c>
      <c r="AA117" s="30">
        <v>2022.0</v>
      </c>
      <c r="AB117" s="30" t="s">
        <v>68</v>
      </c>
      <c r="AC117" s="30">
        <v>0.0</v>
      </c>
      <c r="AD117" s="30">
        <v>1.0</v>
      </c>
      <c r="AE117" s="33">
        <v>42286.0</v>
      </c>
      <c r="AF117" s="30">
        <v>265.0</v>
      </c>
      <c r="AG117" s="33">
        <v>44524.69097222222</v>
      </c>
      <c r="AH117" s="30" t="s">
        <v>194</v>
      </c>
      <c r="AI117" s="30" t="s">
        <v>321</v>
      </c>
      <c r="AJ117" s="30" t="s">
        <v>322</v>
      </c>
    </row>
    <row r="118" ht="15.75" customHeight="1">
      <c r="A118" s="8"/>
      <c r="B118" s="30" t="s">
        <v>253</v>
      </c>
      <c r="C118" s="31" t="s">
        <v>220</v>
      </c>
      <c r="D118" s="31">
        <v>9.0</v>
      </c>
      <c r="E118" s="30">
        <v>19.0</v>
      </c>
      <c r="F118" s="30">
        <v>2.0</v>
      </c>
      <c r="G118" s="32" t="s">
        <v>100</v>
      </c>
      <c r="H118" s="32" t="s">
        <v>283</v>
      </c>
      <c r="I118" s="31" t="s">
        <v>323</v>
      </c>
      <c r="J118" s="31" t="str">
        <f>IFERROR(__xludf.DUMMYFUNCTION("IF(ISBLANK(I118), """", GOOGLETRANSLATE(I118, ""es"", ""en""))"),"Project cost in the original currency")</f>
        <v>Project cost in the original currency</v>
      </c>
      <c r="M118" s="30">
        <v>3487.0</v>
      </c>
      <c r="N118" s="30">
        <v>3292.0</v>
      </c>
      <c r="O118" s="30" t="s">
        <v>324</v>
      </c>
      <c r="P118" s="30" t="s">
        <v>266</v>
      </c>
      <c r="Q118" s="30" t="s">
        <v>189</v>
      </c>
      <c r="R118" s="30">
        <v>30.0</v>
      </c>
      <c r="S118" s="30" t="s">
        <v>267</v>
      </c>
      <c r="T118" s="48">
        <v>4549000.0</v>
      </c>
      <c r="U118" s="30" t="s">
        <v>325</v>
      </c>
      <c r="V118" s="30" t="s">
        <v>326</v>
      </c>
      <c r="W118" s="30" t="s">
        <v>327</v>
      </c>
      <c r="X118" s="30" t="s">
        <v>328</v>
      </c>
      <c r="Y118" s="30">
        <v>2014.0</v>
      </c>
      <c r="Z118" s="30">
        <v>2020.0</v>
      </c>
      <c r="AA118" s="30">
        <v>2020.0</v>
      </c>
      <c r="AB118" s="30" t="s">
        <v>68</v>
      </c>
      <c r="AC118" s="30">
        <v>0.0</v>
      </c>
      <c r="AD118" s="30">
        <v>1.0</v>
      </c>
      <c r="AE118" s="33">
        <v>42286.0</v>
      </c>
      <c r="AF118" s="30">
        <v>54.0</v>
      </c>
      <c r="AG118" s="33">
        <v>44028.58194444444</v>
      </c>
      <c r="AH118" s="30" t="s">
        <v>327</v>
      </c>
      <c r="AI118" s="30" t="s">
        <v>194</v>
      </c>
      <c r="AJ118" s="30" t="s">
        <v>194</v>
      </c>
    </row>
    <row r="119" ht="15.75" customHeight="1">
      <c r="A119" s="8"/>
      <c r="B119" s="30" t="s">
        <v>254</v>
      </c>
      <c r="C119" s="31" t="s">
        <v>225</v>
      </c>
      <c r="D119" s="31">
        <v>8000.0</v>
      </c>
      <c r="E119" s="30"/>
      <c r="F119" s="30"/>
      <c r="G119" s="32" t="s">
        <v>100</v>
      </c>
      <c r="H119" s="32" t="s">
        <v>284</v>
      </c>
      <c r="I119" s="31" t="s">
        <v>329</v>
      </c>
      <c r="J119" s="31" t="str">
        <f>IFERROR(__xludf.DUMMYFUNCTION("IF(ISBLANK(I119), """", GOOGLETRANSLATE(I119, ""es"", ""en""))"),"Project Cost in original currency in text")</f>
        <v>Project Cost in original currency in text</v>
      </c>
      <c r="M119" s="30">
        <v>42.0</v>
      </c>
      <c r="N119" s="30">
        <v>49.0</v>
      </c>
      <c r="O119" s="30" t="s">
        <v>330</v>
      </c>
      <c r="P119" s="30" t="s">
        <v>266</v>
      </c>
      <c r="Q119" s="30" t="s">
        <v>189</v>
      </c>
      <c r="R119" s="30">
        <v>30.0</v>
      </c>
      <c r="S119" s="30" t="s">
        <v>267</v>
      </c>
      <c r="T119" s="48">
        <v>4019000.0</v>
      </c>
      <c r="U119" s="30" t="s">
        <v>331</v>
      </c>
      <c r="V119" s="30" t="s">
        <v>332</v>
      </c>
      <c r="W119" s="30" t="s">
        <v>333</v>
      </c>
      <c r="X119" s="30" t="s">
        <v>334</v>
      </c>
      <c r="Y119" s="30">
        <v>2010.0</v>
      </c>
      <c r="Z119" s="30">
        <v>2023.0</v>
      </c>
      <c r="AA119" s="30">
        <v>2023.0</v>
      </c>
      <c r="AB119" s="30" t="s">
        <v>68</v>
      </c>
      <c r="AC119" s="30">
        <v>0.0</v>
      </c>
      <c r="AD119" s="30">
        <v>1.0</v>
      </c>
      <c r="AE119" s="33">
        <v>42286.0</v>
      </c>
      <c r="AF119" s="30">
        <v>282.0</v>
      </c>
      <c r="AG119" s="33">
        <v>44826.626388888886</v>
      </c>
      <c r="AH119" s="30" t="s">
        <v>335</v>
      </c>
      <c r="AI119" s="30" t="s">
        <v>336</v>
      </c>
      <c r="AJ119" s="30" t="s">
        <v>194</v>
      </c>
    </row>
    <row r="120" ht="15.75" customHeight="1">
      <c r="A120" s="8"/>
      <c r="B120" s="30" t="s">
        <v>255</v>
      </c>
      <c r="C120" s="31" t="s">
        <v>220</v>
      </c>
      <c r="D120" s="31">
        <v>9.0</v>
      </c>
      <c r="E120" s="30">
        <v>19.0</v>
      </c>
      <c r="F120" s="30">
        <v>2.0</v>
      </c>
      <c r="G120" s="32" t="s">
        <v>100</v>
      </c>
      <c r="H120" s="32" t="s">
        <v>285</v>
      </c>
      <c r="I120" s="31" t="s">
        <v>337</v>
      </c>
      <c r="J120" s="31" t="str">
        <f>IFERROR(__xludf.DUMMYFUNCTION("IF(ISBLANK(I120), """", GOOGLETRANSLATE(I120, ""es"", ""en""))"),"Project cost in Dominican currency")</f>
        <v>Project cost in Dominican currency</v>
      </c>
    </row>
    <row r="121" ht="15.75" customHeight="1">
      <c r="A121" s="8"/>
      <c r="B121" s="30" t="s">
        <v>256</v>
      </c>
      <c r="C121" s="31" t="s">
        <v>225</v>
      </c>
      <c r="D121" s="31">
        <v>8000.0</v>
      </c>
      <c r="E121" s="30"/>
      <c r="F121" s="30"/>
      <c r="G121" s="32" t="s">
        <v>100</v>
      </c>
      <c r="H121" s="32" t="s">
        <v>286</v>
      </c>
      <c r="I121" s="31" t="s">
        <v>338</v>
      </c>
      <c r="J121" s="31" t="str">
        <f>IFERROR(__xludf.DUMMYFUNCTION("IF(ISBLANK(I121), """", GOOGLETRANSLATE(I121, ""es"", ""en""))"),"Project cost in Dominican currency in text")</f>
        <v>Project cost in Dominican currency in text</v>
      </c>
    </row>
    <row r="122" ht="15.75" customHeight="1">
      <c r="A122" s="8"/>
      <c r="B122" s="30" t="s">
        <v>257</v>
      </c>
      <c r="C122" s="31" t="s">
        <v>60</v>
      </c>
      <c r="D122" s="31">
        <v>4.0</v>
      </c>
      <c r="E122" s="30">
        <v>10.0</v>
      </c>
      <c r="F122" s="30">
        <v>0.0</v>
      </c>
      <c r="G122" s="32" t="s">
        <v>61</v>
      </c>
      <c r="H122" s="32">
        <v>2012.0</v>
      </c>
      <c r="I122" s="31" t="s">
        <v>339</v>
      </c>
      <c r="J122" s="31" t="str">
        <f>IFERROR(__xludf.DUMMYFUNCTION("IF(ISBLANK(I122), """", GOOGLETRANSLATE(I122, ""es"", ""en""))"),"Project Start")</f>
        <v>Project Start</v>
      </c>
    </row>
    <row r="123" ht="15.75" customHeight="1">
      <c r="A123" s="8"/>
      <c r="B123" s="30" t="s">
        <v>258</v>
      </c>
      <c r="C123" s="31" t="s">
        <v>60</v>
      </c>
      <c r="D123" s="31">
        <v>4.0</v>
      </c>
      <c r="E123" s="30">
        <v>10.0</v>
      </c>
      <c r="F123" s="30">
        <v>0.0</v>
      </c>
      <c r="G123" s="32" t="s">
        <v>61</v>
      </c>
      <c r="H123" s="32">
        <v>2021.0</v>
      </c>
      <c r="I123" s="31" t="s">
        <v>340</v>
      </c>
      <c r="J123" s="31" t="str">
        <f>IFERROR(__xludf.DUMMYFUNCTION("IF(ISBLANK(I123), """", GOOGLETRANSLATE(I123, ""es"", ""en""))"),"End of project")</f>
        <v>End of project</v>
      </c>
    </row>
    <row r="124" ht="15.75" customHeight="1">
      <c r="A124" s="8"/>
      <c r="B124" s="30" t="s">
        <v>259</v>
      </c>
      <c r="C124" s="31" t="s">
        <v>60</v>
      </c>
      <c r="D124" s="31">
        <v>4.0</v>
      </c>
      <c r="E124" s="30">
        <v>10.0</v>
      </c>
      <c r="F124" s="30">
        <v>0.0</v>
      </c>
      <c r="G124" s="32" t="s">
        <v>61</v>
      </c>
      <c r="H124" s="32">
        <v>2021.0</v>
      </c>
      <c r="I124" s="31" t="s">
        <v>341</v>
      </c>
      <c r="J124" s="31" t="str">
        <f>IFERROR(__xludf.DUMMYFUNCTION("IF(ISBLANK(I124), """", GOOGLETRANSLATE(I124, ""es"", ""en""))"),"Year in which the project was programmed (Pluriannual Programming")</f>
        <v>Year in which the project was programmed (Pluriannual Programming</v>
      </c>
    </row>
    <row r="125" ht="15.75" customHeight="1">
      <c r="A125" s="8"/>
      <c r="B125" s="30" t="s">
        <v>54</v>
      </c>
      <c r="C125" s="31" t="s">
        <v>82</v>
      </c>
      <c r="D125" s="31">
        <v>32.0</v>
      </c>
      <c r="E125" s="30"/>
      <c r="F125" s="30"/>
      <c r="G125" s="32" t="s">
        <v>61</v>
      </c>
      <c r="H125" s="32" t="s">
        <v>68</v>
      </c>
      <c r="I125" s="31"/>
      <c r="J125" s="31" t="str">
        <f>IFERROR(__xludf.DUMMYFUNCTION("IF(ISBLANK(I125), """", GOOGLETRANSLATE(I125, ""es"", ""en""))"),"")</f>
        <v/>
      </c>
    </row>
    <row r="126" ht="15.75" customHeight="1">
      <c r="A126" s="8"/>
      <c r="B126" s="30" t="s">
        <v>55</v>
      </c>
      <c r="C126" s="31" t="s">
        <v>60</v>
      </c>
      <c r="D126" s="31">
        <v>4.0</v>
      </c>
      <c r="E126" s="30">
        <v>10.0</v>
      </c>
      <c r="F126" s="30">
        <v>0.0</v>
      </c>
      <c r="G126" s="32" t="s">
        <v>100</v>
      </c>
      <c r="H126" s="32">
        <v>0.0</v>
      </c>
      <c r="I126" s="31"/>
      <c r="J126" s="31" t="str">
        <f>IFERROR(__xludf.DUMMYFUNCTION("IF(ISBLANK(I126), """", GOOGLETRANSLATE(I126, ""es"", ""en""))"),"")</f>
        <v/>
      </c>
    </row>
    <row r="127" ht="15.75" customHeight="1">
      <c r="A127" s="8"/>
      <c r="B127" s="30" t="s">
        <v>56</v>
      </c>
      <c r="C127" s="31" t="s">
        <v>60</v>
      </c>
      <c r="D127" s="31">
        <v>4.0</v>
      </c>
      <c r="E127" s="30">
        <v>10.0</v>
      </c>
      <c r="F127" s="30">
        <v>0.0</v>
      </c>
      <c r="G127" s="32" t="s">
        <v>61</v>
      </c>
      <c r="H127" s="32">
        <v>1.0</v>
      </c>
      <c r="I127" s="31" t="s">
        <v>101</v>
      </c>
      <c r="J127" s="31" t="str">
        <f>IFERROR(__xludf.DUMMYFUNCTION("IF(ISBLANK(I127), """", GOOGLETRANSLATE(I127, ""es"", ""en""))"),"User who inserted the record, Fields used by the institution for internal use")</f>
        <v>User who inserted the record, Fields used by the institution for internal use</v>
      </c>
    </row>
    <row r="128" ht="15.75" customHeight="1">
      <c r="A128" s="8"/>
      <c r="B128" s="30" t="s">
        <v>57</v>
      </c>
      <c r="C128" s="31" t="s">
        <v>102</v>
      </c>
      <c r="D128" s="31">
        <v>4.0</v>
      </c>
      <c r="E128" s="30"/>
      <c r="F128" s="30"/>
      <c r="G128" s="32" t="s">
        <v>61</v>
      </c>
      <c r="H128" s="44">
        <v>42286.0</v>
      </c>
      <c r="I128" s="31" t="s">
        <v>103</v>
      </c>
      <c r="J128" s="31" t="str">
        <f>IFERROR(__xludf.DUMMYFUNCTION("IF(ISBLANK(I128), """", GOOGLETRANSLATE(I128, ""es"", ""en""))"),"Insertion date, Fields used by the institution for internal use")</f>
        <v>Insertion date, Fields used by the institution for internal use</v>
      </c>
    </row>
    <row r="129" ht="15.75" customHeight="1">
      <c r="A129" s="8"/>
      <c r="B129" s="30" t="s">
        <v>58</v>
      </c>
      <c r="C129" s="31" t="s">
        <v>60</v>
      </c>
      <c r="D129" s="31">
        <v>4.0</v>
      </c>
      <c r="E129" s="30">
        <v>10.0</v>
      </c>
      <c r="F129" s="30">
        <v>0.0</v>
      </c>
      <c r="G129" s="32" t="s">
        <v>100</v>
      </c>
      <c r="H129" s="32">
        <v>53.0</v>
      </c>
      <c r="I129" s="31" t="s">
        <v>104</v>
      </c>
      <c r="J129" s="31" t="str">
        <f>IFERROR(__xludf.DUMMYFUNCTION("IF(ISBLANK(I129), """", GOOGLETRANSLATE(I129, ""es"", ""en""))"),"Update User Callsign")</f>
        <v>Update User Callsign</v>
      </c>
    </row>
    <row r="130" ht="15.75" customHeight="1">
      <c r="A130" s="8"/>
      <c r="B130" s="30" t="s">
        <v>59</v>
      </c>
      <c r="C130" s="31" t="s">
        <v>102</v>
      </c>
      <c r="D130" s="31">
        <v>4.0</v>
      </c>
      <c r="E130" s="30"/>
      <c r="F130" s="30"/>
      <c r="G130" s="32" t="s">
        <v>100</v>
      </c>
      <c r="H130" s="44">
        <v>44175.44861111111</v>
      </c>
      <c r="I130" s="31" t="s">
        <v>105</v>
      </c>
      <c r="J130" s="31" t="str">
        <f>IFERROR(__xludf.DUMMYFUNCTION("IF(ISBLANK(I130), """", GOOGLETRANSLATE(I130, ""es"", ""en""))"),"Update date")</f>
        <v>Update date</v>
      </c>
    </row>
    <row r="131" ht="15.75" customHeight="1">
      <c r="A131" s="8"/>
      <c r="B131" s="30" t="s">
        <v>260</v>
      </c>
      <c r="C131" s="31" t="s">
        <v>220</v>
      </c>
      <c r="D131" s="31">
        <v>17.0</v>
      </c>
      <c r="E131" s="30">
        <v>38.0</v>
      </c>
      <c r="F131" s="30">
        <v>2.0</v>
      </c>
      <c r="G131" s="32" t="s">
        <v>100</v>
      </c>
      <c r="H131" s="32" t="s">
        <v>194</v>
      </c>
      <c r="I131" s="50" t="s">
        <v>342</v>
      </c>
      <c r="J131" s="31" t="str">
        <f>IFERROR(__xludf.DUMMYFUNCTION("IF(ISBLANK(I131), """", GOOGLETRANSLATE(I131, ""es"", ""en""))"),"Total cost (Pending, these are new fields=")</f>
        <v>Total cost (Pending, these are new fields=</v>
      </c>
    </row>
    <row r="132" ht="15.75" customHeight="1">
      <c r="A132" s="8"/>
      <c r="B132" s="30" t="s">
        <v>261</v>
      </c>
      <c r="C132" s="31" t="s">
        <v>220</v>
      </c>
      <c r="D132" s="31">
        <v>17.0</v>
      </c>
      <c r="E132" s="30">
        <v>38.0</v>
      </c>
      <c r="F132" s="30">
        <v>2.0</v>
      </c>
      <c r="G132" s="32" t="s">
        <v>100</v>
      </c>
      <c r="H132" s="32" t="s">
        <v>287</v>
      </c>
      <c r="I132" s="50" t="s">
        <v>342</v>
      </c>
      <c r="J132" s="31" t="str">
        <f>IFERROR(__xludf.DUMMYFUNCTION("IF(ISBLANK(I132), """", GOOGLETRANSLATE(I132, ""es"", ""en""))"),"Total cost (Pending, these are new fields=")</f>
        <v>Total cost (Pending, these are new fields=</v>
      </c>
    </row>
    <row r="133" ht="15.75" customHeight="1">
      <c r="A133" s="8"/>
      <c r="B133" s="30" t="s">
        <v>262</v>
      </c>
      <c r="C133" s="31" t="s">
        <v>220</v>
      </c>
      <c r="D133" s="31">
        <v>17.0</v>
      </c>
      <c r="E133" s="30">
        <v>38.0</v>
      </c>
      <c r="F133" s="30">
        <v>2.0</v>
      </c>
      <c r="G133" s="32" t="s">
        <v>100</v>
      </c>
      <c r="H133" s="32" t="s">
        <v>288</v>
      </c>
      <c r="I133" s="50" t="s">
        <v>342</v>
      </c>
      <c r="J133" s="31" t="str">
        <f>IFERROR(__xludf.DUMMYFUNCTION("IF(ISBLANK(I133), """", GOOGLETRANSLATE(I133, ""es"", ""en""))"),"Total cost (Pending, these are new fields=")</f>
        <v>Total cost (Pending, these are new fields=</v>
      </c>
    </row>
    <row r="134" ht="15.75" customHeight="1">
      <c r="C134" s="4"/>
      <c r="D134" s="4"/>
      <c r="H134" s="3"/>
      <c r="I134" s="4"/>
    </row>
    <row r="135" ht="15.75" customHeight="1">
      <c r="C135" s="4"/>
      <c r="D135" s="4"/>
      <c r="H135" s="3"/>
      <c r="I135" s="4"/>
    </row>
    <row r="136" ht="15.75" customHeight="1">
      <c r="C136" s="4"/>
      <c r="D136" s="4"/>
      <c r="H136" s="3"/>
      <c r="I136" s="4"/>
    </row>
    <row r="137" ht="15.75" customHeight="1">
      <c r="C137" s="4"/>
      <c r="D137" s="4"/>
      <c r="H137" s="3"/>
      <c r="I137" s="4"/>
    </row>
    <row r="138" ht="15.75" customHeight="1">
      <c r="A138" s="17"/>
      <c r="B138" s="38" t="s">
        <v>343</v>
      </c>
      <c r="C138" s="20"/>
      <c r="D138" s="20"/>
      <c r="E138" s="20"/>
      <c r="F138" s="20"/>
      <c r="G138" s="20"/>
      <c r="H138" s="20"/>
      <c r="I138" s="20"/>
      <c r="J138" s="22"/>
    </row>
    <row r="139" ht="33.75" customHeight="1">
      <c r="A139" s="34"/>
      <c r="B139" s="35" t="s">
        <v>344</v>
      </c>
      <c r="C139" s="20"/>
      <c r="D139" s="20"/>
      <c r="E139" s="20"/>
      <c r="F139" s="20"/>
      <c r="G139" s="22"/>
      <c r="H139" s="35" t="str">
        <f>IFERROR(__xludf.DUMMYFUNCTION("IF(ISBLANK(B139), """", GOOGLETRANSLATE(B139, ""es"", ""en""))"),"Information regarding investment projects, each of the projects is identified as well as their associated characteristics.")</f>
        <v>Information regarding investment projects, each of the projects is identified as well as their associated characteristics.</v>
      </c>
      <c r="I139" s="20"/>
      <c r="J139" s="22"/>
      <c r="K139" s="23"/>
      <c r="L139" s="23"/>
      <c r="M139" s="24" t="s">
        <v>33</v>
      </c>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51"/>
      <c r="BT139" s="23"/>
      <c r="BU139" s="23"/>
      <c r="BV139" s="23"/>
      <c r="BW139" s="23"/>
      <c r="BX139" s="23"/>
      <c r="BY139" s="23"/>
      <c r="BZ139" s="23"/>
      <c r="CA139" s="23"/>
      <c r="CB139" s="23"/>
    </row>
    <row r="140" ht="15.75" customHeight="1">
      <c r="A140" s="25"/>
      <c r="B140" s="26" t="s">
        <v>34</v>
      </c>
      <c r="C140" s="27" t="s">
        <v>35</v>
      </c>
      <c r="D140" s="27" t="s">
        <v>36</v>
      </c>
      <c r="E140" s="26" t="s">
        <v>37</v>
      </c>
      <c r="F140" s="26" t="s">
        <v>38</v>
      </c>
      <c r="G140" s="26" t="s">
        <v>39</v>
      </c>
      <c r="H140" s="28" t="s">
        <v>40</v>
      </c>
      <c r="I140" s="28" t="s">
        <v>41</v>
      </c>
      <c r="J140" s="28" t="s">
        <v>42</v>
      </c>
      <c r="K140" s="40" t="s">
        <v>345</v>
      </c>
      <c r="M140" s="6" t="s">
        <v>158</v>
      </c>
      <c r="N140" s="6" t="s">
        <v>346</v>
      </c>
      <c r="O140" s="6" t="s">
        <v>347</v>
      </c>
      <c r="P140" s="6" t="s">
        <v>348</v>
      </c>
      <c r="Q140" s="6" t="s">
        <v>349</v>
      </c>
      <c r="R140" s="6" t="s">
        <v>350</v>
      </c>
      <c r="S140" s="6" t="s">
        <v>351</v>
      </c>
      <c r="T140" s="6" t="s">
        <v>352</v>
      </c>
      <c r="U140" s="6" t="s">
        <v>353</v>
      </c>
      <c r="V140" s="6" t="s">
        <v>354</v>
      </c>
      <c r="W140" s="6" t="s">
        <v>355</v>
      </c>
      <c r="X140" s="6" t="s">
        <v>356</v>
      </c>
      <c r="Y140" s="6" t="s">
        <v>357</v>
      </c>
      <c r="Z140" s="6" t="s">
        <v>358</v>
      </c>
      <c r="AA140" s="6" t="s">
        <v>359</v>
      </c>
      <c r="AB140" s="6" t="s">
        <v>360</v>
      </c>
      <c r="AC140" s="6" t="s">
        <v>361</v>
      </c>
      <c r="AD140" s="6" t="s">
        <v>362</v>
      </c>
      <c r="AE140" s="6" t="s">
        <v>363</v>
      </c>
      <c r="AF140" s="6" t="s">
        <v>364</v>
      </c>
      <c r="AG140" s="6" t="s">
        <v>365</v>
      </c>
      <c r="AH140" s="6" t="s">
        <v>366</v>
      </c>
      <c r="AI140" s="6" t="s">
        <v>367</v>
      </c>
      <c r="AJ140" s="6" t="s">
        <v>43</v>
      </c>
      <c r="AK140" s="6" t="s">
        <v>368</v>
      </c>
      <c r="AL140" s="6" t="s">
        <v>369</v>
      </c>
      <c r="AM140" s="6" t="s">
        <v>370</v>
      </c>
      <c r="AN140" s="6" t="s">
        <v>371</v>
      </c>
      <c r="AO140" s="6" t="s">
        <v>109</v>
      </c>
      <c r="AP140" s="6" t="s">
        <v>372</v>
      </c>
      <c r="AQ140" s="6" t="s">
        <v>373</v>
      </c>
      <c r="AR140" s="6" t="s">
        <v>374</v>
      </c>
      <c r="AS140" s="6" t="s">
        <v>375</v>
      </c>
      <c r="AT140" s="6" t="s">
        <v>376</v>
      </c>
      <c r="AU140" s="6" t="s">
        <v>377</v>
      </c>
      <c r="AV140" s="6" t="s">
        <v>113</v>
      </c>
      <c r="AW140" s="6" t="s">
        <v>378</v>
      </c>
      <c r="AX140" s="6" t="s">
        <v>379</v>
      </c>
      <c r="AY140" s="6" t="s">
        <v>380</v>
      </c>
      <c r="AZ140" s="6" t="s">
        <v>381</v>
      </c>
      <c r="BA140" s="6" t="s">
        <v>382</v>
      </c>
      <c r="BB140" s="6" t="s">
        <v>383</v>
      </c>
      <c r="BC140" s="6" t="s">
        <v>384</v>
      </c>
      <c r="BD140" s="6" t="s">
        <v>385</v>
      </c>
      <c r="BE140" s="6" t="s">
        <v>386</v>
      </c>
      <c r="BF140" s="6" t="s">
        <v>387</v>
      </c>
      <c r="BG140" s="6" t="s">
        <v>388</v>
      </c>
      <c r="BH140" s="6" t="s">
        <v>389</v>
      </c>
      <c r="BI140" s="6" t="s">
        <v>390</v>
      </c>
      <c r="BJ140" s="6" t="s">
        <v>391</v>
      </c>
      <c r="BK140" s="6" t="s">
        <v>392</v>
      </c>
      <c r="BL140" s="6" t="s">
        <v>393</v>
      </c>
      <c r="BM140" s="6" t="s">
        <v>394</v>
      </c>
      <c r="BN140" s="6" t="s">
        <v>54</v>
      </c>
      <c r="BO140" s="6" t="s">
        <v>55</v>
      </c>
      <c r="BP140" s="6" t="s">
        <v>56</v>
      </c>
      <c r="BQ140" s="6" t="s">
        <v>57</v>
      </c>
      <c r="BR140" s="6" t="s">
        <v>58</v>
      </c>
      <c r="BS140" s="6" t="s">
        <v>59</v>
      </c>
      <c r="BT140" s="6" t="s">
        <v>395</v>
      </c>
      <c r="BU140" s="6" t="s">
        <v>396</v>
      </c>
      <c r="BV140" s="6" t="s">
        <v>397</v>
      </c>
      <c r="BW140" s="6" t="s">
        <v>398</v>
      </c>
      <c r="BX140" s="6" t="s">
        <v>399</v>
      </c>
      <c r="BY140" s="6" t="s">
        <v>259</v>
      </c>
      <c r="BZ140" s="6" t="s">
        <v>400</v>
      </c>
      <c r="CA140" s="6" t="s">
        <v>401</v>
      </c>
      <c r="CB140" s="6" t="s">
        <v>402</v>
      </c>
    </row>
    <row r="141" ht="15.75" customHeight="1">
      <c r="A141" s="8"/>
      <c r="B141" s="30" t="s">
        <v>158</v>
      </c>
      <c r="C141" s="31" t="s">
        <v>60</v>
      </c>
      <c r="D141" s="31">
        <v>4.0</v>
      </c>
      <c r="E141" s="30">
        <v>10.0</v>
      </c>
      <c r="F141" s="30">
        <v>0.0</v>
      </c>
      <c r="G141" s="32" t="s">
        <v>61</v>
      </c>
      <c r="H141" s="32">
        <v>49.0</v>
      </c>
      <c r="I141" s="31" t="s">
        <v>403</v>
      </c>
      <c r="J141" s="31" t="str">
        <f>IFERROR(__xludf.DUMMYFUNCTION("IF(ISBLANK(I141), """", GOOGLETRANSLATE(I141, ""es"", ""en""))"),"Unique identifier of the Investment project (Meypd System)")</f>
        <v>Unique identifier of the Investment project (Meypd System)</v>
      </c>
      <c r="K141" s="42" t="s">
        <v>404</v>
      </c>
      <c r="M141" s="30">
        <v>10.0</v>
      </c>
      <c r="N141" s="30">
        <v>11327.0</v>
      </c>
      <c r="O141" s="30">
        <v>11327.0</v>
      </c>
      <c r="P141" s="30">
        <v>1.0</v>
      </c>
      <c r="Q141" s="30" t="s">
        <v>405</v>
      </c>
      <c r="R141" s="30" t="s">
        <v>406</v>
      </c>
      <c r="S141" s="30" t="s">
        <v>407</v>
      </c>
      <c r="T141" s="30" t="s">
        <v>266</v>
      </c>
      <c r="U141" s="30" t="s">
        <v>189</v>
      </c>
      <c r="V141" s="30" t="s">
        <v>66</v>
      </c>
      <c r="W141" s="30" t="s">
        <v>122</v>
      </c>
      <c r="X141" s="30" t="s">
        <v>408</v>
      </c>
      <c r="Y141" s="30">
        <v>6.0</v>
      </c>
      <c r="Z141" s="30" t="s">
        <v>409</v>
      </c>
      <c r="AA141" s="30" t="s">
        <v>410</v>
      </c>
      <c r="AB141" s="30">
        <v>0.0</v>
      </c>
      <c r="AC141" s="30">
        <v>6.0</v>
      </c>
      <c r="AD141" s="30" t="s">
        <v>411</v>
      </c>
      <c r="AE141" s="30" t="s">
        <v>412</v>
      </c>
      <c r="AF141" s="30">
        <v>50.0</v>
      </c>
      <c r="AG141" s="30">
        <v>126.0</v>
      </c>
      <c r="AH141" s="30">
        <v>2.0</v>
      </c>
      <c r="AI141" s="30" t="s">
        <v>413</v>
      </c>
      <c r="AJ141" s="30">
        <v>390.0</v>
      </c>
      <c r="AK141" s="30" t="s">
        <v>414</v>
      </c>
      <c r="AL141" s="30">
        <v>3.0</v>
      </c>
      <c r="AM141" s="30" t="s">
        <v>415</v>
      </c>
      <c r="AN141" s="30">
        <v>0.0</v>
      </c>
      <c r="AO141" s="30" t="s">
        <v>416</v>
      </c>
      <c r="AP141" s="30">
        <v>34.0</v>
      </c>
      <c r="AQ141" s="30" t="s">
        <v>146</v>
      </c>
      <c r="AR141" s="30" t="s">
        <v>145</v>
      </c>
      <c r="AS141" s="30">
        <v>34.0</v>
      </c>
      <c r="AT141" s="30" t="s">
        <v>146</v>
      </c>
      <c r="AU141" s="30" t="s">
        <v>145</v>
      </c>
      <c r="AV141" s="30" t="s">
        <v>66</v>
      </c>
      <c r="AW141" s="30" t="s">
        <v>417</v>
      </c>
      <c r="AX141" s="30">
        <v>1.0</v>
      </c>
      <c r="AY141" s="30" t="s">
        <v>418</v>
      </c>
      <c r="AZ141" s="30">
        <v>9400.0</v>
      </c>
      <c r="BA141" s="30" t="s">
        <v>419</v>
      </c>
      <c r="BB141" s="30" t="s">
        <v>420</v>
      </c>
      <c r="BC141" s="30" t="s">
        <v>421</v>
      </c>
      <c r="BD141" s="30" t="s">
        <v>66</v>
      </c>
      <c r="BE141" s="30" t="s">
        <v>67</v>
      </c>
      <c r="BF141" s="30" t="s">
        <v>422</v>
      </c>
      <c r="BG141" s="30" t="s">
        <v>423</v>
      </c>
      <c r="BH141" s="30">
        <v>0.0</v>
      </c>
      <c r="BI141" s="30"/>
      <c r="BJ141" s="30">
        <v>0.0</v>
      </c>
      <c r="BK141" s="30"/>
      <c r="BL141" s="30" t="s">
        <v>422</v>
      </c>
      <c r="BM141" s="30" t="s">
        <v>424</v>
      </c>
      <c r="BN141" s="30" t="s">
        <v>425</v>
      </c>
      <c r="BO141" s="30">
        <v>0.0</v>
      </c>
      <c r="BP141" s="30">
        <v>1.0</v>
      </c>
      <c r="BQ141" s="30" t="s">
        <v>426</v>
      </c>
      <c r="BR141" s="30">
        <v>190.0</v>
      </c>
      <c r="BS141" s="30" t="s">
        <v>427</v>
      </c>
      <c r="BT141" s="30" t="s">
        <v>428</v>
      </c>
      <c r="BU141" s="52">
        <v>36924.0</v>
      </c>
      <c r="BV141" s="30" t="s">
        <v>429</v>
      </c>
      <c r="BW141" s="30">
        <v>2012.0</v>
      </c>
      <c r="BX141" s="30">
        <v>2021.0</v>
      </c>
      <c r="BY141" s="30">
        <v>2019.0</v>
      </c>
      <c r="BZ141" s="30" t="s">
        <v>430</v>
      </c>
      <c r="CA141" s="30">
        <v>0.0</v>
      </c>
      <c r="CB141" s="30" t="s">
        <v>431</v>
      </c>
    </row>
    <row r="142" ht="15.75" customHeight="1">
      <c r="A142" s="8"/>
      <c r="B142" s="30" t="s">
        <v>346</v>
      </c>
      <c r="C142" s="31" t="s">
        <v>60</v>
      </c>
      <c r="D142" s="31">
        <v>4.0</v>
      </c>
      <c r="E142" s="30">
        <v>10.0</v>
      </c>
      <c r="F142" s="30">
        <v>0.0</v>
      </c>
      <c r="G142" s="32" t="s">
        <v>100</v>
      </c>
      <c r="H142" s="32">
        <v>3731.0</v>
      </c>
      <c r="I142" s="31" t="s">
        <v>432</v>
      </c>
      <c r="J142" s="31" t="str">
        <f>IFERROR(__xludf.DUMMYFUNCTION("IF(ISBLANK(I142), """", GOOGLETRANSLATE(I142, ""es"", ""en""))"),"Snip system investment project identifier")</f>
        <v>Snip system investment project identifier</v>
      </c>
      <c r="M142" s="30">
        <v>95.0</v>
      </c>
      <c r="N142" s="30">
        <v>4340.0</v>
      </c>
      <c r="O142" s="30">
        <v>4340.0</v>
      </c>
      <c r="P142" s="30">
        <v>1.0</v>
      </c>
      <c r="Q142" s="30" t="s">
        <v>405</v>
      </c>
      <c r="R142" s="30" t="s">
        <v>406</v>
      </c>
      <c r="S142" s="30" t="s">
        <v>407</v>
      </c>
      <c r="T142" s="30" t="s">
        <v>266</v>
      </c>
      <c r="U142" s="30" t="s">
        <v>189</v>
      </c>
      <c r="V142" s="30" t="s">
        <v>66</v>
      </c>
      <c r="W142" s="30" t="s">
        <v>122</v>
      </c>
      <c r="X142" s="30" t="s">
        <v>433</v>
      </c>
      <c r="Y142" s="30">
        <v>3.0</v>
      </c>
      <c r="Z142" s="30" t="s">
        <v>434</v>
      </c>
      <c r="AA142" s="30" t="s">
        <v>435</v>
      </c>
      <c r="AB142" s="30">
        <v>0.0</v>
      </c>
      <c r="AC142" s="30">
        <v>5.0</v>
      </c>
      <c r="AD142" s="30" t="s">
        <v>436</v>
      </c>
      <c r="AE142" s="30" t="s">
        <v>437</v>
      </c>
      <c r="AF142" s="30">
        <v>240.0</v>
      </c>
      <c r="AG142" s="30">
        <v>155.0</v>
      </c>
      <c r="AH142" s="30">
        <v>4.0</v>
      </c>
      <c r="AI142" s="30" t="s">
        <v>438</v>
      </c>
      <c r="AJ142" s="30">
        <v>222.0</v>
      </c>
      <c r="AK142" s="30" t="s">
        <v>439</v>
      </c>
      <c r="AL142" s="30">
        <v>4.0</v>
      </c>
      <c r="AM142" s="30" t="s">
        <v>440</v>
      </c>
      <c r="AN142" s="30">
        <v>0.0</v>
      </c>
      <c r="AO142" s="30" t="s">
        <v>441</v>
      </c>
      <c r="AP142" s="30">
        <v>30.0</v>
      </c>
      <c r="AQ142" s="30" t="s">
        <v>142</v>
      </c>
      <c r="AR142" s="30" t="s">
        <v>141</v>
      </c>
      <c r="AS142" s="30">
        <v>114.0</v>
      </c>
      <c r="AT142" s="30" t="s">
        <v>442</v>
      </c>
      <c r="AU142" s="30" t="s">
        <v>443</v>
      </c>
      <c r="AV142" s="30" t="s">
        <v>66</v>
      </c>
      <c r="AW142" s="30" t="s">
        <v>444</v>
      </c>
      <c r="AX142" s="30">
        <v>4.0</v>
      </c>
      <c r="AY142" s="30" t="s">
        <v>445</v>
      </c>
      <c r="AZ142" s="30">
        <v>184142.0</v>
      </c>
      <c r="BA142" s="30" t="s">
        <v>446</v>
      </c>
      <c r="BB142" s="30" t="s">
        <v>447</v>
      </c>
      <c r="BC142" s="30" t="s">
        <v>448</v>
      </c>
      <c r="BD142" s="30" t="s">
        <v>66</v>
      </c>
      <c r="BE142" s="30" t="s">
        <v>67</v>
      </c>
      <c r="BF142" s="30" t="s">
        <v>422</v>
      </c>
      <c r="BG142" s="30" t="s">
        <v>423</v>
      </c>
      <c r="BH142" s="30">
        <v>0.0</v>
      </c>
      <c r="BI142" s="30"/>
      <c r="BJ142" s="30">
        <v>0.0</v>
      </c>
      <c r="BK142" s="30"/>
      <c r="BL142" s="30" t="s">
        <v>422</v>
      </c>
      <c r="BM142" s="30" t="s">
        <v>424</v>
      </c>
      <c r="BN142" s="30" t="s">
        <v>449</v>
      </c>
      <c r="BO142" s="30">
        <v>0.0</v>
      </c>
      <c r="BP142" s="30">
        <v>1.0</v>
      </c>
      <c r="BQ142" s="30" t="s">
        <v>426</v>
      </c>
      <c r="BR142" s="30">
        <v>53.0</v>
      </c>
      <c r="BS142" s="30" t="s">
        <v>450</v>
      </c>
      <c r="BT142" s="30" t="s">
        <v>451</v>
      </c>
      <c r="BU142" s="52">
        <v>37625.0</v>
      </c>
      <c r="BV142" s="30" t="s">
        <v>452</v>
      </c>
      <c r="BW142" s="30">
        <v>2011.0</v>
      </c>
      <c r="BX142" s="30">
        <v>2021.0</v>
      </c>
      <c r="BY142" s="30">
        <v>2021.0</v>
      </c>
      <c r="BZ142" s="30" t="s">
        <v>453</v>
      </c>
      <c r="CA142" s="30">
        <v>0.0</v>
      </c>
      <c r="CB142" s="30" t="s">
        <v>454</v>
      </c>
    </row>
    <row r="143" ht="15.75" customHeight="1">
      <c r="A143" s="8"/>
      <c r="B143" s="30" t="s">
        <v>347</v>
      </c>
      <c r="C143" s="31" t="s">
        <v>82</v>
      </c>
      <c r="D143" s="31">
        <v>20.0</v>
      </c>
      <c r="E143" s="30"/>
      <c r="F143" s="30"/>
      <c r="G143" s="32" t="s">
        <v>100</v>
      </c>
      <c r="H143" s="32">
        <v>3731.0</v>
      </c>
      <c r="I143" s="31" t="s">
        <v>455</v>
      </c>
      <c r="J143" s="31" t="str">
        <f>IFERROR(__xludf.DUMMYFUNCTION("IF(ISBLANK(I143), """", GOOGLETRANSLATE(I143, ""es"", ""en""))"),"Snip system investment project identifier (Some projects were migrated from a previous version so they have a different historical code)")</f>
        <v>Snip system investment project identifier (Some projects were migrated from a previous version so they have a different historical code)</v>
      </c>
      <c r="M143" s="30">
        <v>49.0</v>
      </c>
      <c r="N143" s="30">
        <v>3731.0</v>
      </c>
      <c r="O143" s="30">
        <v>3731.0</v>
      </c>
      <c r="P143" s="30">
        <v>1.0</v>
      </c>
      <c r="Q143" s="30" t="s">
        <v>405</v>
      </c>
      <c r="R143" s="30" t="s">
        <v>406</v>
      </c>
      <c r="S143" s="30" t="s">
        <v>407</v>
      </c>
      <c r="T143" s="30" t="s">
        <v>266</v>
      </c>
      <c r="U143" s="30" t="s">
        <v>189</v>
      </c>
      <c r="V143" s="30" t="s">
        <v>66</v>
      </c>
      <c r="W143" s="30" t="s">
        <v>122</v>
      </c>
      <c r="X143" s="30" t="s">
        <v>330</v>
      </c>
      <c r="Y143" s="30">
        <v>3.0</v>
      </c>
      <c r="Z143" s="30" t="s">
        <v>434</v>
      </c>
      <c r="AA143" s="30" t="s">
        <v>456</v>
      </c>
      <c r="AB143" s="30">
        <v>1.0</v>
      </c>
      <c r="AC143" s="30">
        <v>7.0</v>
      </c>
      <c r="AD143" s="30" t="s">
        <v>457</v>
      </c>
      <c r="AE143" s="30" t="s">
        <v>458</v>
      </c>
      <c r="AF143" s="30">
        <v>155.0</v>
      </c>
      <c r="AG143" s="30">
        <v>129.0</v>
      </c>
      <c r="AH143" s="30">
        <v>2.0</v>
      </c>
      <c r="AI143" s="30" t="s">
        <v>459</v>
      </c>
      <c r="AJ143" s="30">
        <v>468.0</v>
      </c>
      <c r="AK143" s="30" t="s">
        <v>460</v>
      </c>
      <c r="AL143" s="30">
        <v>3.0</v>
      </c>
      <c r="AM143" s="30" t="s">
        <v>415</v>
      </c>
      <c r="AN143" s="30">
        <v>0.0</v>
      </c>
      <c r="AO143" s="30" t="s">
        <v>461</v>
      </c>
      <c r="AP143" s="30">
        <v>48.0</v>
      </c>
      <c r="AQ143" s="30" t="s">
        <v>462</v>
      </c>
      <c r="AR143" s="30" t="s">
        <v>463</v>
      </c>
      <c r="AS143" s="30">
        <v>66.0</v>
      </c>
      <c r="AT143" s="30" t="s">
        <v>464</v>
      </c>
      <c r="AU143" s="30" t="s">
        <v>465</v>
      </c>
      <c r="AV143" s="30" t="s">
        <v>66</v>
      </c>
      <c r="AW143" s="30"/>
      <c r="AX143" s="30">
        <v>3.0</v>
      </c>
      <c r="AY143" s="30" t="s">
        <v>466</v>
      </c>
      <c r="AZ143" s="30">
        <v>346000.0</v>
      </c>
      <c r="BA143" s="30" t="s">
        <v>467</v>
      </c>
      <c r="BB143" s="30" t="s">
        <v>468</v>
      </c>
      <c r="BC143" s="30" t="s">
        <v>469</v>
      </c>
      <c r="BD143" s="30" t="s">
        <v>66</v>
      </c>
      <c r="BE143" s="30" t="s">
        <v>67</v>
      </c>
      <c r="BF143" s="30" t="s">
        <v>422</v>
      </c>
      <c r="BG143" s="30" t="s">
        <v>423</v>
      </c>
      <c r="BH143" s="30">
        <v>0.0</v>
      </c>
      <c r="BI143" s="30"/>
      <c r="BJ143" s="30">
        <v>0.0</v>
      </c>
      <c r="BK143" s="30"/>
      <c r="BL143" s="30" t="s">
        <v>422</v>
      </c>
      <c r="BM143" s="30" t="s">
        <v>424</v>
      </c>
      <c r="BN143" s="30" t="s">
        <v>470</v>
      </c>
      <c r="BO143" s="30">
        <v>0.0</v>
      </c>
      <c r="BP143" s="30">
        <v>1.0</v>
      </c>
      <c r="BQ143" s="30" t="s">
        <v>426</v>
      </c>
      <c r="BR143" s="30">
        <v>282.0</v>
      </c>
      <c r="BS143" s="30" t="s">
        <v>471</v>
      </c>
      <c r="BT143" s="30" t="s">
        <v>472</v>
      </c>
      <c r="BU143" s="52">
        <v>36952.0</v>
      </c>
      <c r="BV143" s="30" t="s">
        <v>473</v>
      </c>
      <c r="BW143" s="30">
        <v>2010.0</v>
      </c>
      <c r="BX143" s="30">
        <v>2024.0</v>
      </c>
      <c r="BY143" s="30">
        <v>2024.0</v>
      </c>
      <c r="BZ143" s="30" t="s">
        <v>474</v>
      </c>
      <c r="CA143" s="30">
        <v>0.0</v>
      </c>
      <c r="CB143" s="30" t="s">
        <v>475</v>
      </c>
    </row>
    <row r="144" ht="15.75" customHeight="1">
      <c r="A144" s="8"/>
      <c r="B144" s="30" t="s">
        <v>348</v>
      </c>
      <c r="C144" s="31" t="s">
        <v>60</v>
      </c>
      <c r="D144" s="31">
        <v>4.0</v>
      </c>
      <c r="E144" s="30">
        <v>10.0</v>
      </c>
      <c r="F144" s="30">
        <v>0.0</v>
      </c>
      <c r="G144" s="32" t="s">
        <v>61</v>
      </c>
      <c r="H144" s="32">
        <v>1.0</v>
      </c>
      <c r="I144" s="31" t="s">
        <v>476</v>
      </c>
      <c r="J144" s="31" t="str">
        <f>IFERROR(__xludf.DUMMYFUNCTION("IF(ISBLANK(I144), """", GOOGLETRANSLATE(I144, ""es"", ""en""))"),"Project Type Identifier")</f>
        <v>Project Type Identifier</v>
      </c>
      <c r="M144" s="30">
        <v>40.0</v>
      </c>
      <c r="N144" s="30">
        <v>6810.0</v>
      </c>
      <c r="O144" s="30">
        <v>6810.0</v>
      </c>
      <c r="P144" s="30">
        <v>1.0</v>
      </c>
      <c r="Q144" s="30" t="s">
        <v>405</v>
      </c>
      <c r="R144" s="30" t="s">
        <v>406</v>
      </c>
      <c r="S144" s="30" t="s">
        <v>407</v>
      </c>
      <c r="T144" s="30" t="s">
        <v>266</v>
      </c>
      <c r="U144" s="30" t="s">
        <v>189</v>
      </c>
      <c r="V144" s="30" t="s">
        <v>66</v>
      </c>
      <c r="W144" s="30" t="s">
        <v>122</v>
      </c>
      <c r="X144" s="30" t="s">
        <v>477</v>
      </c>
      <c r="Y144" s="30">
        <v>1.0</v>
      </c>
      <c r="Z144" s="30" t="s">
        <v>478</v>
      </c>
      <c r="AA144" s="30" t="s">
        <v>479</v>
      </c>
      <c r="AB144" s="30">
        <v>0.0</v>
      </c>
      <c r="AC144" s="30">
        <v>6.0</v>
      </c>
      <c r="AD144" s="30" t="s">
        <v>480</v>
      </c>
      <c r="AE144" s="30" t="s">
        <v>481</v>
      </c>
      <c r="AF144" s="30">
        <v>1.0</v>
      </c>
      <c r="AG144" s="30">
        <v>155.0</v>
      </c>
      <c r="AH144" s="30">
        <v>4.0</v>
      </c>
      <c r="AI144" s="30" t="s">
        <v>482</v>
      </c>
      <c r="AJ144" s="30">
        <v>222.0</v>
      </c>
      <c r="AK144" s="30" t="s">
        <v>439</v>
      </c>
      <c r="AL144" s="30">
        <v>3.0</v>
      </c>
      <c r="AM144" s="30" t="s">
        <v>415</v>
      </c>
      <c r="AN144" s="30">
        <v>0.0</v>
      </c>
      <c r="AO144" s="30" t="s">
        <v>483</v>
      </c>
      <c r="AP144" s="30">
        <v>30.0</v>
      </c>
      <c r="AQ144" s="30" t="s">
        <v>142</v>
      </c>
      <c r="AR144" s="30" t="s">
        <v>141</v>
      </c>
      <c r="AS144" s="30">
        <v>105.0</v>
      </c>
      <c r="AT144" s="30" t="s">
        <v>484</v>
      </c>
      <c r="AU144" s="30" t="s">
        <v>485</v>
      </c>
      <c r="AV144" s="30" t="s">
        <v>66</v>
      </c>
      <c r="AW144" s="30"/>
      <c r="AX144" s="30">
        <v>4.0</v>
      </c>
      <c r="AY144" s="30" t="s">
        <v>445</v>
      </c>
      <c r="AZ144" s="30">
        <v>1127500.0</v>
      </c>
      <c r="BA144" s="30" t="s">
        <v>467</v>
      </c>
      <c r="BB144" s="30" t="s">
        <v>486</v>
      </c>
      <c r="BC144" s="30" t="s">
        <v>487</v>
      </c>
      <c r="BD144" s="30" t="s">
        <v>422</v>
      </c>
      <c r="BE144" s="30" t="s">
        <v>423</v>
      </c>
      <c r="BF144" s="30" t="s">
        <v>422</v>
      </c>
      <c r="BG144" s="30" t="s">
        <v>423</v>
      </c>
      <c r="BH144" s="30">
        <v>0.0</v>
      </c>
      <c r="BI144" s="30"/>
      <c r="BJ144" s="30">
        <v>0.0</v>
      </c>
      <c r="BK144" s="30"/>
      <c r="BL144" s="30" t="s">
        <v>422</v>
      </c>
      <c r="BM144" s="30" t="s">
        <v>424</v>
      </c>
      <c r="BN144" s="30" t="s">
        <v>470</v>
      </c>
      <c r="BO144" s="30">
        <v>0.0</v>
      </c>
      <c r="BP144" s="30">
        <v>1.0</v>
      </c>
      <c r="BQ144" s="30" t="s">
        <v>426</v>
      </c>
      <c r="BR144" s="30">
        <v>53.0</v>
      </c>
      <c r="BS144" s="30" t="s">
        <v>488</v>
      </c>
      <c r="BT144" s="30" t="s">
        <v>451</v>
      </c>
      <c r="BU144" s="52">
        <v>37625.0</v>
      </c>
      <c r="BV144" s="30" t="s">
        <v>452</v>
      </c>
      <c r="BW144" s="30">
        <v>2010.0</v>
      </c>
      <c r="BX144" s="30">
        <v>2024.0</v>
      </c>
      <c r="BY144" s="30">
        <v>2024.0</v>
      </c>
      <c r="BZ144" s="30" t="s">
        <v>453</v>
      </c>
      <c r="CA144" s="30">
        <v>0.0</v>
      </c>
      <c r="CB144" s="30" t="s">
        <v>454</v>
      </c>
    </row>
    <row r="145" ht="15.75" customHeight="1">
      <c r="A145" s="8"/>
      <c r="B145" s="30" t="s">
        <v>349</v>
      </c>
      <c r="C145" s="31" t="s">
        <v>82</v>
      </c>
      <c r="D145" s="31">
        <v>120.0</v>
      </c>
      <c r="E145" s="30"/>
      <c r="F145" s="30"/>
      <c r="G145" s="32" t="s">
        <v>100</v>
      </c>
      <c r="H145" s="32" t="s">
        <v>405</v>
      </c>
      <c r="I145" s="31" t="s">
        <v>489</v>
      </c>
      <c r="J145" s="31" t="str">
        <f>IFERROR(__xludf.DUMMYFUNCTION("IF(ISBLANK(I145), """", GOOGLETRANSLATE(I145, ""es"", ""en""))"),"Project Typology Text")</f>
        <v>Project Typology Text</v>
      </c>
      <c r="M145" s="30">
        <v>4335.0</v>
      </c>
      <c r="N145" s="30">
        <v>14026.0</v>
      </c>
      <c r="O145" s="30"/>
      <c r="P145" s="30">
        <v>1.0</v>
      </c>
      <c r="Q145" s="30" t="s">
        <v>405</v>
      </c>
      <c r="R145" s="30" t="s">
        <v>406</v>
      </c>
      <c r="S145" s="30" t="s">
        <v>407</v>
      </c>
      <c r="T145" s="30" t="s">
        <v>266</v>
      </c>
      <c r="U145" s="30" t="s">
        <v>189</v>
      </c>
      <c r="V145" s="30" t="s">
        <v>66</v>
      </c>
      <c r="W145" s="30" t="s">
        <v>122</v>
      </c>
      <c r="X145" s="30" t="s">
        <v>490</v>
      </c>
      <c r="Y145" s="30">
        <v>4.0</v>
      </c>
      <c r="Z145" s="30" t="s">
        <v>491</v>
      </c>
      <c r="AA145" s="30" t="s">
        <v>492</v>
      </c>
      <c r="AB145" s="30">
        <v>0.0</v>
      </c>
      <c r="AC145" s="30">
        <v>5.0</v>
      </c>
      <c r="AD145" s="30" t="s">
        <v>493</v>
      </c>
      <c r="AE145" s="30" t="s">
        <v>494</v>
      </c>
      <c r="AF145" s="30">
        <v>8001.0</v>
      </c>
      <c r="AG145" s="30">
        <v>13.0</v>
      </c>
      <c r="AH145" s="30">
        <v>4.0</v>
      </c>
      <c r="AI145" s="30" t="s">
        <v>495</v>
      </c>
      <c r="AJ145" s="30">
        <v>209.0</v>
      </c>
      <c r="AK145" s="30" t="s">
        <v>496</v>
      </c>
      <c r="AL145" s="30">
        <v>7.0</v>
      </c>
      <c r="AM145" s="30" t="s">
        <v>497</v>
      </c>
      <c r="AN145" s="30">
        <v>0.0</v>
      </c>
      <c r="AO145" s="30" t="s">
        <v>498</v>
      </c>
      <c r="AP145" s="30">
        <v>118.0</v>
      </c>
      <c r="AQ145" s="30" t="s">
        <v>499</v>
      </c>
      <c r="AR145" s="30" t="s">
        <v>500</v>
      </c>
      <c r="AS145" s="30">
        <v>118.0</v>
      </c>
      <c r="AT145" s="30" t="s">
        <v>499</v>
      </c>
      <c r="AU145" s="30" t="s">
        <v>500</v>
      </c>
      <c r="AV145" s="30" t="s">
        <v>66</v>
      </c>
      <c r="AW145" s="30" t="s">
        <v>501</v>
      </c>
      <c r="AX145" s="30">
        <v>1.0</v>
      </c>
      <c r="AY145" s="30" t="s">
        <v>418</v>
      </c>
      <c r="AZ145" s="30">
        <v>8000.0</v>
      </c>
      <c r="BA145" s="30" t="s">
        <v>502</v>
      </c>
      <c r="BB145" s="30" t="s">
        <v>503</v>
      </c>
      <c r="BC145" s="30" t="s">
        <v>504</v>
      </c>
      <c r="BD145" s="30" t="s">
        <v>422</v>
      </c>
      <c r="BE145" s="30" t="s">
        <v>423</v>
      </c>
      <c r="BF145" s="30" t="s">
        <v>422</v>
      </c>
      <c r="BG145" s="30" t="s">
        <v>423</v>
      </c>
      <c r="BH145" s="30">
        <v>0.0</v>
      </c>
      <c r="BI145" s="30"/>
      <c r="BJ145" s="30">
        <v>0.0</v>
      </c>
      <c r="BK145" s="30"/>
      <c r="BL145" s="30" t="s">
        <v>422</v>
      </c>
      <c r="BM145" s="30" t="s">
        <v>424</v>
      </c>
      <c r="BN145" s="30" t="s">
        <v>449</v>
      </c>
      <c r="BO145" s="30">
        <v>0.0</v>
      </c>
      <c r="BP145" s="30">
        <v>207.0</v>
      </c>
      <c r="BQ145" s="30" t="s">
        <v>505</v>
      </c>
      <c r="BR145" s="30">
        <v>34.0</v>
      </c>
      <c r="BS145" s="30" t="s">
        <v>506</v>
      </c>
      <c r="BT145" s="30" t="s">
        <v>451</v>
      </c>
      <c r="BU145" s="52">
        <v>36895.0</v>
      </c>
      <c r="BV145" s="30" t="s">
        <v>507</v>
      </c>
      <c r="BW145" s="30">
        <v>2018.0</v>
      </c>
      <c r="BX145" s="30">
        <v>2022.0</v>
      </c>
      <c r="BY145" s="30">
        <v>2021.0</v>
      </c>
      <c r="BZ145" s="30" t="s">
        <v>508</v>
      </c>
      <c r="CA145" s="30">
        <v>0.0</v>
      </c>
      <c r="CB145" s="30" t="s">
        <v>454</v>
      </c>
    </row>
    <row r="146" ht="15.75" customHeight="1">
      <c r="A146" s="8"/>
      <c r="B146" s="30" t="s">
        <v>350</v>
      </c>
      <c r="C146" s="31" t="s">
        <v>82</v>
      </c>
      <c r="D146" s="31">
        <v>1.0</v>
      </c>
      <c r="E146" s="30"/>
      <c r="F146" s="30"/>
      <c r="G146" s="32" t="s">
        <v>100</v>
      </c>
      <c r="H146" s="32" t="s">
        <v>406</v>
      </c>
      <c r="I146" s="31" t="s">
        <v>509</v>
      </c>
      <c r="J146" s="31" t="str">
        <f>IFERROR(__xludf.DUMMYFUNCTION("IF(ISBLANK(I146), """", GOOGLETRANSLATE(I146, ""es"", ""en""))"),"project status identifier")</f>
        <v>project status identifier</v>
      </c>
      <c r="M146" s="30">
        <v>24.0</v>
      </c>
      <c r="N146" s="30">
        <v>11352.0</v>
      </c>
      <c r="O146" s="30">
        <v>11352.0</v>
      </c>
      <c r="P146" s="30">
        <v>3.0</v>
      </c>
      <c r="Q146" s="30" t="s">
        <v>510</v>
      </c>
      <c r="R146" s="30" t="s">
        <v>422</v>
      </c>
      <c r="S146" s="30" t="s">
        <v>511</v>
      </c>
      <c r="T146" s="30" t="s">
        <v>266</v>
      </c>
      <c r="U146" s="30" t="s">
        <v>189</v>
      </c>
      <c r="V146" s="30" t="s">
        <v>66</v>
      </c>
      <c r="W146" s="30" t="s">
        <v>122</v>
      </c>
      <c r="X146" s="30" t="s">
        <v>512</v>
      </c>
      <c r="Y146" s="30">
        <v>26.0</v>
      </c>
      <c r="Z146" s="30" t="s">
        <v>513</v>
      </c>
      <c r="AA146" s="30" t="s">
        <v>514</v>
      </c>
      <c r="AB146" s="30">
        <v>0.0</v>
      </c>
      <c r="AC146" s="30">
        <v>3.0</v>
      </c>
      <c r="AD146" s="30" t="s">
        <v>515</v>
      </c>
      <c r="AE146" s="30" t="s">
        <v>516</v>
      </c>
      <c r="AF146" s="30">
        <v>5.0</v>
      </c>
      <c r="AG146" s="30">
        <v>115.0</v>
      </c>
      <c r="AH146" s="30">
        <v>1.0</v>
      </c>
      <c r="AI146" s="30" t="s">
        <v>517</v>
      </c>
      <c r="AJ146" s="30">
        <v>13.0</v>
      </c>
      <c r="AK146" s="30" t="s">
        <v>518</v>
      </c>
      <c r="AL146" s="30">
        <v>7.0</v>
      </c>
      <c r="AM146" s="30" t="s">
        <v>497</v>
      </c>
      <c r="AN146" s="30">
        <v>0.0</v>
      </c>
      <c r="AO146" s="30" t="s">
        <v>519</v>
      </c>
      <c r="AP146" s="30">
        <v>26.0</v>
      </c>
      <c r="AQ146" s="30" t="s">
        <v>135</v>
      </c>
      <c r="AR146" s="30" t="s">
        <v>134</v>
      </c>
      <c r="AS146" s="30">
        <v>26.0</v>
      </c>
      <c r="AT146" s="30" t="s">
        <v>135</v>
      </c>
      <c r="AU146" s="30" t="s">
        <v>134</v>
      </c>
      <c r="AV146" s="30" t="s">
        <v>66</v>
      </c>
      <c r="AW146" s="30" t="s">
        <v>520</v>
      </c>
      <c r="AX146" s="30">
        <v>4.0</v>
      </c>
      <c r="AY146" s="30" t="s">
        <v>445</v>
      </c>
      <c r="AZ146" s="30">
        <v>1956233.0</v>
      </c>
      <c r="BA146" s="30" t="s">
        <v>521</v>
      </c>
      <c r="BB146" s="30" t="s">
        <v>522</v>
      </c>
      <c r="BC146" s="30" t="s">
        <v>523</v>
      </c>
      <c r="BD146" s="30" t="s">
        <v>422</v>
      </c>
      <c r="BE146" s="30" t="s">
        <v>423</v>
      </c>
      <c r="BF146" s="30" t="s">
        <v>422</v>
      </c>
      <c r="BG146" s="30" t="s">
        <v>423</v>
      </c>
      <c r="BH146" s="30">
        <v>0.0</v>
      </c>
      <c r="BI146" s="30"/>
      <c r="BJ146" s="30">
        <v>0.0</v>
      </c>
      <c r="BK146" s="30"/>
      <c r="BL146" s="30" t="s">
        <v>422</v>
      </c>
      <c r="BM146" s="30" t="s">
        <v>424</v>
      </c>
      <c r="BN146" s="30" t="s">
        <v>425</v>
      </c>
      <c r="BO146" s="30">
        <v>0.0</v>
      </c>
      <c r="BP146" s="30">
        <v>1.0</v>
      </c>
      <c r="BQ146" s="30" t="s">
        <v>426</v>
      </c>
      <c r="BR146" s="30">
        <v>46.0</v>
      </c>
      <c r="BS146" s="30" t="s">
        <v>524</v>
      </c>
      <c r="BT146" s="30" t="s">
        <v>525</v>
      </c>
      <c r="BU146" s="52">
        <v>37257.0</v>
      </c>
      <c r="BV146" s="30" t="s">
        <v>526</v>
      </c>
      <c r="BW146" s="30">
        <v>2015.0</v>
      </c>
      <c r="BX146" s="30">
        <v>2020.0</v>
      </c>
      <c r="BY146" s="30">
        <v>2020.0</v>
      </c>
      <c r="BZ146" s="30" t="s">
        <v>527</v>
      </c>
      <c r="CA146" s="30">
        <v>0.0</v>
      </c>
      <c r="CB146" s="30" t="s">
        <v>431</v>
      </c>
    </row>
    <row r="147" ht="15.75" customHeight="1">
      <c r="A147" s="8"/>
      <c r="B147" s="30" t="s">
        <v>351</v>
      </c>
      <c r="C147" s="31" t="s">
        <v>82</v>
      </c>
      <c r="D147" s="31">
        <v>13.0</v>
      </c>
      <c r="E147" s="30"/>
      <c r="F147" s="30"/>
      <c r="G147" s="32" t="s">
        <v>61</v>
      </c>
      <c r="H147" s="32" t="s">
        <v>407</v>
      </c>
      <c r="I147" s="31" t="s">
        <v>528</v>
      </c>
      <c r="J147" s="31" t="str">
        <f>IFERROR(__xludf.DUMMYFUNCTION("IF(ISBLANK(I147), """", GOOGLETRANSLATE(I147, ""es"", ""en""))"),"project status")</f>
        <v>project status</v>
      </c>
      <c r="M147" s="30">
        <v>78.0</v>
      </c>
      <c r="N147" s="30">
        <v>6006.0</v>
      </c>
      <c r="O147" s="30">
        <v>6006.0</v>
      </c>
      <c r="P147" s="30">
        <v>2.0</v>
      </c>
      <c r="Q147" s="30" t="s">
        <v>529</v>
      </c>
      <c r="R147" s="30" t="s">
        <v>406</v>
      </c>
      <c r="S147" s="30" t="s">
        <v>407</v>
      </c>
      <c r="T147" s="30" t="s">
        <v>266</v>
      </c>
      <c r="U147" s="30" t="s">
        <v>189</v>
      </c>
      <c r="V147" s="30" t="s">
        <v>66</v>
      </c>
      <c r="W147" s="30" t="s">
        <v>122</v>
      </c>
      <c r="X147" s="30" t="s">
        <v>530</v>
      </c>
      <c r="Y147" s="30">
        <v>21.0</v>
      </c>
      <c r="Z147" s="30" t="s">
        <v>531</v>
      </c>
      <c r="AA147" s="30" t="s">
        <v>532</v>
      </c>
      <c r="AB147" s="30">
        <v>0.0</v>
      </c>
      <c r="AC147" s="30">
        <v>5.0</v>
      </c>
      <c r="AD147" s="30" t="s">
        <v>533</v>
      </c>
      <c r="AE147" s="30" t="s">
        <v>534</v>
      </c>
      <c r="AF147" s="30">
        <v>5.0</v>
      </c>
      <c r="AG147" s="30">
        <v>150.0</v>
      </c>
      <c r="AH147" s="30">
        <v>3.0</v>
      </c>
      <c r="AI147" s="30"/>
      <c r="AJ147" s="30">
        <v>474.0</v>
      </c>
      <c r="AK147" s="30" t="s">
        <v>535</v>
      </c>
      <c r="AL147" s="30">
        <v>7.0</v>
      </c>
      <c r="AM147" s="30" t="s">
        <v>497</v>
      </c>
      <c r="AN147" s="30">
        <v>0.0</v>
      </c>
      <c r="AO147" s="30" t="s">
        <v>536</v>
      </c>
      <c r="AP147" s="30">
        <v>51.0</v>
      </c>
      <c r="AQ147" s="30" t="s">
        <v>537</v>
      </c>
      <c r="AR147" s="30" t="s">
        <v>538</v>
      </c>
      <c r="AS147" s="30">
        <v>51.0</v>
      </c>
      <c r="AT147" s="30" t="s">
        <v>537</v>
      </c>
      <c r="AU147" s="30" t="s">
        <v>538</v>
      </c>
      <c r="AV147" s="30" t="s">
        <v>66</v>
      </c>
      <c r="AW147" s="30" t="s">
        <v>539</v>
      </c>
      <c r="AX147" s="30">
        <v>4.0</v>
      </c>
      <c r="AY147" s="30" t="s">
        <v>445</v>
      </c>
      <c r="AZ147" s="30">
        <v>40000.0</v>
      </c>
      <c r="BA147" s="30" t="s">
        <v>540</v>
      </c>
      <c r="BB147" s="30" t="s">
        <v>541</v>
      </c>
      <c r="BC147" s="30" t="s">
        <v>542</v>
      </c>
      <c r="BD147" s="30" t="s">
        <v>422</v>
      </c>
      <c r="BE147" s="30" t="s">
        <v>423</v>
      </c>
      <c r="BF147" s="30" t="s">
        <v>422</v>
      </c>
      <c r="BG147" s="30" t="s">
        <v>423</v>
      </c>
      <c r="BH147" s="30">
        <v>0.0</v>
      </c>
      <c r="BI147" s="30"/>
      <c r="BJ147" s="30">
        <v>0.0</v>
      </c>
      <c r="BK147" s="30"/>
      <c r="BL147" s="30" t="s">
        <v>422</v>
      </c>
      <c r="BM147" s="30" t="s">
        <v>424</v>
      </c>
      <c r="BN147" s="30" t="s">
        <v>425</v>
      </c>
      <c r="BO147" s="30">
        <v>0.0</v>
      </c>
      <c r="BP147" s="30">
        <v>1.0</v>
      </c>
      <c r="BQ147" s="30" t="s">
        <v>426</v>
      </c>
      <c r="BR147" s="30">
        <v>282.0</v>
      </c>
      <c r="BS147" s="30" t="s">
        <v>543</v>
      </c>
      <c r="BT147" s="30" t="s">
        <v>544</v>
      </c>
      <c r="BU147" s="52">
        <v>36925.0</v>
      </c>
      <c r="BV147" s="30" t="s">
        <v>545</v>
      </c>
      <c r="BW147" s="30">
        <v>2008.0</v>
      </c>
      <c r="BX147" s="30">
        <v>2020.0</v>
      </c>
      <c r="BY147" s="30">
        <v>2020.0</v>
      </c>
      <c r="BZ147" s="30" t="s">
        <v>546</v>
      </c>
      <c r="CA147" s="30">
        <v>0.0</v>
      </c>
      <c r="CB147" s="30" t="s">
        <v>431</v>
      </c>
    </row>
    <row r="148" ht="15.75" customHeight="1">
      <c r="A148" s="8"/>
      <c r="B148" s="30" t="s">
        <v>352</v>
      </c>
      <c r="C148" s="31" t="s">
        <v>82</v>
      </c>
      <c r="D148" s="31">
        <v>1.0</v>
      </c>
      <c r="E148" s="30"/>
      <c r="F148" s="30"/>
      <c r="G148" s="32" t="s">
        <v>100</v>
      </c>
      <c r="H148" s="32" t="s">
        <v>266</v>
      </c>
      <c r="I148" s="31" t="s">
        <v>547</v>
      </c>
      <c r="J148" s="31" t="str">
        <f>IFERROR(__xludf.DUMMYFUNCTION("IF(ISBLANK(I148), """", GOOGLETRANSLATE(I148, ""es"", ""en""))"),"Project Phase Identifier")</f>
        <v>Project Phase Identifier</v>
      </c>
      <c r="M148" s="30">
        <v>155.0</v>
      </c>
      <c r="N148" s="30">
        <v>10190.0</v>
      </c>
      <c r="O148" s="30">
        <v>10190.0</v>
      </c>
      <c r="P148" s="30">
        <v>1.0</v>
      </c>
      <c r="Q148" s="30" t="s">
        <v>405</v>
      </c>
      <c r="R148" s="30" t="s">
        <v>406</v>
      </c>
      <c r="S148" s="30" t="s">
        <v>407</v>
      </c>
      <c r="T148" s="30" t="s">
        <v>266</v>
      </c>
      <c r="U148" s="30" t="s">
        <v>189</v>
      </c>
      <c r="V148" s="30" t="s">
        <v>66</v>
      </c>
      <c r="W148" s="30" t="s">
        <v>122</v>
      </c>
      <c r="X148" s="30" t="s">
        <v>548</v>
      </c>
      <c r="Y148" s="30">
        <v>3.0</v>
      </c>
      <c r="Z148" s="30" t="s">
        <v>434</v>
      </c>
      <c r="AA148" s="30" t="s">
        <v>549</v>
      </c>
      <c r="AB148" s="30">
        <v>0.0</v>
      </c>
      <c r="AC148" s="30">
        <v>3.0</v>
      </c>
      <c r="AD148" s="30" t="s">
        <v>550</v>
      </c>
      <c r="AE148" s="30" t="s">
        <v>551</v>
      </c>
      <c r="AF148" s="30">
        <v>5.0</v>
      </c>
      <c r="AG148" s="30">
        <v>115.0</v>
      </c>
      <c r="AH148" s="30">
        <v>1.0</v>
      </c>
      <c r="AI148" s="30" t="s">
        <v>552</v>
      </c>
      <c r="AJ148" s="30">
        <v>10.0</v>
      </c>
      <c r="AK148" s="30" t="s">
        <v>553</v>
      </c>
      <c r="AL148" s="30">
        <v>5.0</v>
      </c>
      <c r="AM148" s="30" t="s">
        <v>554</v>
      </c>
      <c r="AN148" s="30">
        <v>0.0</v>
      </c>
      <c r="AO148" s="30" t="s">
        <v>555</v>
      </c>
      <c r="AP148" s="30">
        <v>46.0</v>
      </c>
      <c r="AQ148" s="30" t="s">
        <v>556</v>
      </c>
      <c r="AR148" s="30" t="s">
        <v>557</v>
      </c>
      <c r="AS148" s="30">
        <v>93.0</v>
      </c>
      <c r="AT148" s="30" t="s">
        <v>558</v>
      </c>
      <c r="AU148" s="30" t="s">
        <v>559</v>
      </c>
      <c r="AV148" s="30" t="s">
        <v>66</v>
      </c>
      <c r="AW148" s="30"/>
      <c r="AX148" s="30">
        <v>3.0</v>
      </c>
      <c r="AY148" s="30" t="s">
        <v>466</v>
      </c>
      <c r="AZ148" s="30">
        <v>628234.0</v>
      </c>
      <c r="BA148" s="30" t="s">
        <v>560</v>
      </c>
      <c r="BB148" s="30" t="s">
        <v>561</v>
      </c>
      <c r="BC148" s="30" t="s">
        <v>562</v>
      </c>
      <c r="BD148" s="30" t="s">
        <v>422</v>
      </c>
      <c r="BE148" s="30" t="s">
        <v>423</v>
      </c>
      <c r="BF148" s="30" t="s">
        <v>422</v>
      </c>
      <c r="BG148" s="30" t="s">
        <v>423</v>
      </c>
      <c r="BH148" s="30">
        <v>0.0</v>
      </c>
      <c r="BI148" s="30"/>
      <c r="BJ148" s="30">
        <v>0.0</v>
      </c>
      <c r="BK148" s="30"/>
      <c r="BL148" s="30" t="s">
        <v>422</v>
      </c>
      <c r="BM148" s="30" t="s">
        <v>424</v>
      </c>
      <c r="BN148" s="30" t="s">
        <v>449</v>
      </c>
      <c r="BO148" s="30">
        <v>0.0</v>
      </c>
      <c r="BP148" s="30">
        <v>1.0</v>
      </c>
      <c r="BQ148" s="30" t="s">
        <v>426</v>
      </c>
      <c r="BR148" s="30">
        <v>47.0</v>
      </c>
      <c r="BS148" s="30" t="s">
        <v>563</v>
      </c>
      <c r="BT148" s="30" t="s">
        <v>525</v>
      </c>
      <c r="BU148" s="52">
        <v>37257.0</v>
      </c>
      <c r="BV148" s="30" t="s">
        <v>526</v>
      </c>
      <c r="BW148" s="30">
        <v>2012.0</v>
      </c>
      <c r="BX148" s="30">
        <v>2021.0</v>
      </c>
      <c r="BY148" s="30">
        <v>2021.0</v>
      </c>
      <c r="BZ148" s="30" t="s">
        <v>564</v>
      </c>
      <c r="CA148" s="30">
        <v>0.0</v>
      </c>
      <c r="CB148" s="30" t="s">
        <v>475</v>
      </c>
    </row>
    <row r="149" ht="15.75" customHeight="1">
      <c r="A149" s="8"/>
      <c r="B149" s="30" t="s">
        <v>353</v>
      </c>
      <c r="C149" s="31" t="s">
        <v>82</v>
      </c>
      <c r="D149" s="31">
        <v>60.0</v>
      </c>
      <c r="E149" s="30"/>
      <c r="F149" s="30"/>
      <c r="G149" s="32" t="s">
        <v>61</v>
      </c>
      <c r="H149" s="32" t="s">
        <v>189</v>
      </c>
      <c r="I149" s="31" t="s">
        <v>565</v>
      </c>
      <c r="J149" s="31" t="str">
        <f>IFERROR(__xludf.DUMMYFUNCTION("IF(ISBLANK(I149), """", GOOGLETRANSLATE(I149, ""es"", ""en""))"),"Project phase description")</f>
        <v>Project phase description</v>
      </c>
      <c r="M149" s="30">
        <v>75.0</v>
      </c>
      <c r="N149" s="30">
        <v>5357.0</v>
      </c>
      <c r="O149" s="30">
        <v>5357.0</v>
      </c>
      <c r="P149" s="30">
        <v>1.0</v>
      </c>
      <c r="Q149" s="30" t="s">
        <v>405</v>
      </c>
      <c r="R149" s="30" t="s">
        <v>406</v>
      </c>
      <c r="S149" s="30" t="s">
        <v>407</v>
      </c>
      <c r="T149" s="30" t="s">
        <v>266</v>
      </c>
      <c r="U149" s="30" t="s">
        <v>189</v>
      </c>
      <c r="V149" s="30" t="s">
        <v>66</v>
      </c>
      <c r="W149" s="30" t="s">
        <v>122</v>
      </c>
      <c r="X149" s="30" t="s">
        <v>566</v>
      </c>
      <c r="Y149" s="30">
        <v>3.0</v>
      </c>
      <c r="Z149" s="30" t="s">
        <v>434</v>
      </c>
      <c r="AA149" s="30" t="s">
        <v>567</v>
      </c>
      <c r="AB149" s="30">
        <v>0.0</v>
      </c>
      <c r="AC149" s="30">
        <v>6.0</v>
      </c>
      <c r="AD149" s="30" t="s">
        <v>568</v>
      </c>
      <c r="AE149" s="30" t="s">
        <v>569</v>
      </c>
      <c r="AF149" s="30">
        <v>325.0</v>
      </c>
      <c r="AG149" s="30">
        <v>155.0</v>
      </c>
      <c r="AH149" s="30">
        <v>4.0</v>
      </c>
      <c r="AI149" s="30" t="s">
        <v>570</v>
      </c>
      <c r="AJ149" s="30">
        <v>222.0</v>
      </c>
      <c r="AK149" s="30" t="s">
        <v>439</v>
      </c>
      <c r="AL149" s="30">
        <v>4.0</v>
      </c>
      <c r="AM149" s="30" t="s">
        <v>440</v>
      </c>
      <c r="AN149" s="30">
        <v>0.0</v>
      </c>
      <c r="AO149" s="30" t="s">
        <v>571</v>
      </c>
      <c r="AP149" s="30">
        <v>30.0</v>
      </c>
      <c r="AQ149" s="30" t="s">
        <v>142</v>
      </c>
      <c r="AR149" s="30" t="s">
        <v>141</v>
      </c>
      <c r="AS149" s="30">
        <v>114.0</v>
      </c>
      <c r="AT149" s="30" t="s">
        <v>442</v>
      </c>
      <c r="AU149" s="30" t="s">
        <v>443</v>
      </c>
      <c r="AV149" s="30" t="s">
        <v>66</v>
      </c>
      <c r="AW149" s="30"/>
      <c r="AX149" s="30">
        <v>3.0</v>
      </c>
      <c r="AY149" s="30" t="s">
        <v>466</v>
      </c>
      <c r="AZ149" s="30">
        <v>26564.0</v>
      </c>
      <c r="BA149" s="30" t="s">
        <v>572</v>
      </c>
      <c r="BB149" s="30" t="s">
        <v>573</v>
      </c>
      <c r="BC149" s="30" t="s">
        <v>574</v>
      </c>
      <c r="BD149" s="30" t="s">
        <v>66</v>
      </c>
      <c r="BE149" s="30" t="s">
        <v>67</v>
      </c>
      <c r="BF149" s="30" t="s">
        <v>422</v>
      </c>
      <c r="BG149" s="30" t="s">
        <v>423</v>
      </c>
      <c r="BH149" s="30">
        <v>0.0</v>
      </c>
      <c r="BI149" s="30"/>
      <c r="BJ149" s="30">
        <v>0.0</v>
      </c>
      <c r="BK149" s="30"/>
      <c r="BL149" s="30" t="s">
        <v>422</v>
      </c>
      <c r="BM149" s="30" t="s">
        <v>424</v>
      </c>
      <c r="BN149" s="30" t="s">
        <v>449</v>
      </c>
      <c r="BO149" s="30">
        <v>0.0</v>
      </c>
      <c r="BP149" s="30">
        <v>1.0</v>
      </c>
      <c r="BQ149" s="30" t="s">
        <v>426</v>
      </c>
      <c r="BR149" s="30">
        <v>53.0</v>
      </c>
      <c r="BS149" s="30" t="s">
        <v>575</v>
      </c>
      <c r="BT149" s="30" t="s">
        <v>451</v>
      </c>
      <c r="BU149" s="52">
        <v>37625.0</v>
      </c>
      <c r="BV149" s="30" t="s">
        <v>452</v>
      </c>
      <c r="BW149" s="30">
        <v>2010.0</v>
      </c>
      <c r="BX149" s="30">
        <v>2021.0</v>
      </c>
      <c r="BY149" s="30">
        <v>2021.0</v>
      </c>
      <c r="BZ149" s="30" t="s">
        <v>453</v>
      </c>
      <c r="CA149" s="30">
        <v>0.0</v>
      </c>
      <c r="CB149" s="30" t="s">
        <v>454</v>
      </c>
    </row>
    <row r="150" ht="15.75" customHeight="1">
      <c r="A150" s="8"/>
      <c r="B150" s="30" t="s">
        <v>354</v>
      </c>
      <c r="C150" s="31" t="s">
        <v>82</v>
      </c>
      <c r="D150" s="31">
        <v>1.0</v>
      </c>
      <c r="E150" s="30"/>
      <c r="F150" s="30"/>
      <c r="G150" s="32" t="s">
        <v>100</v>
      </c>
      <c r="H150" s="32" t="s">
        <v>66</v>
      </c>
      <c r="I150" s="31" t="s">
        <v>576</v>
      </c>
      <c r="J150" s="31" t="str">
        <f>IFERROR(__xludf.DUMMYFUNCTION("IF(ISBLANK(I150), """", GOOGLETRANSLATE(I150, ""es"", ""en""))"),"Project Type Identifier")</f>
        <v>Project Type Identifier</v>
      </c>
      <c r="M150" s="30">
        <v>259.0</v>
      </c>
      <c r="N150" s="30">
        <v>1441.0</v>
      </c>
      <c r="O150" s="30">
        <v>1441.0</v>
      </c>
      <c r="P150" s="30">
        <v>1.0</v>
      </c>
      <c r="Q150" s="30" t="s">
        <v>405</v>
      </c>
      <c r="R150" s="30" t="s">
        <v>406</v>
      </c>
      <c r="S150" s="30" t="s">
        <v>407</v>
      </c>
      <c r="T150" s="30" t="s">
        <v>266</v>
      </c>
      <c r="U150" s="30" t="s">
        <v>189</v>
      </c>
      <c r="V150" s="30" t="s">
        <v>66</v>
      </c>
      <c r="W150" s="30" t="s">
        <v>122</v>
      </c>
      <c r="X150" s="30" t="s">
        <v>577</v>
      </c>
      <c r="Y150" s="30">
        <v>1.0</v>
      </c>
      <c r="Z150" s="30" t="s">
        <v>478</v>
      </c>
      <c r="AA150" s="30" t="s">
        <v>578</v>
      </c>
      <c r="AB150" s="30">
        <v>0.0</v>
      </c>
      <c r="AC150" s="30">
        <v>5.0</v>
      </c>
      <c r="AD150" s="30" t="s">
        <v>579</v>
      </c>
      <c r="AE150" s="30" t="s">
        <v>580</v>
      </c>
      <c r="AF150" s="30">
        <v>1.0</v>
      </c>
      <c r="AG150" s="30">
        <v>10.0</v>
      </c>
      <c r="AH150" s="30">
        <v>3.0</v>
      </c>
      <c r="AI150" s="30" t="s">
        <v>581</v>
      </c>
      <c r="AJ150" s="30">
        <v>222.0</v>
      </c>
      <c r="AK150" s="30" t="s">
        <v>439</v>
      </c>
      <c r="AL150" s="30">
        <v>4.0</v>
      </c>
      <c r="AM150" s="30" t="s">
        <v>440</v>
      </c>
      <c r="AN150" s="30">
        <v>0.0</v>
      </c>
      <c r="AO150" s="30" t="s">
        <v>582</v>
      </c>
      <c r="AP150" s="30">
        <v>30.0</v>
      </c>
      <c r="AQ150" s="30" t="s">
        <v>142</v>
      </c>
      <c r="AR150" s="30" t="s">
        <v>141</v>
      </c>
      <c r="AS150" s="30">
        <v>123.0</v>
      </c>
      <c r="AT150" s="30" t="s">
        <v>583</v>
      </c>
      <c r="AU150" s="30" t="s">
        <v>584</v>
      </c>
      <c r="AV150" s="30" t="s">
        <v>66</v>
      </c>
      <c r="AW150" s="30" t="s">
        <v>585</v>
      </c>
      <c r="AX150" s="30">
        <v>3.0</v>
      </c>
      <c r="AY150" s="30" t="s">
        <v>466</v>
      </c>
      <c r="AZ150" s="30">
        <v>11890.0</v>
      </c>
      <c r="BA150" s="30" t="s">
        <v>467</v>
      </c>
      <c r="BB150" s="30" t="s">
        <v>586</v>
      </c>
      <c r="BC150" s="30" t="s">
        <v>587</v>
      </c>
      <c r="BD150" s="30" t="s">
        <v>422</v>
      </c>
      <c r="BE150" s="30" t="s">
        <v>423</v>
      </c>
      <c r="BF150" s="30" t="s">
        <v>422</v>
      </c>
      <c r="BG150" s="30" t="s">
        <v>423</v>
      </c>
      <c r="BH150" s="30">
        <v>0.0</v>
      </c>
      <c r="BI150" s="30"/>
      <c r="BJ150" s="30">
        <v>0.0</v>
      </c>
      <c r="BK150" s="30"/>
      <c r="BL150" s="30" t="s">
        <v>422</v>
      </c>
      <c r="BM150" s="30" t="s">
        <v>424</v>
      </c>
      <c r="BN150" s="30" t="s">
        <v>425</v>
      </c>
      <c r="BO150" s="30">
        <v>0.0</v>
      </c>
      <c r="BP150" s="30">
        <v>1.0</v>
      </c>
      <c r="BQ150" s="30" t="s">
        <v>426</v>
      </c>
      <c r="BR150" s="30">
        <v>139.0</v>
      </c>
      <c r="BS150" s="30" t="s">
        <v>588</v>
      </c>
      <c r="BT150" s="30" t="s">
        <v>589</v>
      </c>
      <c r="BU150" s="52">
        <v>37624.0</v>
      </c>
      <c r="BV150" s="30" t="s">
        <v>590</v>
      </c>
      <c r="BW150" s="30">
        <v>2011.0</v>
      </c>
      <c r="BX150" s="30">
        <v>2021.0</v>
      </c>
      <c r="BY150" s="30">
        <v>2019.0</v>
      </c>
      <c r="BZ150" s="30" t="s">
        <v>453</v>
      </c>
      <c r="CA150" s="30">
        <v>0.0</v>
      </c>
      <c r="CB150" s="30" t="s">
        <v>454</v>
      </c>
    </row>
    <row r="151" ht="15.75" customHeight="1">
      <c r="A151" s="8"/>
      <c r="B151" s="30" t="s">
        <v>355</v>
      </c>
      <c r="C151" s="31" t="s">
        <v>82</v>
      </c>
      <c r="D151" s="31">
        <v>60.0</v>
      </c>
      <c r="E151" s="30"/>
      <c r="F151" s="30"/>
      <c r="G151" s="32" t="s">
        <v>61</v>
      </c>
      <c r="H151" s="32" t="s">
        <v>122</v>
      </c>
      <c r="I151" s="31" t="s">
        <v>591</v>
      </c>
      <c r="J151" s="31" t="str">
        <f>IFERROR(__xludf.DUMMYFUNCTION("IF(ISBLANK(I151), """", GOOGLETRANSLATE(I151, ""es"", ""en""))"),"Project type description")</f>
        <v>Project type description</v>
      </c>
    </row>
    <row r="152" ht="15.75" customHeight="1">
      <c r="A152" s="8"/>
      <c r="B152" s="30" t="s">
        <v>356</v>
      </c>
      <c r="C152" s="31" t="s">
        <v>82</v>
      </c>
      <c r="D152" s="31">
        <v>250.0</v>
      </c>
      <c r="E152" s="30"/>
      <c r="F152" s="30"/>
      <c r="G152" s="32" t="s">
        <v>100</v>
      </c>
      <c r="H152" s="32" t="s">
        <v>330</v>
      </c>
      <c r="I152" s="31" t="s">
        <v>592</v>
      </c>
      <c r="J152" s="31" t="str">
        <f>IFERROR(__xludf.DUMMYFUNCTION("IF(ISBLANK(I152), """", GOOGLETRANSLATE(I152, ""es"", ""en""))"),"Project description")</f>
        <v>Project description</v>
      </c>
      <c r="K152" s="40" t="s">
        <v>593</v>
      </c>
    </row>
    <row r="153" ht="15.75" customHeight="1">
      <c r="A153" s="8"/>
      <c r="B153" s="30" t="s">
        <v>357</v>
      </c>
      <c r="C153" s="31" t="s">
        <v>60</v>
      </c>
      <c r="D153" s="31">
        <v>4.0</v>
      </c>
      <c r="E153" s="30">
        <v>10.0</v>
      </c>
      <c r="F153" s="30">
        <v>0.0</v>
      </c>
      <c r="G153" s="32" t="s">
        <v>61</v>
      </c>
      <c r="H153" s="32">
        <v>3.0</v>
      </c>
      <c r="I153" s="31" t="s">
        <v>594</v>
      </c>
      <c r="J153" s="31" t="str">
        <f>IFERROR(__xludf.DUMMYFUNCTION("IF(ISBLANK(I153), """", GOOGLETRANSLATE(I153, ""es"", ""en""))"),"Project Process Type Identifier")</f>
        <v>Project Process Type Identifier</v>
      </c>
      <c r="K153" s="43" t="s">
        <v>595</v>
      </c>
    </row>
    <row r="154" ht="15.75" customHeight="1">
      <c r="A154" s="8"/>
      <c r="B154" s="30" t="s">
        <v>358</v>
      </c>
      <c r="C154" s="31" t="s">
        <v>82</v>
      </c>
      <c r="D154" s="31">
        <v>120.0</v>
      </c>
      <c r="E154" s="30"/>
      <c r="F154" s="30"/>
      <c r="G154" s="32" t="s">
        <v>100</v>
      </c>
      <c r="H154" s="32" t="s">
        <v>434</v>
      </c>
      <c r="I154" s="31" t="s">
        <v>596</v>
      </c>
      <c r="J154" s="31" t="str">
        <f>IFERROR(__xludf.DUMMYFUNCTION("IF(ISBLANK(I154), """", GOOGLETRANSLATE(I154, ""es"", ""en""))"),"Project process type text")</f>
        <v>Project process type text</v>
      </c>
    </row>
    <row r="155" ht="15.75" customHeight="1">
      <c r="A155" s="8"/>
      <c r="B155" s="30" t="s">
        <v>359</v>
      </c>
      <c r="C155" s="31" t="s">
        <v>82</v>
      </c>
      <c r="D155" s="31">
        <v>250.0</v>
      </c>
      <c r="E155" s="30"/>
      <c r="F155" s="30"/>
      <c r="G155" s="32" t="s">
        <v>100</v>
      </c>
      <c r="H155" s="32" t="s">
        <v>456</v>
      </c>
      <c r="I155" s="31" t="s">
        <v>597</v>
      </c>
      <c r="J155" s="31" t="str">
        <f>IFERROR(__xludf.DUMMYFUNCTION("IF(ISBLANK(I155), """", GOOGLETRANSLATE(I155, ""es"", ""en""))"),"Project Purpose ")</f>
        <v>Project Purpose </v>
      </c>
    </row>
    <row r="156" ht="15.75" customHeight="1">
      <c r="A156" s="8"/>
      <c r="B156" s="30" t="s">
        <v>360</v>
      </c>
      <c r="C156" s="31" t="s">
        <v>60</v>
      </c>
      <c r="D156" s="31">
        <v>4.0</v>
      </c>
      <c r="E156" s="30">
        <v>10.0</v>
      </c>
      <c r="F156" s="30">
        <v>0.0</v>
      </c>
      <c r="G156" s="32" t="s">
        <v>100</v>
      </c>
      <c r="H156" s="32">
        <v>1.0</v>
      </c>
      <c r="I156" s="31" t="s">
        <v>598</v>
      </c>
      <c r="J156" s="31" t="str">
        <f>IFERROR(__xludf.DUMMYFUNCTION("IF(ISBLANK(I156), """", GOOGLETRANSLATE(I156, ""es"", ""en""))"),"Duration of the project during the pre-investment process")</f>
        <v>Duration of the project during the pre-investment process</v>
      </c>
    </row>
    <row r="157" ht="15.75" customHeight="1">
      <c r="A157" s="8"/>
      <c r="B157" s="30" t="s">
        <v>361</v>
      </c>
      <c r="C157" s="31" t="s">
        <v>60</v>
      </c>
      <c r="D157" s="31">
        <v>4.0</v>
      </c>
      <c r="E157" s="30">
        <v>10.0</v>
      </c>
      <c r="F157" s="30">
        <v>0.0</v>
      </c>
      <c r="G157" s="32" t="s">
        <v>100</v>
      </c>
      <c r="H157" s="32">
        <v>7.0</v>
      </c>
      <c r="I157" s="31" t="s">
        <v>599</v>
      </c>
      <c r="J157" s="31" t="str">
        <f>IFERROR(__xludf.DUMMYFUNCTION("IF(ISBLANK(I157), """", GOOGLETRANSLATE(I157, ""es"", ""en""))"),"Duration of the project during the investment process")</f>
        <v>Duration of the project during the investment process</v>
      </c>
      <c r="K157" s="40" t="s">
        <v>600</v>
      </c>
    </row>
    <row r="158" ht="15.75" customHeight="1">
      <c r="A158" s="8"/>
      <c r="B158" s="30" t="s">
        <v>362</v>
      </c>
      <c r="C158" s="31" t="s">
        <v>220</v>
      </c>
      <c r="D158" s="31">
        <v>9.0</v>
      </c>
      <c r="E158" s="30">
        <v>19.0</v>
      </c>
      <c r="F158" s="30">
        <v>2.0</v>
      </c>
      <c r="G158" s="32" t="s">
        <v>100</v>
      </c>
      <c r="H158" s="32" t="s">
        <v>457</v>
      </c>
      <c r="I158" s="31" t="s">
        <v>601</v>
      </c>
      <c r="J158" s="31" t="str">
        <f>IFERROR(__xludf.DUMMYFUNCTION("IF(ISBLANK(I158), """", GOOGLETRANSLATE(I158, ""es"", ""en""))"),"Total project cost")</f>
        <v>Total project cost</v>
      </c>
      <c r="K158" s="43" t="s">
        <v>602</v>
      </c>
    </row>
    <row r="159" ht="15.75" customHeight="1">
      <c r="A159" s="8"/>
      <c r="B159" s="30" t="s">
        <v>363</v>
      </c>
      <c r="C159" s="31" t="s">
        <v>225</v>
      </c>
      <c r="D159" s="31">
        <v>8000.0</v>
      </c>
      <c r="E159" s="30"/>
      <c r="F159" s="30"/>
      <c r="G159" s="32" t="s">
        <v>100</v>
      </c>
      <c r="H159" s="32" t="s">
        <v>458</v>
      </c>
      <c r="I159" s="31" t="s">
        <v>601</v>
      </c>
      <c r="J159" s="31" t="str">
        <f>IFERROR(__xludf.DUMMYFUNCTION("IF(ISBLANK(I159), """", GOOGLETRANSLATE(I159, ""es"", ""en""))"),"Total project cost")</f>
        <v>Total project cost</v>
      </c>
    </row>
    <row r="160" ht="15.75" customHeight="1">
      <c r="A160" s="8"/>
      <c r="B160" s="30" t="s">
        <v>364</v>
      </c>
      <c r="C160" s="31" t="s">
        <v>60</v>
      </c>
      <c r="D160" s="31">
        <v>4.0</v>
      </c>
      <c r="E160" s="30">
        <v>10.0</v>
      </c>
      <c r="F160" s="30">
        <v>0.0</v>
      </c>
      <c r="G160" s="32" t="s">
        <v>100</v>
      </c>
      <c r="H160" s="32">
        <v>155.0</v>
      </c>
      <c r="I160" s="31" t="s">
        <v>603</v>
      </c>
      <c r="J160" s="31" t="str">
        <f>IFERROR(__xludf.DUMMYFUNCTION("IF(ISBLANK(I160), """", GOOGLETRANSLATE(I160, ""es"", ""en""))"),"Project Priority at the institutional level")</f>
        <v>Project Priority at the institutional level</v>
      </c>
    </row>
    <row r="161" ht="15.75" customHeight="1">
      <c r="A161" s="8"/>
      <c r="B161" s="30" t="s">
        <v>365</v>
      </c>
      <c r="C161" s="31" t="s">
        <v>60</v>
      </c>
      <c r="D161" s="31">
        <v>4.0</v>
      </c>
      <c r="E161" s="30">
        <v>10.0</v>
      </c>
      <c r="F161" s="30">
        <v>0.0</v>
      </c>
      <c r="G161" s="32" t="s">
        <v>61</v>
      </c>
      <c r="H161" s="32">
        <v>129.0</v>
      </c>
      <c r="I161" s="31" t="s">
        <v>604</v>
      </c>
      <c r="J161" s="31" t="str">
        <f>IFERROR(__xludf.DUMMYFUNCTION("IF(ISBLANK(I161), """", GOOGLETRANSLATE(I161, ""es"", ""en""))"),"Project Functional Identifier")</f>
        <v>Project Functional Identifier</v>
      </c>
    </row>
    <row r="162" ht="15.75" customHeight="1">
      <c r="A162" s="8"/>
      <c r="B162" s="30" t="s">
        <v>366</v>
      </c>
      <c r="C162" s="31" t="s">
        <v>82</v>
      </c>
      <c r="D162" s="31">
        <v>5.0</v>
      </c>
      <c r="E162" s="30"/>
      <c r="F162" s="30"/>
      <c r="G162" s="32" t="s">
        <v>61</v>
      </c>
      <c r="H162" s="32">
        <v>2.0</v>
      </c>
      <c r="I162" s="31" t="s">
        <v>605</v>
      </c>
      <c r="J162" s="31" t="str">
        <f>IFERROR(__xludf.DUMMYFUNCTION("IF(ISBLANK(I162), """", GOOGLETRANSLATE(I162, ""es"", ""en""))"),"Functional identifier of the text Project")</f>
        <v>Functional identifier of the text Project</v>
      </c>
    </row>
    <row r="163" ht="15.75" customHeight="1">
      <c r="A163" s="8"/>
      <c r="B163" s="30" t="s">
        <v>367</v>
      </c>
      <c r="C163" s="31" t="s">
        <v>82</v>
      </c>
      <c r="D163" s="31">
        <v>1024.0</v>
      </c>
      <c r="E163" s="30"/>
      <c r="F163" s="30"/>
      <c r="G163" s="32" t="s">
        <v>100</v>
      </c>
      <c r="H163" s="32" t="s">
        <v>459</v>
      </c>
      <c r="I163" s="31" t="s">
        <v>606</v>
      </c>
      <c r="J163" s="31" t="str">
        <f>IFERROR(__xludf.DUMMYFUNCTION("IF(ISBLANK(I163), """", GOOGLETRANSLATE(I163, ""es"", ""en""))"),"Description of the central problem of the investment project")</f>
        <v>Description of the central problem of the investment project</v>
      </c>
    </row>
    <row r="164" ht="15.75" customHeight="1">
      <c r="A164" s="8"/>
      <c r="B164" s="30" t="s">
        <v>43</v>
      </c>
      <c r="C164" s="31" t="s">
        <v>60</v>
      </c>
      <c r="D164" s="31">
        <v>4.0</v>
      </c>
      <c r="E164" s="30">
        <v>10.0</v>
      </c>
      <c r="F164" s="30">
        <v>0.0</v>
      </c>
      <c r="G164" s="32" t="s">
        <v>61</v>
      </c>
      <c r="H164" s="32">
        <v>468.0</v>
      </c>
      <c r="I164" s="31" t="s">
        <v>607</v>
      </c>
      <c r="J164" s="31" t="str">
        <f>IFERROR(__xludf.DUMMYFUNCTION("IF(ISBLANK(I164), """", GOOGLETRANSLATE(I164, ""es"", ""en""))"),"Identification of the entity")</f>
        <v>Identification of the entity</v>
      </c>
      <c r="K164" s="42"/>
    </row>
    <row r="165" ht="15.75" customHeight="1">
      <c r="A165" s="8"/>
      <c r="B165" s="30" t="s">
        <v>368</v>
      </c>
      <c r="C165" s="31" t="s">
        <v>82</v>
      </c>
      <c r="D165" s="31">
        <v>21.0</v>
      </c>
      <c r="E165" s="30"/>
      <c r="F165" s="30"/>
      <c r="G165" s="32" t="s">
        <v>61</v>
      </c>
      <c r="H165" s="32" t="s">
        <v>460</v>
      </c>
      <c r="I165" s="31" t="s">
        <v>608</v>
      </c>
      <c r="J165" s="31" t="str">
        <f>IFERROR(__xludf.DUMMYFUNCTION("IF(ISBLANK(I165), """", GOOGLETRANSLATE(I165, ""es"", ""en""))"),"Identification of the entity in text")</f>
        <v>Identification of the entity in text</v>
      </c>
      <c r="K165" s="42"/>
    </row>
    <row r="166" ht="15.75" customHeight="1">
      <c r="A166" s="8"/>
      <c r="B166" s="30" t="s">
        <v>369</v>
      </c>
      <c r="C166" s="31" t="s">
        <v>60</v>
      </c>
      <c r="D166" s="31">
        <v>4.0</v>
      </c>
      <c r="E166" s="30">
        <v>10.0</v>
      </c>
      <c r="F166" s="30">
        <v>0.0</v>
      </c>
      <c r="G166" s="32" t="s">
        <v>61</v>
      </c>
      <c r="H166" s="32">
        <v>3.0</v>
      </c>
      <c r="I166" s="31" t="s">
        <v>609</v>
      </c>
      <c r="J166" s="31" t="str">
        <f>IFERROR(__xludf.DUMMYFUNCTION("IF(ISBLANK(I166), """", GOOGLETRANSLATE(I166, ""es"", ""en""))"),"Identification of transversal policy")</f>
        <v>Identification of transversal policy</v>
      </c>
      <c r="K166" s="42"/>
    </row>
    <row r="167" ht="15.75" customHeight="1">
      <c r="A167" s="8"/>
      <c r="B167" s="30" t="s">
        <v>370</v>
      </c>
      <c r="C167" s="31" t="s">
        <v>82</v>
      </c>
      <c r="D167" s="31">
        <v>10.0</v>
      </c>
      <c r="E167" s="30"/>
      <c r="F167" s="30"/>
      <c r="G167" s="32" t="s">
        <v>100</v>
      </c>
      <c r="H167" s="32" t="s">
        <v>415</v>
      </c>
      <c r="I167" s="31" t="s">
        <v>610</v>
      </c>
      <c r="J167" s="31" t="str">
        <f>IFERROR(__xludf.DUMMYFUNCTION("IF(ISBLANK(I167), """", GOOGLETRANSLATE(I167, ""es"", ""en""))"),"Transversal policy defined for the project")</f>
        <v>Transversal policy defined for the project</v>
      </c>
      <c r="K167" s="42"/>
    </row>
    <row r="168" ht="15.75" customHeight="1">
      <c r="A168" s="8"/>
      <c r="B168" s="30" t="s">
        <v>371</v>
      </c>
      <c r="C168" s="31" t="s">
        <v>60</v>
      </c>
      <c r="D168" s="31">
        <v>4.0</v>
      </c>
      <c r="E168" s="30">
        <v>10.0</v>
      </c>
      <c r="F168" s="30">
        <v>0.0</v>
      </c>
      <c r="G168" s="32" t="s">
        <v>61</v>
      </c>
      <c r="H168" s="32">
        <v>0.0</v>
      </c>
      <c r="I168" s="31"/>
      <c r="J168" s="31" t="str">
        <f>IFERROR(__xludf.DUMMYFUNCTION("IF(ISBLANK(I168), """", GOOGLETRANSLATE(I168, ""es"", ""en""))"),"")</f>
        <v/>
      </c>
      <c r="K168" s="42"/>
    </row>
    <row r="169" ht="15.75" customHeight="1">
      <c r="A169" s="8"/>
      <c r="B169" s="30" t="s">
        <v>109</v>
      </c>
      <c r="C169" s="31" t="s">
        <v>82</v>
      </c>
      <c r="D169" s="31">
        <v>3072.0</v>
      </c>
      <c r="E169" s="30"/>
      <c r="F169" s="30"/>
      <c r="G169" s="32" t="s">
        <v>100</v>
      </c>
      <c r="H169" s="32" t="s">
        <v>461</v>
      </c>
      <c r="I169" s="31" t="s">
        <v>611</v>
      </c>
      <c r="J169" s="31" t="str">
        <f>IFERROR(__xludf.DUMMYFUNCTION("IF(ISBLANK(I169), """", GOOGLETRANSLATE(I169, ""es"", ""en""))"),"Description of the Investment Project in the SNIP (Public Investment System)")</f>
        <v>Description of the Investment Project in the SNIP (Public Investment System)</v>
      </c>
      <c r="K169" s="42"/>
    </row>
    <row r="170" ht="15.75" customHeight="1">
      <c r="A170" s="8"/>
      <c r="B170" s="30" t="s">
        <v>372</v>
      </c>
      <c r="C170" s="31" t="s">
        <v>60</v>
      </c>
      <c r="D170" s="31">
        <v>4.0</v>
      </c>
      <c r="E170" s="30">
        <v>10.0</v>
      </c>
      <c r="F170" s="30">
        <v>0.0</v>
      </c>
      <c r="G170" s="32" t="s">
        <v>61</v>
      </c>
      <c r="H170" s="32">
        <v>48.0</v>
      </c>
      <c r="I170" s="31" t="s">
        <v>612</v>
      </c>
      <c r="J170" s="31" t="str">
        <f>IFERROR(__xludf.DUMMYFUNCTION("IF(ISBLANK(I170), """", GOOGLETRANSLATE(I170, ""es"", ""en""))"),"Identifier of the responsible institution")</f>
        <v>Identifier of the responsible institution</v>
      </c>
      <c r="K170" s="42"/>
    </row>
    <row r="171" ht="15.75" customHeight="1">
      <c r="A171" s="8"/>
      <c r="B171" s="30" t="s">
        <v>373</v>
      </c>
      <c r="C171" s="31" t="s">
        <v>82</v>
      </c>
      <c r="D171" s="31">
        <v>30.0</v>
      </c>
      <c r="E171" s="30"/>
      <c r="F171" s="30"/>
      <c r="G171" s="32" t="s">
        <v>100</v>
      </c>
      <c r="H171" s="32" t="s">
        <v>462</v>
      </c>
      <c r="I171" s="31" t="s">
        <v>613</v>
      </c>
      <c r="J171" s="31" t="str">
        <f>IFERROR(__xludf.DUMMYFUNCTION("IF(ISBLANK(I171), """", GOOGLETRANSLATE(I171, ""es"", ""en""))"),"Acronyms of the responsible institution")</f>
        <v>Acronyms of the responsible institution</v>
      </c>
      <c r="K171" s="42"/>
    </row>
    <row r="172" ht="15.75" customHeight="1">
      <c r="A172" s="8"/>
      <c r="B172" s="30" t="s">
        <v>374</v>
      </c>
      <c r="C172" s="31" t="s">
        <v>82</v>
      </c>
      <c r="D172" s="31">
        <v>120.0</v>
      </c>
      <c r="E172" s="30"/>
      <c r="F172" s="30"/>
      <c r="G172" s="32" t="s">
        <v>100</v>
      </c>
      <c r="H172" s="32" t="s">
        <v>463</v>
      </c>
      <c r="I172" s="31" t="s">
        <v>614</v>
      </c>
      <c r="J172" s="31" t="str">
        <f>IFERROR(__xludf.DUMMYFUNCTION("IF(ISBLANK(I172), """", GOOGLETRANSLATE(I172, ""es"", ""en""))"),"Description of the responsible institution")</f>
        <v>Description of the responsible institution</v>
      </c>
      <c r="K172" s="42"/>
    </row>
    <row r="173" ht="15.75" customHeight="1">
      <c r="A173" s="8"/>
      <c r="B173" s="30" t="s">
        <v>375</v>
      </c>
      <c r="C173" s="31" t="s">
        <v>60</v>
      </c>
      <c r="D173" s="31">
        <v>4.0</v>
      </c>
      <c r="E173" s="30">
        <v>10.0</v>
      </c>
      <c r="F173" s="30">
        <v>0.0</v>
      </c>
      <c r="G173" s="32" t="s">
        <v>61</v>
      </c>
      <c r="H173" s="32">
        <v>66.0</v>
      </c>
      <c r="I173" s="31" t="s">
        <v>615</v>
      </c>
      <c r="J173" s="31" t="str">
        <f>IFERROR(__xludf.DUMMYFUNCTION("IF(ISBLANK(I173), """", GOOGLETRANSLATE(I173, ""es"", ""en""))"),"Identifier of the executing institution")</f>
        <v>Identifier of the executing institution</v>
      </c>
      <c r="K173" s="42"/>
    </row>
    <row r="174" ht="15.75" customHeight="1">
      <c r="A174" s="8"/>
      <c r="B174" s="30" t="s">
        <v>376</v>
      </c>
      <c r="C174" s="31" t="s">
        <v>82</v>
      </c>
      <c r="D174" s="31">
        <v>30.0</v>
      </c>
      <c r="E174" s="30"/>
      <c r="F174" s="30"/>
      <c r="G174" s="32" t="s">
        <v>100</v>
      </c>
      <c r="H174" s="32" t="s">
        <v>464</v>
      </c>
      <c r="I174" s="31" t="s">
        <v>616</v>
      </c>
      <c r="J174" s="31" t="str">
        <f>IFERROR(__xludf.DUMMYFUNCTION("IF(ISBLANK(I174), """", GOOGLETRANSLATE(I174, ""es"", ""en""))"),"Acronyms of the executing institution")</f>
        <v>Acronyms of the executing institution</v>
      </c>
      <c r="K174" s="42"/>
    </row>
    <row r="175" ht="15.75" customHeight="1">
      <c r="A175" s="8"/>
      <c r="B175" s="30" t="s">
        <v>377</v>
      </c>
      <c r="C175" s="31" t="s">
        <v>82</v>
      </c>
      <c r="D175" s="31">
        <v>120.0</v>
      </c>
      <c r="E175" s="30"/>
      <c r="F175" s="30"/>
      <c r="G175" s="32" t="s">
        <v>100</v>
      </c>
      <c r="H175" s="32" t="s">
        <v>465</v>
      </c>
      <c r="I175" s="31" t="s">
        <v>617</v>
      </c>
      <c r="J175" s="31" t="str">
        <f>IFERROR(__xludf.DUMMYFUNCTION("IF(ISBLANK(I175), """", GOOGLETRANSLATE(I175, ""es"", ""en""))"),"Description of the executing institution")</f>
        <v>Description of the executing institution</v>
      </c>
      <c r="K175" s="42"/>
    </row>
    <row r="176" ht="15.75" customHeight="1">
      <c r="A176" s="8"/>
      <c r="B176" s="30" t="s">
        <v>113</v>
      </c>
      <c r="C176" s="31" t="s">
        <v>82</v>
      </c>
      <c r="D176" s="31">
        <v>1.0</v>
      </c>
      <c r="E176" s="30"/>
      <c r="F176" s="30"/>
      <c r="G176" s="32" t="s">
        <v>100</v>
      </c>
      <c r="H176" s="32" t="s">
        <v>66</v>
      </c>
      <c r="I176" s="31" t="s">
        <v>618</v>
      </c>
      <c r="J176" s="31" t="str">
        <f>IFERROR(__xludf.DUMMYFUNCTION("IF(ISBLANK(I176), """", GOOGLETRANSLATE(I176, ""es"", ""en""))"),"Type of Institution")</f>
        <v>Type of Institution</v>
      </c>
      <c r="K176" s="42"/>
    </row>
    <row r="177" ht="15.75" customHeight="1">
      <c r="A177" s="8"/>
      <c r="B177" s="30" t="s">
        <v>378</v>
      </c>
      <c r="C177" s="31" t="s">
        <v>82</v>
      </c>
      <c r="D177" s="31">
        <v>2048.0</v>
      </c>
      <c r="E177" s="30"/>
      <c r="F177" s="30"/>
      <c r="G177" s="32" t="s">
        <v>100</v>
      </c>
      <c r="H177" s="32"/>
      <c r="I177" s="50" t="s">
        <v>619</v>
      </c>
      <c r="J177" s="31" t="str">
        <f>IFERROR(__xludf.DUMMYFUNCTION("IF(ISBLANK(I177), """", GOOGLETRANSLATE(I177, ""es"", ""en""))"),"(I think the beneficiaries are to be defined)")</f>
        <v>(I think the beneficiaries are to be defined)</v>
      </c>
      <c r="K177" s="42"/>
    </row>
    <row r="178" ht="15.75" customHeight="1">
      <c r="A178" s="8"/>
      <c r="B178" s="30" t="s">
        <v>379</v>
      </c>
      <c r="C178" s="31" t="s">
        <v>60</v>
      </c>
      <c r="D178" s="31">
        <v>4.0</v>
      </c>
      <c r="E178" s="30">
        <v>10.0</v>
      </c>
      <c r="F178" s="30">
        <v>0.0</v>
      </c>
      <c r="G178" s="32" t="s">
        <v>61</v>
      </c>
      <c r="H178" s="32">
        <v>3.0</v>
      </c>
      <c r="I178" s="31" t="s">
        <v>620</v>
      </c>
      <c r="J178" s="31" t="str">
        <f>IFERROR(__xludf.DUMMYFUNCTION("IF(ISBLANK(I178), """", GOOGLETRANSLATE(I178, ""es"", ""en""))"),"Identifier Area of ​​Influence of the Project (Provincial or Municipal)")</f>
        <v>Identifier Area of ​​Influence of the Project (Provincial or Municipal)</v>
      </c>
      <c r="K178" s="42"/>
    </row>
    <row r="179" ht="15.75" customHeight="1">
      <c r="A179" s="8"/>
      <c r="B179" s="30" t="s">
        <v>380</v>
      </c>
      <c r="C179" s="31" t="s">
        <v>82</v>
      </c>
      <c r="D179" s="31">
        <v>16.0</v>
      </c>
      <c r="E179" s="30"/>
      <c r="F179" s="30"/>
      <c r="G179" s="32" t="s">
        <v>61</v>
      </c>
      <c r="H179" s="32" t="s">
        <v>466</v>
      </c>
      <c r="I179" s="31" t="s">
        <v>621</v>
      </c>
      <c r="J179" s="31" t="str">
        <f>IFERROR(__xludf.DUMMYFUNCTION("IF(ISBLANK(I179), """", GOOGLETRANSLATE(I179, ""es"", ""en""))"),"Text Area of ​​Influence of the Project")</f>
        <v>Text Area of ​​Influence of the Project</v>
      </c>
      <c r="K179" s="42"/>
    </row>
    <row r="180" ht="15.75" customHeight="1">
      <c r="A180" s="8"/>
      <c r="B180" s="30" t="s">
        <v>381</v>
      </c>
      <c r="C180" s="31" t="s">
        <v>60</v>
      </c>
      <c r="D180" s="31">
        <v>4.0</v>
      </c>
      <c r="E180" s="30">
        <v>10.0</v>
      </c>
      <c r="F180" s="30">
        <v>0.0</v>
      </c>
      <c r="G180" s="32" t="s">
        <v>100</v>
      </c>
      <c r="H180" s="32">
        <v>346000.0</v>
      </c>
      <c r="I180" s="31" t="s">
        <v>622</v>
      </c>
      <c r="J180" s="31" t="str">
        <f>IFERROR(__xludf.DUMMYFUNCTION("IF(ISBLANK(I180), """", GOOGLETRANSLATE(I180, ""es"", ""en""))"),"Beneficiary population")</f>
        <v>Beneficiary population</v>
      </c>
      <c r="K180" s="42"/>
    </row>
    <row r="181" ht="15.75" customHeight="1">
      <c r="A181" s="8"/>
      <c r="B181" s="30" t="s">
        <v>382</v>
      </c>
      <c r="C181" s="31" t="s">
        <v>82</v>
      </c>
      <c r="D181" s="31">
        <v>1024.0</v>
      </c>
      <c r="E181" s="30"/>
      <c r="F181" s="30"/>
      <c r="G181" s="32" t="s">
        <v>100</v>
      </c>
      <c r="H181" s="32" t="s">
        <v>467</v>
      </c>
      <c r="I181" s="31" t="s">
        <v>623</v>
      </c>
      <c r="J181" s="31" t="str">
        <f>IFERROR(__xludf.DUMMYFUNCTION("IF(ISBLANK(I181), """", GOOGLETRANSLATE(I181, ""es"", ""en""))"),"Description of the Population or Unit Measurement of the Beneficiary Population")</f>
        <v>Description of the Population or Unit Measurement of the Beneficiary Population</v>
      </c>
      <c r="K181" s="42"/>
    </row>
    <row r="182" ht="15.75" customHeight="1">
      <c r="A182" s="8"/>
      <c r="B182" s="30" t="s">
        <v>383</v>
      </c>
      <c r="C182" s="31" t="s">
        <v>82</v>
      </c>
      <c r="D182" s="31">
        <v>7168.0</v>
      </c>
      <c r="E182" s="30"/>
      <c r="F182" s="30"/>
      <c r="G182" s="32" t="s">
        <v>100</v>
      </c>
      <c r="H182" s="32" t="s">
        <v>468</v>
      </c>
      <c r="I182" s="31" t="s">
        <v>624</v>
      </c>
      <c r="J182" s="31" t="str">
        <f>IFERROR(__xludf.DUMMYFUNCTION("IF(ISBLANK(I182), """", GOOGLETRANSLATE(I182, ""es"", ""en""))"),"Project motivation")</f>
        <v>Project motivation</v>
      </c>
      <c r="K182" s="42"/>
    </row>
    <row r="183" ht="15.75" customHeight="1">
      <c r="A183" s="8"/>
      <c r="B183" s="30" t="s">
        <v>384</v>
      </c>
      <c r="C183" s="31" t="s">
        <v>82</v>
      </c>
      <c r="D183" s="31">
        <v>1024.0</v>
      </c>
      <c r="E183" s="30"/>
      <c r="F183" s="30"/>
      <c r="G183" s="32" t="s">
        <v>100</v>
      </c>
      <c r="H183" s="32" t="s">
        <v>469</v>
      </c>
      <c r="I183" s="31" t="s">
        <v>625</v>
      </c>
      <c r="J183" s="31" t="str">
        <f>IFERROR(__xludf.DUMMYFUNCTION("IF(ISBLANK(I183), """", GOOGLETRANSLATE(I183, ""es"", ""en""))"),"Purpose of the project")</f>
        <v>Purpose of the project</v>
      </c>
      <c r="K183" s="42"/>
    </row>
    <row r="184" ht="15.75" customHeight="1">
      <c r="A184" s="8"/>
      <c r="B184" s="30" t="s">
        <v>385</v>
      </c>
      <c r="C184" s="31" t="s">
        <v>82</v>
      </c>
      <c r="D184" s="31">
        <v>1.0</v>
      </c>
      <c r="E184" s="30"/>
      <c r="F184" s="30"/>
      <c r="G184" s="32" t="s">
        <v>61</v>
      </c>
      <c r="H184" s="32" t="s">
        <v>66</v>
      </c>
      <c r="I184" s="31" t="s">
        <v>626</v>
      </c>
      <c r="J184" s="31" t="str">
        <f>IFERROR(__xludf.DUMMYFUNCTION("IF(ISBLANK(I184), """", GOOGLETRANSLATE(I184, ""es"", ""en""))"),"Definition if a prior concept existed (S is YES)")</f>
        <v>Definition if a prior concept existed (S is YES)</v>
      </c>
      <c r="K184" s="42"/>
    </row>
    <row r="185" ht="15.75" customHeight="1">
      <c r="A185" s="8"/>
      <c r="B185" s="30" t="s">
        <v>386</v>
      </c>
      <c r="C185" s="31" t="s">
        <v>82</v>
      </c>
      <c r="D185" s="31">
        <v>13.0</v>
      </c>
      <c r="E185" s="30"/>
      <c r="F185" s="30"/>
      <c r="G185" s="32" t="s">
        <v>61</v>
      </c>
      <c r="H185" s="32" t="s">
        <v>67</v>
      </c>
      <c r="I185" s="31" t="s">
        <v>627</v>
      </c>
      <c r="J185" s="31" t="str">
        <f>IFERROR(__xludf.DUMMYFUNCTION("IF(ISBLANK(I185), """", GOOGLETRANSLATE(I185, ""es"", ""en""))"),"Definition text previous concept")</f>
        <v>Definition text previous concept</v>
      </c>
      <c r="K185" s="42"/>
    </row>
    <row r="186" ht="15.75" customHeight="1">
      <c r="A186" s="8"/>
      <c r="B186" s="30" t="s">
        <v>387</v>
      </c>
      <c r="C186" s="31" t="s">
        <v>82</v>
      </c>
      <c r="D186" s="31">
        <v>1.0</v>
      </c>
      <c r="E186" s="30"/>
      <c r="F186" s="30"/>
      <c r="G186" s="32" t="s">
        <v>61</v>
      </c>
      <c r="H186" s="32" t="s">
        <v>422</v>
      </c>
      <c r="I186" s="31" t="s">
        <v>628</v>
      </c>
      <c r="J186" s="31" t="str">
        <f>IFERROR(__xludf.DUMMYFUNCTION("IF(ISBLANK(I186), """", GOOGLETRANSLATE(I186, ""es"", ""en""))"),"Indicates if the project is a subproject (N is NO)")</f>
        <v>Indicates if the project is a subproject (N is NO)</v>
      </c>
      <c r="K186" s="42"/>
    </row>
    <row r="187" ht="15.75" customHeight="1">
      <c r="A187" s="8"/>
      <c r="B187" s="30" t="s">
        <v>388</v>
      </c>
      <c r="C187" s="31" t="s">
        <v>82</v>
      </c>
      <c r="D187" s="31">
        <v>13.0</v>
      </c>
      <c r="E187" s="30"/>
      <c r="F187" s="30"/>
      <c r="G187" s="32" t="s">
        <v>61</v>
      </c>
      <c r="H187" s="32" t="s">
        <v>423</v>
      </c>
      <c r="I187" s="31" t="s">
        <v>629</v>
      </c>
      <c r="J187" s="31" t="str">
        <f>IFERROR(__xludf.DUMMYFUNCTION("IF(ISBLANK(I187), """", GOOGLETRANSLATE(I187, ""es"", ""en""))"),"Indicator in text if it is a subproject")</f>
        <v>Indicator in text if it is a subproject</v>
      </c>
      <c r="K187" s="42"/>
    </row>
    <row r="188" ht="15.75" customHeight="1">
      <c r="A188" s="8"/>
      <c r="B188" s="30" t="s">
        <v>389</v>
      </c>
      <c r="C188" s="31" t="s">
        <v>60</v>
      </c>
      <c r="D188" s="31">
        <v>4.0</v>
      </c>
      <c r="E188" s="30">
        <v>10.0</v>
      </c>
      <c r="F188" s="30">
        <v>0.0</v>
      </c>
      <c r="G188" s="32" t="s">
        <v>100</v>
      </c>
      <c r="H188" s="32">
        <v>0.0</v>
      </c>
      <c r="I188" s="31" t="s">
        <v>630</v>
      </c>
      <c r="J188" s="31" t="str">
        <f>IFERROR(__xludf.DUMMYFUNCTION("IF(ISBLANK(I188), """", GOOGLETRANSLATE(I188, ""es"", ""en""))"),"Reference population ")</f>
        <v>Reference population </v>
      </c>
      <c r="K188" s="42"/>
    </row>
    <row r="189" ht="15.75" customHeight="1">
      <c r="A189" s="8"/>
      <c r="B189" s="30" t="s">
        <v>390</v>
      </c>
      <c r="C189" s="31" t="s">
        <v>82</v>
      </c>
      <c r="D189" s="31">
        <v>1024.0</v>
      </c>
      <c r="E189" s="30"/>
      <c r="F189" s="30"/>
      <c r="G189" s="32" t="s">
        <v>100</v>
      </c>
      <c r="H189" s="32"/>
      <c r="I189" s="31" t="s">
        <v>623</v>
      </c>
      <c r="J189" s="31" t="str">
        <f>IFERROR(__xludf.DUMMYFUNCTION("IF(ISBLANK(I189), """", GOOGLETRANSLATE(I189, ""es"", ""en""))"),"Description of the Population or Unit Measurement of the Beneficiary Population")</f>
        <v>Description of the Population or Unit Measurement of the Beneficiary Population</v>
      </c>
      <c r="K189" s="42"/>
    </row>
    <row r="190" ht="15.75" customHeight="1">
      <c r="A190" s="8"/>
      <c r="B190" s="30" t="s">
        <v>391</v>
      </c>
      <c r="C190" s="31" t="s">
        <v>60</v>
      </c>
      <c r="D190" s="31">
        <v>4.0</v>
      </c>
      <c r="E190" s="30">
        <v>10.0</v>
      </c>
      <c r="F190" s="30">
        <v>0.0</v>
      </c>
      <c r="G190" s="32" t="s">
        <v>100</v>
      </c>
      <c r="H190" s="32">
        <v>0.0</v>
      </c>
      <c r="I190" s="31" t="s">
        <v>631</v>
      </c>
      <c r="J190" s="31" t="str">
        <f>IFERROR(__xludf.DUMMYFUNCTION("IF(ISBLANK(I190), """", GOOGLETRANSLATE(I190, ""es"", ""en""))"),"Affected population")</f>
        <v>Affected population</v>
      </c>
      <c r="K190" s="42"/>
    </row>
    <row r="191" ht="15.75" customHeight="1">
      <c r="A191" s="8"/>
      <c r="B191" s="30" t="s">
        <v>392</v>
      </c>
      <c r="C191" s="31" t="s">
        <v>82</v>
      </c>
      <c r="D191" s="31">
        <v>1024.0</v>
      </c>
      <c r="E191" s="30"/>
      <c r="F191" s="30"/>
      <c r="G191" s="32" t="s">
        <v>100</v>
      </c>
      <c r="H191" s="32"/>
      <c r="I191" s="31" t="s">
        <v>632</v>
      </c>
      <c r="J191" s="31" t="str">
        <f>IFERROR(__xludf.DUMMYFUNCTION("IF(ISBLANK(I191), """", GOOGLETRANSLATE(I191, ""es"", ""en""))"),"Description of the Population or Unit Measurement of the Affected Population")</f>
        <v>Description of the Population or Unit Measurement of the Affected Population</v>
      </c>
      <c r="K191" s="42"/>
    </row>
    <row r="192" ht="15.75" customHeight="1">
      <c r="A192" s="8"/>
      <c r="B192" s="30" t="s">
        <v>393</v>
      </c>
      <c r="C192" s="31" t="s">
        <v>82</v>
      </c>
      <c r="D192" s="31">
        <v>1.0</v>
      </c>
      <c r="E192" s="30"/>
      <c r="F192" s="30"/>
      <c r="G192" s="32" t="s">
        <v>61</v>
      </c>
      <c r="H192" s="32" t="s">
        <v>422</v>
      </c>
      <c r="I192" s="31" t="s">
        <v>633</v>
      </c>
      <c r="J192" s="31" t="str">
        <f>IFERROR(__xludf.DUMMYFUNCTION("IF(ISBLANK(I192), """", GOOGLETRANSLATE(I192, ""es"", ""en""))"),"Origin Identifier")</f>
        <v>Origin Identifier</v>
      </c>
      <c r="K192" s="42"/>
    </row>
    <row r="193" ht="15.75" customHeight="1">
      <c r="A193" s="8"/>
      <c r="B193" s="30" t="s">
        <v>394</v>
      </c>
      <c r="C193" s="31" t="s">
        <v>82</v>
      </c>
      <c r="D193" s="31">
        <v>27.0</v>
      </c>
      <c r="E193" s="30"/>
      <c r="F193" s="30"/>
      <c r="G193" s="32" t="s">
        <v>61</v>
      </c>
      <c r="H193" s="32" t="s">
        <v>424</v>
      </c>
      <c r="I193" s="31" t="s">
        <v>634</v>
      </c>
      <c r="J193" s="31" t="str">
        <f>IFERROR(__xludf.DUMMYFUNCTION("IF(ISBLANK(I193), """", GOOGLETRANSLATE(I193, ""es"", ""en""))"),"Origin identifier text)")</f>
        <v>Origin identifier text)</v>
      </c>
      <c r="K193" s="42"/>
    </row>
    <row r="194" ht="15.75" customHeight="1">
      <c r="A194" s="8"/>
      <c r="B194" s="30" t="s">
        <v>54</v>
      </c>
      <c r="C194" s="31" t="s">
        <v>82</v>
      </c>
      <c r="D194" s="31">
        <v>32.0</v>
      </c>
      <c r="E194" s="30"/>
      <c r="F194" s="30"/>
      <c r="G194" s="32" t="s">
        <v>61</v>
      </c>
      <c r="H194" s="32" t="s">
        <v>470</v>
      </c>
      <c r="I194" s="31" t="s">
        <v>635</v>
      </c>
      <c r="J194" s="31" t="str">
        <f>IFERROR(__xludf.DUMMYFUNCTION("IF(ISBLANK(I194), """", GOOGLETRANSLATE(I194, ""es"", ""en""))"),"Project status")</f>
        <v>Project status</v>
      </c>
      <c r="K194" s="42"/>
    </row>
    <row r="195" ht="15.75" customHeight="1">
      <c r="A195" s="8"/>
      <c r="B195" s="30" t="s">
        <v>55</v>
      </c>
      <c r="C195" s="31" t="s">
        <v>60</v>
      </c>
      <c r="D195" s="31">
        <v>4.0</v>
      </c>
      <c r="E195" s="30">
        <v>10.0</v>
      </c>
      <c r="F195" s="30">
        <v>0.0</v>
      </c>
      <c r="G195" s="32" t="s">
        <v>100</v>
      </c>
      <c r="H195" s="32">
        <v>0.0</v>
      </c>
      <c r="I195" s="31"/>
      <c r="J195" s="31" t="str">
        <f>IFERROR(__xludf.DUMMYFUNCTION("IF(ISBLANK(I195), """", GOOGLETRANSLATE(I195, ""es"", ""en""))"),"")</f>
        <v/>
      </c>
      <c r="K195" s="42"/>
    </row>
    <row r="196" ht="15.75" customHeight="1">
      <c r="A196" s="8"/>
      <c r="B196" s="30" t="s">
        <v>56</v>
      </c>
      <c r="C196" s="31" t="s">
        <v>60</v>
      </c>
      <c r="D196" s="31">
        <v>4.0</v>
      </c>
      <c r="E196" s="30">
        <v>10.0</v>
      </c>
      <c r="F196" s="30">
        <v>0.0</v>
      </c>
      <c r="G196" s="32" t="s">
        <v>61</v>
      </c>
      <c r="H196" s="32">
        <v>1.0</v>
      </c>
      <c r="I196" s="31" t="s">
        <v>101</v>
      </c>
      <c r="J196" s="31" t="str">
        <f>IFERROR(__xludf.DUMMYFUNCTION("IF(ISBLANK(I196), """", GOOGLETRANSLATE(I196, ""es"", ""en""))"),"User who inserted the record, Fields used by the institution for internal use")</f>
        <v>User who inserted the record, Fields used by the institution for internal use</v>
      </c>
      <c r="K196" s="42"/>
    </row>
    <row r="197" ht="15.75" customHeight="1">
      <c r="A197" s="8"/>
      <c r="B197" s="30" t="s">
        <v>57</v>
      </c>
      <c r="C197" s="31" t="s">
        <v>636</v>
      </c>
      <c r="D197" s="31">
        <v>7.0</v>
      </c>
      <c r="E197" s="30">
        <v>23.0</v>
      </c>
      <c r="F197" s="30">
        <v>3.0</v>
      </c>
      <c r="G197" s="32" t="s">
        <v>61</v>
      </c>
      <c r="H197" s="32" t="s">
        <v>426</v>
      </c>
      <c r="I197" s="31" t="s">
        <v>103</v>
      </c>
      <c r="J197" s="31" t="str">
        <f>IFERROR(__xludf.DUMMYFUNCTION("IF(ISBLANK(I197), """", GOOGLETRANSLATE(I197, ""es"", ""en""))"),"Insertion date, Fields used by the institution for internal use")</f>
        <v>Insertion date, Fields used by the institution for internal use</v>
      </c>
      <c r="K197" s="42"/>
    </row>
    <row r="198" ht="15.75" customHeight="1">
      <c r="A198" s="8"/>
      <c r="B198" s="30" t="s">
        <v>58</v>
      </c>
      <c r="C198" s="31" t="s">
        <v>60</v>
      </c>
      <c r="D198" s="31">
        <v>4.0</v>
      </c>
      <c r="E198" s="30">
        <v>10.0</v>
      </c>
      <c r="F198" s="30">
        <v>0.0</v>
      </c>
      <c r="G198" s="32" t="s">
        <v>100</v>
      </c>
      <c r="H198" s="32">
        <v>282.0</v>
      </c>
      <c r="I198" s="31" t="s">
        <v>104</v>
      </c>
      <c r="J198" s="31" t="str">
        <f>IFERROR(__xludf.DUMMYFUNCTION("IF(ISBLANK(I198), """", GOOGLETRANSLATE(I198, ""es"", ""en""))"),"Update User Callsign")</f>
        <v>Update User Callsign</v>
      </c>
      <c r="K198" s="42"/>
    </row>
    <row r="199" ht="15.75" customHeight="1">
      <c r="A199" s="8"/>
      <c r="B199" s="30" t="s">
        <v>59</v>
      </c>
      <c r="C199" s="31" t="s">
        <v>636</v>
      </c>
      <c r="D199" s="31">
        <v>7.0</v>
      </c>
      <c r="E199" s="30">
        <v>23.0</v>
      </c>
      <c r="F199" s="30">
        <v>3.0</v>
      </c>
      <c r="G199" s="32" t="s">
        <v>100</v>
      </c>
      <c r="H199" s="32" t="s">
        <v>471</v>
      </c>
      <c r="I199" s="31" t="s">
        <v>105</v>
      </c>
      <c r="J199" s="31" t="str">
        <f>IFERROR(__xludf.DUMMYFUNCTION("IF(ISBLANK(I199), """", GOOGLETRANSLATE(I199, ""es"", ""en""))"),"Update date")</f>
        <v>Update date</v>
      </c>
      <c r="K199" s="42"/>
    </row>
    <row r="200" ht="15.75" customHeight="1">
      <c r="A200" s="8"/>
      <c r="B200" s="30" t="s">
        <v>395</v>
      </c>
      <c r="C200" s="31" t="s">
        <v>82</v>
      </c>
      <c r="D200" s="31">
        <v>250.0</v>
      </c>
      <c r="E200" s="30"/>
      <c r="F200" s="30"/>
      <c r="G200" s="32" t="s">
        <v>100</v>
      </c>
      <c r="H200" s="32" t="s">
        <v>472</v>
      </c>
      <c r="I200" s="31" t="s">
        <v>637</v>
      </c>
      <c r="J200" s="31" t="str">
        <f>IFERROR(__xludf.DUMMYFUNCTION("IF(ISBLANK(I200), """", GOOGLETRANSLATE(I200, ""es"", ""en""))"),"Function to which the project belongs, the similar on other platforms is the equivalent of the project sector)")</f>
        <v>Function to which the project belongs, the similar on other platforms is the equivalent of the project sector)</v>
      </c>
      <c r="K200" s="42"/>
    </row>
    <row r="201" ht="15.75" customHeight="1">
      <c r="A201" s="8"/>
      <c r="B201" s="30" t="s">
        <v>396</v>
      </c>
      <c r="C201" s="31" t="s">
        <v>82</v>
      </c>
      <c r="D201" s="31">
        <v>17.0</v>
      </c>
      <c r="E201" s="30"/>
      <c r="F201" s="30"/>
      <c r="G201" s="32" t="s">
        <v>61</v>
      </c>
      <c r="H201" s="53">
        <v>36952.0</v>
      </c>
      <c r="I201" s="31" t="s">
        <v>638</v>
      </c>
      <c r="J201" s="31" t="str">
        <f>IFERROR(__xludf.DUMMYFUNCTION("IF(ISBLANK(I201), """", GOOGLETRANSLATE(I201, ""es"", ""en""))"),"Project subsection code")</f>
        <v>Project subsection code</v>
      </c>
      <c r="K201" s="42"/>
    </row>
    <row r="202" ht="15.75" customHeight="1">
      <c r="A202" s="8"/>
      <c r="B202" s="30" t="s">
        <v>397</v>
      </c>
      <c r="C202" s="31" t="s">
        <v>82</v>
      </c>
      <c r="D202" s="31">
        <v>120.0</v>
      </c>
      <c r="E202" s="30"/>
      <c r="F202" s="30"/>
      <c r="G202" s="32" t="s">
        <v>61</v>
      </c>
      <c r="H202" s="32" t="s">
        <v>473</v>
      </c>
      <c r="I202" s="31" t="s">
        <v>639</v>
      </c>
      <c r="J202" s="31" t="str">
        <f>IFERROR(__xludf.DUMMYFUNCTION("IF(ISBLANK(I202), """", GOOGLETRANSLATE(I202, ""es"", ""en""))"),"Project function in text")</f>
        <v>Project function in text</v>
      </c>
      <c r="K202" s="42"/>
    </row>
    <row r="203" ht="15.75" customHeight="1">
      <c r="A203" s="8"/>
      <c r="B203" s="30" t="s">
        <v>398</v>
      </c>
      <c r="C203" s="31" t="s">
        <v>60</v>
      </c>
      <c r="D203" s="31">
        <v>4.0</v>
      </c>
      <c r="E203" s="30">
        <v>10.0</v>
      </c>
      <c r="F203" s="30">
        <v>0.0</v>
      </c>
      <c r="G203" s="32" t="s">
        <v>100</v>
      </c>
      <c r="H203" s="32">
        <v>2010.0</v>
      </c>
      <c r="I203" s="31" t="s">
        <v>640</v>
      </c>
      <c r="J203" s="31" t="str">
        <f>IFERROR(__xludf.DUMMYFUNCTION("IF(ISBLANK(I203), """", GOOGLETRANSLATE(I203, ""es"", ""en""))"),"Project start date")</f>
        <v>Project start date</v>
      </c>
      <c r="K203" s="42"/>
    </row>
    <row r="204" ht="15.75" customHeight="1">
      <c r="A204" s="8"/>
      <c r="B204" s="30" t="s">
        <v>399</v>
      </c>
      <c r="C204" s="31" t="s">
        <v>60</v>
      </c>
      <c r="D204" s="31">
        <v>4.0</v>
      </c>
      <c r="E204" s="30">
        <v>10.0</v>
      </c>
      <c r="F204" s="30">
        <v>0.0</v>
      </c>
      <c r="G204" s="32" t="s">
        <v>100</v>
      </c>
      <c r="H204" s="32">
        <v>2024.0</v>
      </c>
      <c r="I204" s="31" t="s">
        <v>641</v>
      </c>
      <c r="J204" s="31" t="str">
        <f>IFERROR(__xludf.DUMMYFUNCTION("IF(ISBLANK(I204), """", GOOGLETRANSLATE(I204, ""es"", ""en""))"),"Project End Date")</f>
        <v>Project End Date</v>
      </c>
      <c r="K204" s="42"/>
    </row>
    <row r="205" ht="15.75" customHeight="1">
      <c r="A205" s="8"/>
      <c r="B205" s="30" t="s">
        <v>259</v>
      </c>
      <c r="C205" s="31" t="s">
        <v>60</v>
      </c>
      <c r="D205" s="31">
        <v>4.0</v>
      </c>
      <c r="E205" s="30">
        <v>10.0</v>
      </c>
      <c r="F205" s="30">
        <v>0.0</v>
      </c>
      <c r="G205" s="32" t="s">
        <v>100</v>
      </c>
      <c r="H205" s="32">
        <v>2024.0</v>
      </c>
      <c r="I205" s="31" t="s">
        <v>642</v>
      </c>
      <c r="J205" s="31" t="str">
        <f>IFERROR(__xludf.DUMMYFUNCTION("IF(ISBLANK(I205), """", GOOGLETRANSLATE(I205, ""es"", ""en""))"),"Schedule Date")</f>
        <v>Schedule Date</v>
      </c>
      <c r="K205" s="42"/>
    </row>
    <row r="206" ht="15.75" customHeight="1">
      <c r="A206" s="8"/>
      <c r="B206" s="30" t="s">
        <v>400</v>
      </c>
      <c r="C206" s="31" t="s">
        <v>82</v>
      </c>
      <c r="D206" s="31">
        <v>2048.0</v>
      </c>
      <c r="E206" s="30"/>
      <c r="F206" s="30"/>
      <c r="G206" s="32" t="s">
        <v>61</v>
      </c>
      <c r="H206" s="32" t="s">
        <v>474</v>
      </c>
      <c r="I206" s="31" t="s">
        <v>643</v>
      </c>
      <c r="J206" s="31" t="str">
        <f>IFERROR(__xludf.DUMMYFUNCTION("IF(ISBLANK(I206), """", GOOGLETRANSLATE(I206, ""es"", ""en""))"),"Description of the Final Project")</f>
        <v>Description of the Final Project</v>
      </c>
      <c r="K206" s="42"/>
    </row>
    <row r="207" ht="15.75" customHeight="1">
      <c r="A207" s="8"/>
      <c r="B207" s="30" t="s">
        <v>401</v>
      </c>
      <c r="C207" s="31" t="s">
        <v>60</v>
      </c>
      <c r="D207" s="31">
        <v>4.0</v>
      </c>
      <c r="E207" s="30">
        <v>10.0</v>
      </c>
      <c r="F207" s="30">
        <v>0.0</v>
      </c>
      <c r="G207" s="32" t="s">
        <v>100</v>
      </c>
      <c r="H207" s="32">
        <v>0.0</v>
      </c>
      <c r="I207" s="31" t="s">
        <v>644</v>
      </c>
      <c r="J207" s="31" t="str">
        <f>IFERROR(__xludf.DUMMYFUNCTION("IF(ISBLANK(I207), """", GOOGLETRANSLATE(I207, ""es"", ""en""))"),"Indentify if it is a project idea")</f>
        <v>Indentify if it is a project idea</v>
      </c>
      <c r="K207" s="42"/>
    </row>
    <row r="208" ht="15.75" customHeight="1">
      <c r="A208" s="8"/>
      <c r="B208" s="30" t="s">
        <v>402</v>
      </c>
      <c r="C208" s="31" t="s">
        <v>82</v>
      </c>
      <c r="D208" s="31">
        <v>104.0</v>
      </c>
      <c r="E208" s="30"/>
      <c r="F208" s="30"/>
      <c r="G208" s="32" t="s">
        <v>100</v>
      </c>
      <c r="H208" s="32" t="s">
        <v>475</v>
      </c>
      <c r="I208" s="31" t="s">
        <v>645</v>
      </c>
      <c r="J208" s="31" t="str">
        <f>IFERROR(__xludf.DUMMYFUNCTION("IF(ISBLANK(I208), """", GOOGLETRANSLATE(I208, ""es"", ""en""))"),"Section to which the project belongs ")</f>
        <v>Section to which the project belongs </v>
      </c>
      <c r="K208" s="42"/>
    </row>
    <row r="209" ht="15.75" customHeight="1">
      <c r="C209" s="4"/>
      <c r="D209" s="4"/>
      <c r="H209" s="3"/>
      <c r="I209" s="4"/>
    </row>
    <row r="210" ht="15.75" customHeight="1">
      <c r="C210" s="4"/>
      <c r="D210" s="4"/>
      <c r="H210" s="3"/>
      <c r="I210" s="4"/>
    </row>
    <row r="211" ht="15.75" customHeight="1">
      <c r="C211" s="4"/>
      <c r="D211" s="4"/>
      <c r="H211" s="3"/>
      <c r="I211" s="4"/>
    </row>
    <row r="212" ht="15.75" customHeight="1">
      <c r="C212" s="4"/>
      <c r="D212" s="4"/>
      <c r="H212" s="3"/>
      <c r="I212" s="4"/>
    </row>
    <row r="213" ht="15.75" customHeight="1">
      <c r="A213" s="17"/>
      <c r="B213" s="38" t="s">
        <v>646</v>
      </c>
      <c r="C213" s="20"/>
      <c r="D213" s="20"/>
      <c r="E213" s="20"/>
      <c r="F213" s="20"/>
      <c r="G213" s="20"/>
      <c r="H213" s="20"/>
      <c r="I213" s="20"/>
      <c r="J213" s="22"/>
    </row>
    <row r="214" ht="33.75" customHeight="1">
      <c r="A214" s="34"/>
      <c r="B214" s="35" t="s">
        <v>647</v>
      </c>
      <c r="C214" s="20"/>
      <c r="D214" s="20"/>
      <c r="E214" s="20"/>
      <c r="F214" s="20"/>
      <c r="G214" s="20"/>
      <c r="H214" s="35" t="str">
        <f>IFERROR(__xludf.DUMMYFUNCTION("IF(ISBLANK(B214), """", GOOGLETRANSLATE(B214, ""es"", ""en""))"),"Budget associated with investment projects by period/year")</f>
        <v>Budget associated with investment projects by period/year</v>
      </c>
      <c r="I214" s="20"/>
      <c r="J214" s="22"/>
      <c r="K214" s="23"/>
      <c r="L214" s="23"/>
      <c r="M214" s="24" t="s">
        <v>33</v>
      </c>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39"/>
      <c r="BH214" s="23"/>
      <c r="BI214" s="39"/>
      <c r="BJ214" s="23"/>
      <c r="BK214" s="23"/>
      <c r="BL214" s="23"/>
      <c r="BM214" s="23"/>
      <c r="BN214" s="23"/>
      <c r="BO214" s="23"/>
      <c r="BP214" s="23"/>
      <c r="BQ214" s="23"/>
      <c r="BR214" s="23"/>
      <c r="BS214" s="23"/>
      <c r="BT214" s="23"/>
      <c r="BU214" s="23"/>
      <c r="BV214" s="23"/>
      <c r="BW214" s="23"/>
      <c r="BX214" s="23"/>
      <c r="BY214" s="23"/>
      <c r="BZ214" s="23"/>
      <c r="CA214" s="23"/>
      <c r="CB214" s="23"/>
    </row>
    <row r="215" ht="15.75" customHeight="1">
      <c r="A215" s="25"/>
      <c r="B215" s="26" t="s">
        <v>34</v>
      </c>
      <c r="C215" s="27" t="s">
        <v>35</v>
      </c>
      <c r="D215" s="27" t="s">
        <v>36</v>
      </c>
      <c r="E215" s="26" t="s">
        <v>37</v>
      </c>
      <c r="F215" s="26" t="s">
        <v>38</v>
      </c>
      <c r="G215" s="26" t="s">
        <v>39</v>
      </c>
      <c r="H215" s="28" t="s">
        <v>40</v>
      </c>
      <c r="I215" s="28" t="s">
        <v>41</v>
      </c>
      <c r="J215" s="28" t="s">
        <v>42</v>
      </c>
      <c r="K215" s="40" t="s">
        <v>648</v>
      </c>
      <c r="M215" s="6" t="s">
        <v>649</v>
      </c>
      <c r="N215" s="6" t="s">
        <v>650</v>
      </c>
      <c r="O215" s="6" t="s">
        <v>108</v>
      </c>
      <c r="P215" s="6" t="s">
        <v>651</v>
      </c>
      <c r="Q215" s="6" t="s">
        <v>652</v>
      </c>
      <c r="R215" s="6" t="s">
        <v>158</v>
      </c>
      <c r="S215" s="6" t="s">
        <v>248</v>
      </c>
      <c r="T215" s="6" t="s">
        <v>346</v>
      </c>
      <c r="U215" s="6" t="s">
        <v>186</v>
      </c>
      <c r="V215" s="6" t="s">
        <v>160</v>
      </c>
      <c r="W215" s="6" t="s">
        <v>161</v>
      </c>
      <c r="X215" s="6" t="s">
        <v>653</v>
      </c>
      <c r="Y215" s="6" t="s">
        <v>654</v>
      </c>
      <c r="Z215" s="6" t="s">
        <v>655</v>
      </c>
      <c r="AA215" s="6" t="s">
        <v>656</v>
      </c>
      <c r="AB215" s="6" t="s">
        <v>657</v>
      </c>
      <c r="AC215" s="6" t="s">
        <v>658</v>
      </c>
      <c r="AD215" s="6" t="s">
        <v>659</v>
      </c>
      <c r="AE215" s="6" t="s">
        <v>660</v>
      </c>
      <c r="AF215" s="6" t="s">
        <v>661</v>
      </c>
      <c r="AG215" s="6" t="s">
        <v>662</v>
      </c>
      <c r="AH215" s="6" t="s">
        <v>663</v>
      </c>
      <c r="AI215" s="6" t="s">
        <v>664</v>
      </c>
      <c r="AJ215" s="6" t="s">
        <v>665</v>
      </c>
      <c r="AK215" s="6" t="s">
        <v>666</v>
      </c>
      <c r="AL215" s="6" t="s">
        <v>667</v>
      </c>
      <c r="AM215" s="6" t="s">
        <v>668</v>
      </c>
      <c r="AN215" s="6" t="s">
        <v>669</v>
      </c>
      <c r="AO215" s="6" t="s">
        <v>670</v>
      </c>
      <c r="AP215" s="6" t="s">
        <v>671</v>
      </c>
      <c r="AQ215" s="6" t="s">
        <v>672</v>
      </c>
      <c r="AR215" s="6" t="s">
        <v>673</v>
      </c>
      <c r="AS215" s="6" t="s">
        <v>674</v>
      </c>
      <c r="AT215" s="6" t="s">
        <v>675</v>
      </c>
      <c r="AU215" s="6" t="s">
        <v>676</v>
      </c>
      <c r="AV215" s="6" t="s">
        <v>677</v>
      </c>
      <c r="AW215" s="6" t="s">
        <v>678</v>
      </c>
      <c r="AX215" s="6" t="s">
        <v>679</v>
      </c>
      <c r="AY215" s="6" t="s">
        <v>680</v>
      </c>
      <c r="AZ215" s="6" t="s">
        <v>681</v>
      </c>
      <c r="BA215" s="6" t="s">
        <v>682</v>
      </c>
      <c r="BB215" s="6" t="s">
        <v>683</v>
      </c>
      <c r="BC215" s="6" t="s">
        <v>684</v>
      </c>
      <c r="BD215" s="6" t="s">
        <v>393</v>
      </c>
      <c r="BE215" s="6" t="s">
        <v>394</v>
      </c>
      <c r="BF215" s="6" t="s">
        <v>685</v>
      </c>
      <c r="BG215" s="6" t="s">
        <v>54</v>
      </c>
      <c r="BH215" s="6" t="s">
        <v>55</v>
      </c>
      <c r="BI215" s="6" t="s">
        <v>56</v>
      </c>
      <c r="BJ215" s="6" t="s">
        <v>57</v>
      </c>
      <c r="BK215" s="6" t="s">
        <v>58</v>
      </c>
      <c r="BL215" s="6" t="s">
        <v>59</v>
      </c>
    </row>
    <row r="216" ht="15.75" customHeight="1">
      <c r="A216" s="8"/>
      <c r="B216" s="30" t="s">
        <v>649</v>
      </c>
      <c r="C216" s="31" t="s">
        <v>60</v>
      </c>
      <c r="D216" s="31">
        <v>4.0</v>
      </c>
      <c r="E216" s="30">
        <v>10.0</v>
      </c>
      <c r="F216" s="30">
        <v>0.0</v>
      </c>
      <c r="G216" s="32" t="s">
        <v>61</v>
      </c>
      <c r="H216" s="32">
        <v>13391.0</v>
      </c>
      <c r="I216" s="31" t="s">
        <v>686</v>
      </c>
      <c r="J216" s="31" t="str">
        <f>IFERROR(__xludf.DUMMYFUNCTION("IF(ISBLANK(I216), """", GOOGLETRANSLATE(I216, ""es"", ""en""))"),"Budget identifier")</f>
        <v>Budget identifier</v>
      </c>
      <c r="K216" s="47" t="s">
        <v>687</v>
      </c>
      <c r="M216" s="30">
        <v>13389.0</v>
      </c>
      <c r="N216" s="30">
        <v>2017.0</v>
      </c>
      <c r="O216" s="30">
        <v>26.0</v>
      </c>
      <c r="P216" s="30" t="s">
        <v>134</v>
      </c>
      <c r="Q216" s="30" t="s">
        <v>135</v>
      </c>
      <c r="R216" s="30">
        <v>24.0</v>
      </c>
      <c r="S216" s="30" t="s">
        <v>512</v>
      </c>
      <c r="T216" s="30">
        <v>11352.0</v>
      </c>
      <c r="U216" s="30">
        <v>17.0</v>
      </c>
      <c r="V216" s="30">
        <v>35.0</v>
      </c>
      <c r="W216" s="30" t="s">
        <v>688</v>
      </c>
      <c r="X216" s="30">
        <v>6.0</v>
      </c>
      <c r="Y216" s="30" t="s">
        <v>689</v>
      </c>
      <c r="Z216" s="30">
        <v>60.0</v>
      </c>
      <c r="AA216" s="30">
        <v>272.0</v>
      </c>
      <c r="AB216" s="30" t="s">
        <v>690</v>
      </c>
      <c r="AC216" s="30">
        <v>800.0</v>
      </c>
      <c r="AD216" s="30">
        <v>110.0</v>
      </c>
      <c r="AE216" s="30" t="s">
        <v>691</v>
      </c>
      <c r="AF216" s="30">
        <v>599.0</v>
      </c>
      <c r="AG216" s="30">
        <v>163.0</v>
      </c>
      <c r="AH216" s="30" t="s">
        <v>692</v>
      </c>
      <c r="AI216" s="30" t="s">
        <v>693</v>
      </c>
      <c r="AJ216" s="30" t="s">
        <v>694</v>
      </c>
      <c r="AK216" s="30" t="s">
        <v>695</v>
      </c>
      <c r="AL216" s="30" t="s">
        <v>694</v>
      </c>
      <c r="AM216" s="30" t="s">
        <v>695</v>
      </c>
      <c r="AN216" s="30" t="s">
        <v>194</v>
      </c>
      <c r="AO216" s="30" t="s">
        <v>195</v>
      </c>
      <c r="AP216" s="30" t="s">
        <v>194</v>
      </c>
      <c r="AQ216" s="30" t="s">
        <v>195</v>
      </c>
      <c r="AR216" s="30" t="s">
        <v>694</v>
      </c>
      <c r="AS216" s="30" t="s">
        <v>695</v>
      </c>
      <c r="AT216" s="30" t="s">
        <v>194</v>
      </c>
      <c r="AU216" s="30" t="s">
        <v>195</v>
      </c>
      <c r="AV216" s="30" t="s">
        <v>194</v>
      </c>
      <c r="AW216" s="30" t="s">
        <v>195</v>
      </c>
      <c r="AX216" s="30" t="s">
        <v>194</v>
      </c>
      <c r="AY216" s="30" t="s">
        <v>195</v>
      </c>
      <c r="AZ216" s="30" t="s">
        <v>194</v>
      </c>
      <c r="BA216" s="30" t="s">
        <v>195</v>
      </c>
      <c r="BB216" s="30" t="s">
        <v>194</v>
      </c>
      <c r="BC216" s="30" t="s">
        <v>195</v>
      </c>
      <c r="BD216" s="30" t="s">
        <v>696</v>
      </c>
      <c r="BE216" s="30" t="s">
        <v>697</v>
      </c>
      <c r="BF216" s="30">
        <v>22501.0</v>
      </c>
      <c r="BG216" s="30" t="s">
        <v>68</v>
      </c>
      <c r="BH216" s="30">
        <v>0.0</v>
      </c>
      <c r="BI216" s="30">
        <v>100.0</v>
      </c>
      <c r="BJ216" s="33">
        <v>42699.55486111111</v>
      </c>
      <c r="BK216" s="30">
        <v>100.0</v>
      </c>
      <c r="BL216" s="33">
        <v>43060.36388888889</v>
      </c>
    </row>
    <row r="217" ht="15.75" customHeight="1">
      <c r="A217" s="8"/>
      <c r="B217" s="30" t="s">
        <v>650</v>
      </c>
      <c r="C217" s="31" t="s">
        <v>60</v>
      </c>
      <c r="D217" s="31">
        <v>4.0</v>
      </c>
      <c r="E217" s="30">
        <v>10.0</v>
      </c>
      <c r="F217" s="30">
        <v>0.0</v>
      </c>
      <c r="G217" s="32" t="s">
        <v>61</v>
      </c>
      <c r="H217" s="32">
        <v>2017.0</v>
      </c>
      <c r="I217" s="31" t="s">
        <v>698</v>
      </c>
      <c r="J217" s="31" t="str">
        <f>IFERROR(__xludf.DUMMYFUNCTION("IF(ISBLANK(I217), """", GOOGLETRANSLATE(I217, ""es"", ""en""))"),"Budget line period")</f>
        <v>Budget line period</v>
      </c>
      <c r="M217" s="30">
        <v>13390.0</v>
      </c>
      <c r="N217" s="30">
        <v>2017.0</v>
      </c>
      <c r="O217" s="30">
        <v>26.0</v>
      </c>
      <c r="P217" s="30" t="s">
        <v>134</v>
      </c>
      <c r="Q217" s="30" t="s">
        <v>135</v>
      </c>
      <c r="R217" s="30">
        <v>24.0</v>
      </c>
      <c r="S217" s="30" t="s">
        <v>512</v>
      </c>
      <c r="T217" s="30">
        <v>11352.0</v>
      </c>
      <c r="U217" s="30">
        <v>17.0</v>
      </c>
      <c r="V217" s="30">
        <v>35.0</v>
      </c>
      <c r="W217" s="30" t="s">
        <v>688</v>
      </c>
      <c r="X217" s="30">
        <v>6.0</v>
      </c>
      <c r="Y217" s="30" t="s">
        <v>689</v>
      </c>
      <c r="Z217" s="30">
        <v>60.0</v>
      </c>
      <c r="AA217" s="30">
        <v>272.0</v>
      </c>
      <c r="AB217" s="30" t="s">
        <v>690</v>
      </c>
      <c r="AC217" s="30">
        <v>800.0</v>
      </c>
      <c r="AD217" s="30">
        <v>110.0</v>
      </c>
      <c r="AE217" s="30" t="s">
        <v>691</v>
      </c>
      <c r="AF217" s="30">
        <v>599.0</v>
      </c>
      <c r="AG217" s="30">
        <v>1558.0</v>
      </c>
      <c r="AH217" s="30" t="s">
        <v>699</v>
      </c>
      <c r="AI217" s="30" t="s">
        <v>700</v>
      </c>
      <c r="AJ217" s="30" t="s">
        <v>701</v>
      </c>
      <c r="AK217" s="30" t="s">
        <v>702</v>
      </c>
      <c r="AL217" s="30" t="s">
        <v>701</v>
      </c>
      <c r="AM217" s="30" t="s">
        <v>702</v>
      </c>
      <c r="AN217" s="30" t="s">
        <v>194</v>
      </c>
      <c r="AO217" s="30" t="s">
        <v>195</v>
      </c>
      <c r="AP217" s="30" t="s">
        <v>194</v>
      </c>
      <c r="AQ217" s="30" t="s">
        <v>195</v>
      </c>
      <c r="AR217" s="30" t="s">
        <v>701</v>
      </c>
      <c r="AS217" s="30" t="s">
        <v>702</v>
      </c>
      <c r="AT217" s="30" t="s">
        <v>194</v>
      </c>
      <c r="AU217" s="30" t="s">
        <v>195</v>
      </c>
      <c r="AV217" s="30" t="s">
        <v>194</v>
      </c>
      <c r="AW217" s="30" t="s">
        <v>195</v>
      </c>
      <c r="AX217" s="30" t="s">
        <v>194</v>
      </c>
      <c r="AY217" s="30" t="s">
        <v>195</v>
      </c>
      <c r="AZ217" s="30" t="s">
        <v>194</v>
      </c>
      <c r="BA217" s="30" t="s">
        <v>195</v>
      </c>
      <c r="BB217" s="30" t="s">
        <v>194</v>
      </c>
      <c r="BC217" s="30" t="s">
        <v>195</v>
      </c>
      <c r="BD217" s="30" t="s">
        <v>696</v>
      </c>
      <c r="BE217" s="30" t="s">
        <v>697</v>
      </c>
      <c r="BF217" s="30">
        <v>22502.0</v>
      </c>
      <c r="BG217" s="30" t="s">
        <v>68</v>
      </c>
      <c r="BH217" s="30">
        <v>0.0</v>
      </c>
      <c r="BI217" s="30">
        <v>100.0</v>
      </c>
      <c r="BJ217" s="33">
        <v>42699.55486111111</v>
      </c>
      <c r="BK217" s="30">
        <v>100.0</v>
      </c>
      <c r="BL217" s="33">
        <v>43060.36388888889</v>
      </c>
    </row>
    <row r="218" ht="15.75" customHeight="1">
      <c r="A218" s="8"/>
      <c r="B218" s="30" t="s">
        <v>108</v>
      </c>
      <c r="C218" s="31" t="s">
        <v>60</v>
      </c>
      <c r="D218" s="31">
        <v>4.0</v>
      </c>
      <c r="E218" s="30">
        <v>10.0</v>
      </c>
      <c r="F218" s="30">
        <v>0.0</v>
      </c>
      <c r="G218" s="32" t="s">
        <v>61</v>
      </c>
      <c r="H218" s="32">
        <v>26.0</v>
      </c>
      <c r="I218" s="31" t="s">
        <v>703</v>
      </c>
      <c r="J218" s="31" t="str">
        <f>IFERROR(__xludf.DUMMYFUNCTION("IF(ISBLANK(I218), """", GOOGLETRANSLATE(I218, ""es"", ""en""))"),"Institution identifier")</f>
        <v>Institution identifier</v>
      </c>
      <c r="M218" s="30">
        <v>13391.0</v>
      </c>
      <c r="N218" s="30">
        <v>2017.0</v>
      </c>
      <c r="O218" s="30">
        <v>26.0</v>
      </c>
      <c r="P218" s="30" t="s">
        <v>134</v>
      </c>
      <c r="Q218" s="30" t="s">
        <v>135</v>
      </c>
      <c r="R218" s="30">
        <v>24.0</v>
      </c>
      <c r="S218" s="30" t="s">
        <v>512</v>
      </c>
      <c r="T218" s="30">
        <v>11352.0</v>
      </c>
      <c r="U218" s="30">
        <v>17.0</v>
      </c>
      <c r="V218" s="30">
        <v>35.0</v>
      </c>
      <c r="W218" s="30" t="s">
        <v>688</v>
      </c>
      <c r="X218" s="30">
        <v>6.0</v>
      </c>
      <c r="Y218" s="30" t="s">
        <v>689</v>
      </c>
      <c r="Z218" s="30">
        <v>60.0</v>
      </c>
      <c r="AA218" s="30">
        <v>272.0</v>
      </c>
      <c r="AB218" s="30" t="s">
        <v>690</v>
      </c>
      <c r="AC218" s="30">
        <v>800.0</v>
      </c>
      <c r="AD218" s="30">
        <v>110.0</v>
      </c>
      <c r="AE218" s="30" t="s">
        <v>691</v>
      </c>
      <c r="AF218" s="30">
        <v>599.0</v>
      </c>
      <c r="AG218" s="30">
        <v>1510.0</v>
      </c>
      <c r="AH218" s="30" t="s">
        <v>704</v>
      </c>
      <c r="AI218" s="30" t="s">
        <v>705</v>
      </c>
      <c r="AJ218" s="30" t="s">
        <v>706</v>
      </c>
      <c r="AK218" s="30" t="s">
        <v>707</v>
      </c>
      <c r="AL218" s="30" t="s">
        <v>706</v>
      </c>
      <c r="AM218" s="30" t="s">
        <v>707</v>
      </c>
      <c r="AN218" s="30" t="s">
        <v>194</v>
      </c>
      <c r="AO218" s="30" t="s">
        <v>195</v>
      </c>
      <c r="AP218" s="30" t="s">
        <v>194</v>
      </c>
      <c r="AQ218" s="30" t="s">
        <v>195</v>
      </c>
      <c r="AR218" s="30" t="s">
        <v>706</v>
      </c>
      <c r="AS218" s="30" t="s">
        <v>707</v>
      </c>
      <c r="AT218" s="30" t="s">
        <v>194</v>
      </c>
      <c r="AU218" s="30" t="s">
        <v>195</v>
      </c>
      <c r="AV218" s="30" t="s">
        <v>194</v>
      </c>
      <c r="AW218" s="30" t="s">
        <v>195</v>
      </c>
      <c r="AX218" s="30" t="s">
        <v>194</v>
      </c>
      <c r="AY218" s="30" t="s">
        <v>195</v>
      </c>
      <c r="AZ218" s="30" t="s">
        <v>194</v>
      </c>
      <c r="BA218" s="30" t="s">
        <v>195</v>
      </c>
      <c r="BB218" s="30" t="s">
        <v>194</v>
      </c>
      <c r="BC218" s="30" t="s">
        <v>195</v>
      </c>
      <c r="BD218" s="30" t="s">
        <v>696</v>
      </c>
      <c r="BE218" s="30" t="s">
        <v>697</v>
      </c>
      <c r="BF218" s="30">
        <v>22503.0</v>
      </c>
      <c r="BG218" s="30" t="s">
        <v>68</v>
      </c>
      <c r="BH218" s="30">
        <v>0.0</v>
      </c>
      <c r="BI218" s="30">
        <v>100.0</v>
      </c>
      <c r="BJ218" s="33">
        <v>42699.55486111111</v>
      </c>
      <c r="BK218" s="30">
        <v>100.0</v>
      </c>
      <c r="BL218" s="33">
        <v>43060.36388888889</v>
      </c>
    </row>
    <row r="219" ht="15.75" customHeight="1">
      <c r="A219" s="8"/>
      <c r="B219" s="30" t="s">
        <v>651</v>
      </c>
      <c r="C219" s="31" t="s">
        <v>82</v>
      </c>
      <c r="D219" s="31">
        <v>120.0</v>
      </c>
      <c r="E219" s="30"/>
      <c r="F219" s="30"/>
      <c r="G219" s="32" t="s">
        <v>100</v>
      </c>
      <c r="H219" s="32" t="s">
        <v>134</v>
      </c>
      <c r="I219" s="31" t="s">
        <v>708</v>
      </c>
      <c r="J219" s="31" t="str">
        <f>IFERROR(__xludf.DUMMYFUNCTION("IF(ISBLANK(I219), """", GOOGLETRANSLATE(I219, ""es"", ""en""))"),"Description of the institution")</f>
        <v>Description of the institution</v>
      </c>
      <c r="M219" s="30">
        <v>13392.0</v>
      </c>
      <c r="N219" s="30">
        <v>2017.0</v>
      </c>
      <c r="O219" s="30">
        <v>26.0</v>
      </c>
      <c r="P219" s="30" t="s">
        <v>134</v>
      </c>
      <c r="Q219" s="30" t="s">
        <v>135</v>
      </c>
      <c r="R219" s="30">
        <v>24.0</v>
      </c>
      <c r="S219" s="30" t="s">
        <v>512</v>
      </c>
      <c r="T219" s="30">
        <v>11352.0</v>
      </c>
      <c r="U219" s="30">
        <v>17.0</v>
      </c>
      <c r="V219" s="30">
        <v>35.0</v>
      </c>
      <c r="W219" s="30" t="s">
        <v>688</v>
      </c>
      <c r="X219" s="30">
        <v>6.0</v>
      </c>
      <c r="Y219" s="30" t="s">
        <v>689</v>
      </c>
      <c r="Z219" s="30">
        <v>60.0</v>
      </c>
      <c r="AA219" s="30">
        <v>272.0</v>
      </c>
      <c r="AB219" s="30" t="s">
        <v>690</v>
      </c>
      <c r="AC219" s="30">
        <v>800.0</v>
      </c>
      <c r="AD219" s="30">
        <v>110.0</v>
      </c>
      <c r="AE219" s="30" t="s">
        <v>691</v>
      </c>
      <c r="AF219" s="30">
        <v>599.0</v>
      </c>
      <c r="AG219" s="30">
        <v>409.0</v>
      </c>
      <c r="AH219" s="30" t="s">
        <v>709</v>
      </c>
      <c r="AI219" s="30" t="s">
        <v>710</v>
      </c>
      <c r="AJ219" s="30" t="s">
        <v>711</v>
      </c>
      <c r="AK219" s="30" t="s">
        <v>712</v>
      </c>
      <c r="AL219" s="30" t="s">
        <v>711</v>
      </c>
      <c r="AM219" s="30" t="s">
        <v>712</v>
      </c>
      <c r="AN219" s="30" t="s">
        <v>194</v>
      </c>
      <c r="AO219" s="30" t="s">
        <v>195</v>
      </c>
      <c r="AP219" s="30" t="s">
        <v>194</v>
      </c>
      <c r="AQ219" s="30" t="s">
        <v>195</v>
      </c>
      <c r="AR219" s="30" t="s">
        <v>711</v>
      </c>
      <c r="AS219" s="30" t="s">
        <v>712</v>
      </c>
      <c r="AT219" s="30" t="s">
        <v>194</v>
      </c>
      <c r="AU219" s="30" t="s">
        <v>195</v>
      </c>
      <c r="AV219" s="30" t="s">
        <v>194</v>
      </c>
      <c r="AW219" s="30" t="s">
        <v>195</v>
      </c>
      <c r="AX219" s="30" t="s">
        <v>194</v>
      </c>
      <c r="AY219" s="30" t="s">
        <v>195</v>
      </c>
      <c r="AZ219" s="30" t="s">
        <v>194</v>
      </c>
      <c r="BA219" s="30" t="s">
        <v>195</v>
      </c>
      <c r="BB219" s="30" t="s">
        <v>194</v>
      </c>
      <c r="BC219" s="30" t="s">
        <v>195</v>
      </c>
      <c r="BD219" s="30" t="s">
        <v>696</v>
      </c>
      <c r="BE219" s="30" t="s">
        <v>697</v>
      </c>
      <c r="BF219" s="30">
        <v>22504.0</v>
      </c>
      <c r="BG219" s="30" t="s">
        <v>68</v>
      </c>
      <c r="BH219" s="30">
        <v>0.0</v>
      </c>
      <c r="BI219" s="30">
        <v>100.0</v>
      </c>
      <c r="BJ219" s="33">
        <v>42699.55486111111</v>
      </c>
      <c r="BK219" s="30">
        <v>100.0</v>
      </c>
      <c r="BL219" s="33">
        <v>43060.36388888889</v>
      </c>
    </row>
    <row r="220" ht="15.75" customHeight="1">
      <c r="A220" s="8"/>
      <c r="B220" s="30" t="s">
        <v>652</v>
      </c>
      <c r="C220" s="31" t="s">
        <v>82</v>
      </c>
      <c r="D220" s="31">
        <v>30.0</v>
      </c>
      <c r="E220" s="30"/>
      <c r="F220" s="30"/>
      <c r="G220" s="32" t="s">
        <v>100</v>
      </c>
      <c r="H220" s="32" t="s">
        <v>135</v>
      </c>
      <c r="I220" s="31" t="s">
        <v>713</v>
      </c>
      <c r="J220" s="31" t="str">
        <f>IFERROR(__xludf.DUMMYFUNCTION("IF(ISBLANK(I220), """", GOOGLETRANSLATE(I220, ""es"", ""en""))"),"Acronyms of the institution")</f>
        <v>Acronyms of the institution</v>
      </c>
      <c r="M220" s="30">
        <v>13393.0</v>
      </c>
      <c r="N220" s="30">
        <v>2017.0</v>
      </c>
      <c r="O220" s="30">
        <v>26.0</v>
      </c>
      <c r="P220" s="30" t="s">
        <v>134</v>
      </c>
      <c r="Q220" s="30" t="s">
        <v>135</v>
      </c>
      <c r="R220" s="30">
        <v>24.0</v>
      </c>
      <c r="S220" s="30" t="s">
        <v>512</v>
      </c>
      <c r="T220" s="30">
        <v>11352.0</v>
      </c>
      <c r="U220" s="30">
        <v>17.0</v>
      </c>
      <c r="V220" s="30">
        <v>35.0</v>
      </c>
      <c r="W220" s="30" t="s">
        <v>688</v>
      </c>
      <c r="X220" s="30">
        <v>6.0</v>
      </c>
      <c r="Y220" s="30" t="s">
        <v>689</v>
      </c>
      <c r="Z220" s="30">
        <v>60.0</v>
      </c>
      <c r="AA220" s="30">
        <v>272.0</v>
      </c>
      <c r="AB220" s="30" t="s">
        <v>690</v>
      </c>
      <c r="AC220" s="30">
        <v>800.0</v>
      </c>
      <c r="AD220" s="30">
        <v>110.0</v>
      </c>
      <c r="AE220" s="30" t="s">
        <v>691</v>
      </c>
      <c r="AF220" s="30">
        <v>599.0</v>
      </c>
      <c r="AG220" s="30">
        <v>1408.0</v>
      </c>
      <c r="AH220" s="30" t="s">
        <v>714</v>
      </c>
      <c r="AI220" s="30" t="s">
        <v>715</v>
      </c>
      <c r="AJ220" s="30" t="s">
        <v>701</v>
      </c>
      <c r="AK220" s="30" t="s">
        <v>702</v>
      </c>
      <c r="AL220" s="30" t="s">
        <v>701</v>
      </c>
      <c r="AM220" s="30" t="s">
        <v>702</v>
      </c>
      <c r="AN220" s="30" t="s">
        <v>194</v>
      </c>
      <c r="AO220" s="30" t="s">
        <v>195</v>
      </c>
      <c r="AP220" s="30" t="s">
        <v>194</v>
      </c>
      <c r="AQ220" s="30" t="s">
        <v>195</v>
      </c>
      <c r="AR220" s="30" t="s">
        <v>701</v>
      </c>
      <c r="AS220" s="30" t="s">
        <v>702</v>
      </c>
      <c r="AT220" s="30" t="s">
        <v>194</v>
      </c>
      <c r="AU220" s="30" t="s">
        <v>195</v>
      </c>
      <c r="AV220" s="30" t="s">
        <v>194</v>
      </c>
      <c r="AW220" s="30" t="s">
        <v>195</v>
      </c>
      <c r="AX220" s="30" t="s">
        <v>194</v>
      </c>
      <c r="AY220" s="30" t="s">
        <v>195</v>
      </c>
      <c r="AZ220" s="30" t="s">
        <v>194</v>
      </c>
      <c r="BA220" s="30" t="s">
        <v>195</v>
      </c>
      <c r="BB220" s="30" t="s">
        <v>194</v>
      </c>
      <c r="BC220" s="30" t="s">
        <v>195</v>
      </c>
      <c r="BD220" s="30" t="s">
        <v>696</v>
      </c>
      <c r="BE220" s="30" t="s">
        <v>697</v>
      </c>
      <c r="BF220" s="30">
        <v>22505.0</v>
      </c>
      <c r="BG220" s="30" t="s">
        <v>68</v>
      </c>
      <c r="BH220" s="30">
        <v>0.0</v>
      </c>
      <c r="BI220" s="30">
        <v>100.0</v>
      </c>
      <c r="BJ220" s="33">
        <v>42699.55486111111</v>
      </c>
      <c r="BK220" s="30">
        <v>100.0</v>
      </c>
      <c r="BL220" s="33">
        <v>43060.36388888889</v>
      </c>
    </row>
    <row r="221" ht="15.75" customHeight="1">
      <c r="A221" s="8"/>
      <c r="B221" s="30" t="s">
        <v>158</v>
      </c>
      <c r="C221" s="31" t="s">
        <v>60</v>
      </c>
      <c r="D221" s="31">
        <v>4.0</v>
      </c>
      <c r="E221" s="30">
        <v>10.0</v>
      </c>
      <c r="F221" s="30">
        <v>0.0</v>
      </c>
      <c r="G221" s="32" t="s">
        <v>61</v>
      </c>
      <c r="H221" s="32">
        <v>24.0</v>
      </c>
      <c r="I221" s="31" t="s">
        <v>196</v>
      </c>
      <c r="J221" s="31" t="str">
        <f>IFERROR(__xludf.DUMMYFUNCTION("IF(ISBLANK(I221), """", GOOGLETRANSLATE(I221, ""es"", ""en""))"),"Unique identifier of the Investment project (SNIP System)")</f>
        <v>Unique identifier of the Investment project (SNIP System)</v>
      </c>
      <c r="M221" s="30">
        <v>13394.0</v>
      </c>
      <c r="N221" s="30">
        <v>2017.0</v>
      </c>
      <c r="O221" s="30">
        <v>26.0</v>
      </c>
      <c r="P221" s="30" t="s">
        <v>134</v>
      </c>
      <c r="Q221" s="30" t="s">
        <v>135</v>
      </c>
      <c r="R221" s="30">
        <v>24.0</v>
      </c>
      <c r="S221" s="30" t="s">
        <v>512</v>
      </c>
      <c r="T221" s="30">
        <v>11352.0</v>
      </c>
      <c r="U221" s="30">
        <v>17.0</v>
      </c>
      <c r="V221" s="30">
        <v>35.0</v>
      </c>
      <c r="W221" s="30" t="s">
        <v>688</v>
      </c>
      <c r="X221" s="30">
        <v>6.0</v>
      </c>
      <c r="Y221" s="30" t="s">
        <v>689</v>
      </c>
      <c r="Z221" s="30">
        <v>60.0</v>
      </c>
      <c r="AA221" s="30">
        <v>272.0</v>
      </c>
      <c r="AB221" s="30" t="s">
        <v>690</v>
      </c>
      <c r="AC221" s="30">
        <v>800.0</v>
      </c>
      <c r="AD221" s="30">
        <v>110.0</v>
      </c>
      <c r="AE221" s="30" t="s">
        <v>691</v>
      </c>
      <c r="AF221" s="30">
        <v>599.0</v>
      </c>
      <c r="AG221" s="30">
        <v>1556.0</v>
      </c>
      <c r="AH221" s="30" t="s">
        <v>716</v>
      </c>
      <c r="AI221" s="30" t="s">
        <v>717</v>
      </c>
      <c r="AJ221" s="30" t="s">
        <v>718</v>
      </c>
      <c r="AK221" s="30" t="s">
        <v>719</v>
      </c>
      <c r="AL221" s="30" t="s">
        <v>718</v>
      </c>
      <c r="AM221" s="30" t="s">
        <v>719</v>
      </c>
      <c r="AN221" s="30" t="s">
        <v>194</v>
      </c>
      <c r="AO221" s="30" t="s">
        <v>195</v>
      </c>
      <c r="AP221" s="30" t="s">
        <v>194</v>
      </c>
      <c r="AQ221" s="30" t="s">
        <v>195</v>
      </c>
      <c r="AR221" s="30" t="s">
        <v>718</v>
      </c>
      <c r="AS221" s="30" t="s">
        <v>719</v>
      </c>
      <c r="AT221" s="30" t="s">
        <v>194</v>
      </c>
      <c r="AU221" s="30" t="s">
        <v>195</v>
      </c>
      <c r="AV221" s="30" t="s">
        <v>194</v>
      </c>
      <c r="AW221" s="30" t="s">
        <v>195</v>
      </c>
      <c r="AX221" s="30" t="s">
        <v>194</v>
      </c>
      <c r="AY221" s="30" t="s">
        <v>195</v>
      </c>
      <c r="AZ221" s="30" t="s">
        <v>194</v>
      </c>
      <c r="BA221" s="30" t="s">
        <v>195</v>
      </c>
      <c r="BB221" s="30" t="s">
        <v>194</v>
      </c>
      <c r="BC221" s="30" t="s">
        <v>195</v>
      </c>
      <c r="BD221" s="30" t="s">
        <v>696</v>
      </c>
      <c r="BE221" s="30" t="s">
        <v>697</v>
      </c>
      <c r="BF221" s="30">
        <v>22506.0</v>
      </c>
      <c r="BG221" s="30" t="s">
        <v>68</v>
      </c>
      <c r="BH221" s="30">
        <v>0.0</v>
      </c>
      <c r="BI221" s="30">
        <v>100.0</v>
      </c>
      <c r="BJ221" s="33">
        <v>42699.55486111111</v>
      </c>
      <c r="BK221" s="30">
        <v>100.0</v>
      </c>
      <c r="BL221" s="33">
        <v>43060.36388888889</v>
      </c>
    </row>
    <row r="222" ht="15.75" customHeight="1">
      <c r="A222" s="8"/>
      <c r="B222" s="30" t="s">
        <v>248</v>
      </c>
      <c r="C222" s="31" t="s">
        <v>82</v>
      </c>
      <c r="D222" s="31">
        <v>250.0</v>
      </c>
      <c r="E222" s="30"/>
      <c r="F222" s="30"/>
      <c r="G222" s="32" t="s">
        <v>100</v>
      </c>
      <c r="H222" s="32" t="s">
        <v>512</v>
      </c>
      <c r="I222" s="31" t="s">
        <v>720</v>
      </c>
      <c r="J222" s="31" t="str">
        <f>IFERROR(__xludf.DUMMYFUNCTION("IF(ISBLANK(I222), """", GOOGLETRANSLATE(I222, ""es"", ""en""))"),"Associated project description")</f>
        <v>Associated project description</v>
      </c>
      <c r="M222" s="30">
        <v>13395.0</v>
      </c>
      <c r="N222" s="30">
        <v>2017.0</v>
      </c>
      <c r="O222" s="30">
        <v>26.0</v>
      </c>
      <c r="P222" s="30" t="s">
        <v>134</v>
      </c>
      <c r="Q222" s="30" t="s">
        <v>135</v>
      </c>
      <c r="R222" s="30">
        <v>24.0</v>
      </c>
      <c r="S222" s="30" t="s">
        <v>512</v>
      </c>
      <c r="T222" s="30">
        <v>11352.0</v>
      </c>
      <c r="U222" s="30">
        <v>17.0</v>
      </c>
      <c r="V222" s="30">
        <v>35.0</v>
      </c>
      <c r="W222" s="30" t="s">
        <v>688</v>
      </c>
      <c r="X222" s="30">
        <v>6.0</v>
      </c>
      <c r="Y222" s="30" t="s">
        <v>689</v>
      </c>
      <c r="Z222" s="30">
        <v>60.0</v>
      </c>
      <c r="AA222" s="30">
        <v>272.0</v>
      </c>
      <c r="AB222" s="30" t="s">
        <v>690</v>
      </c>
      <c r="AC222" s="30">
        <v>800.0</v>
      </c>
      <c r="AD222" s="30">
        <v>110.0</v>
      </c>
      <c r="AE222" s="30" t="s">
        <v>691</v>
      </c>
      <c r="AF222" s="30">
        <v>599.0</v>
      </c>
      <c r="AG222" s="30">
        <v>1659.0</v>
      </c>
      <c r="AH222" s="30" t="s">
        <v>721</v>
      </c>
      <c r="AI222" s="30" t="s">
        <v>722</v>
      </c>
      <c r="AJ222" s="30" t="s">
        <v>723</v>
      </c>
      <c r="AK222" s="30" t="s">
        <v>724</v>
      </c>
      <c r="AL222" s="30" t="s">
        <v>723</v>
      </c>
      <c r="AM222" s="30" t="s">
        <v>724</v>
      </c>
      <c r="AN222" s="30" t="s">
        <v>194</v>
      </c>
      <c r="AO222" s="30" t="s">
        <v>195</v>
      </c>
      <c r="AP222" s="30" t="s">
        <v>194</v>
      </c>
      <c r="AQ222" s="30" t="s">
        <v>195</v>
      </c>
      <c r="AR222" s="30" t="s">
        <v>723</v>
      </c>
      <c r="AS222" s="30" t="s">
        <v>724</v>
      </c>
      <c r="AT222" s="30" t="s">
        <v>194</v>
      </c>
      <c r="AU222" s="30" t="s">
        <v>195</v>
      </c>
      <c r="AV222" s="30" t="s">
        <v>194</v>
      </c>
      <c r="AW222" s="30" t="s">
        <v>195</v>
      </c>
      <c r="AX222" s="30" t="s">
        <v>194</v>
      </c>
      <c r="AY222" s="30" t="s">
        <v>195</v>
      </c>
      <c r="AZ222" s="30" t="s">
        <v>194</v>
      </c>
      <c r="BA222" s="30" t="s">
        <v>195</v>
      </c>
      <c r="BB222" s="30" t="s">
        <v>194</v>
      </c>
      <c r="BC222" s="30" t="s">
        <v>195</v>
      </c>
      <c r="BD222" s="30" t="s">
        <v>696</v>
      </c>
      <c r="BE222" s="30" t="s">
        <v>697</v>
      </c>
      <c r="BF222" s="30">
        <v>22507.0</v>
      </c>
      <c r="BG222" s="30" t="s">
        <v>68</v>
      </c>
      <c r="BH222" s="30">
        <v>0.0</v>
      </c>
      <c r="BI222" s="30">
        <v>100.0</v>
      </c>
      <c r="BJ222" s="33">
        <v>42699.55486111111</v>
      </c>
      <c r="BK222" s="30">
        <v>100.0</v>
      </c>
      <c r="BL222" s="33">
        <v>43060.36388888889</v>
      </c>
    </row>
    <row r="223" ht="15.75" customHeight="1">
      <c r="A223" s="8"/>
      <c r="B223" s="30" t="s">
        <v>346</v>
      </c>
      <c r="C223" s="31" t="s">
        <v>60</v>
      </c>
      <c r="D223" s="31">
        <v>4.0</v>
      </c>
      <c r="E223" s="30">
        <v>10.0</v>
      </c>
      <c r="F223" s="30">
        <v>0.0</v>
      </c>
      <c r="G223" s="32" t="s">
        <v>100</v>
      </c>
      <c r="H223" s="32">
        <v>11352.0</v>
      </c>
      <c r="I223" s="31" t="s">
        <v>725</v>
      </c>
      <c r="J223" s="31" t="str">
        <f>IFERROR(__xludf.DUMMYFUNCTION("IF(ISBLANK(I223), """", GOOGLETRANSLATE(I223, ""es"", ""en""))"),"Investment project identifier")</f>
        <v>Investment project identifier</v>
      </c>
      <c r="M223" s="30">
        <v>13396.0</v>
      </c>
      <c r="N223" s="30">
        <v>2017.0</v>
      </c>
      <c r="O223" s="30">
        <v>26.0</v>
      </c>
      <c r="P223" s="30" t="s">
        <v>134</v>
      </c>
      <c r="Q223" s="30" t="s">
        <v>135</v>
      </c>
      <c r="R223" s="30">
        <v>24.0</v>
      </c>
      <c r="S223" s="30" t="s">
        <v>512</v>
      </c>
      <c r="T223" s="30">
        <v>11352.0</v>
      </c>
      <c r="U223" s="30">
        <v>17.0</v>
      </c>
      <c r="V223" s="30">
        <v>35.0</v>
      </c>
      <c r="W223" s="30" t="s">
        <v>688</v>
      </c>
      <c r="X223" s="30">
        <v>6.0</v>
      </c>
      <c r="Y223" s="30" t="s">
        <v>689</v>
      </c>
      <c r="Z223" s="30">
        <v>60.0</v>
      </c>
      <c r="AA223" s="30">
        <v>272.0</v>
      </c>
      <c r="AB223" s="30" t="s">
        <v>690</v>
      </c>
      <c r="AC223" s="30">
        <v>800.0</v>
      </c>
      <c r="AD223" s="30">
        <v>110.0</v>
      </c>
      <c r="AE223" s="30" t="s">
        <v>691</v>
      </c>
      <c r="AF223" s="30">
        <v>599.0</v>
      </c>
      <c r="AG223" s="30">
        <v>1410.0</v>
      </c>
      <c r="AH223" s="30" t="s">
        <v>726</v>
      </c>
      <c r="AI223" s="30" t="s">
        <v>727</v>
      </c>
      <c r="AJ223" s="30" t="s">
        <v>728</v>
      </c>
      <c r="AK223" s="30" t="s">
        <v>729</v>
      </c>
      <c r="AL223" s="30" t="s">
        <v>728</v>
      </c>
      <c r="AM223" s="30" t="s">
        <v>729</v>
      </c>
      <c r="AN223" s="30" t="s">
        <v>194</v>
      </c>
      <c r="AO223" s="30" t="s">
        <v>195</v>
      </c>
      <c r="AP223" s="30" t="s">
        <v>194</v>
      </c>
      <c r="AQ223" s="30" t="s">
        <v>195</v>
      </c>
      <c r="AR223" s="30" t="s">
        <v>728</v>
      </c>
      <c r="AS223" s="30" t="s">
        <v>729</v>
      </c>
      <c r="AT223" s="30" t="s">
        <v>194</v>
      </c>
      <c r="AU223" s="30" t="s">
        <v>195</v>
      </c>
      <c r="AV223" s="30" t="s">
        <v>194</v>
      </c>
      <c r="AW223" s="30" t="s">
        <v>195</v>
      </c>
      <c r="AX223" s="30" t="s">
        <v>194</v>
      </c>
      <c r="AY223" s="30" t="s">
        <v>195</v>
      </c>
      <c r="AZ223" s="30" t="s">
        <v>194</v>
      </c>
      <c r="BA223" s="30" t="s">
        <v>195</v>
      </c>
      <c r="BB223" s="30" t="s">
        <v>194</v>
      </c>
      <c r="BC223" s="30" t="s">
        <v>195</v>
      </c>
      <c r="BD223" s="30" t="s">
        <v>696</v>
      </c>
      <c r="BE223" s="30" t="s">
        <v>697</v>
      </c>
      <c r="BF223" s="30">
        <v>22508.0</v>
      </c>
      <c r="BG223" s="30" t="s">
        <v>68</v>
      </c>
      <c r="BH223" s="30">
        <v>0.0</v>
      </c>
      <c r="BI223" s="30">
        <v>100.0</v>
      </c>
      <c r="BJ223" s="33">
        <v>42699.55486111111</v>
      </c>
      <c r="BK223" s="30">
        <v>100.0</v>
      </c>
      <c r="BL223" s="33">
        <v>43060.36388888889</v>
      </c>
    </row>
    <row r="224" ht="15.75" customHeight="1">
      <c r="A224" s="8"/>
      <c r="B224" s="30" t="s">
        <v>186</v>
      </c>
      <c r="C224" s="31" t="s">
        <v>60</v>
      </c>
      <c r="D224" s="31">
        <v>4.0</v>
      </c>
      <c r="E224" s="30">
        <v>10.0</v>
      </c>
      <c r="F224" s="30">
        <v>0.0</v>
      </c>
      <c r="G224" s="32" t="s">
        <v>61</v>
      </c>
      <c r="H224" s="32">
        <v>17.0</v>
      </c>
      <c r="I224" s="31"/>
      <c r="J224" s="31" t="str">
        <f>IFERROR(__xludf.DUMMYFUNCTION("IF(ISBLANK(I224), """", GOOGLETRANSLATE(I224, ""es"", ""en""))"),"")</f>
        <v/>
      </c>
      <c r="M224" s="30">
        <v>13397.0</v>
      </c>
      <c r="N224" s="30">
        <v>2017.0</v>
      </c>
      <c r="O224" s="30">
        <v>26.0</v>
      </c>
      <c r="P224" s="30" t="s">
        <v>134</v>
      </c>
      <c r="Q224" s="30" t="s">
        <v>135</v>
      </c>
      <c r="R224" s="30">
        <v>24.0</v>
      </c>
      <c r="S224" s="30" t="s">
        <v>512</v>
      </c>
      <c r="T224" s="30">
        <v>11352.0</v>
      </c>
      <c r="U224" s="30">
        <v>17.0</v>
      </c>
      <c r="V224" s="30">
        <v>35.0</v>
      </c>
      <c r="W224" s="30" t="s">
        <v>688</v>
      </c>
      <c r="X224" s="30">
        <v>6.0</v>
      </c>
      <c r="Y224" s="30" t="s">
        <v>689</v>
      </c>
      <c r="Z224" s="30">
        <v>60.0</v>
      </c>
      <c r="AA224" s="30">
        <v>272.0</v>
      </c>
      <c r="AB224" s="30" t="s">
        <v>690</v>
      </c>
      <c r="AC224" s="30">
        <v>800.0</v>
      </c>
      <c r="AD224" s="30">
        <v>110.0</v>
      </c>
      <c r="AE224" s="30" t="s">
        <v>691</v>
      </c>
      <c r="AF224" s="30">
        <v>599.0</v>
      </c>
      <c r="AG224" s="30">
        <v>1415.0</v>
      </c>
      <c r="AH224" s="30" t="s">
        <v>730</v>
      </c>
      <c r="AI224" s="30" t="s">
        <v>731</v>
      </c>
      <c r="AJ224" s="30" t="s">
        <v>732</v>
      </c>
      <c r="AK224" s="30" t="s">
        <v>733</v>
      </c>
      <c r="AL224" s="30" t="s">
        <v>732</v>
      </c>
      <c r="AM224" s="30" t="s">
        <v>733</v>
      </c>
      <c r="AN224" s="30" t="s">
        <v>194</v>
      </c>
      <c r="AO224" s="30" t="s">
        <v>195</v>
      </c>
      <c r="AP224" s="30" t="s">
        <v>194</v>
      </c>
      <c r="AQ224" s="30" t="s">
        <v>195</v>
      </c>
      <c r="AR224" s="30" t="s">
        <v>732</v>
      </c>
      <c r="AS224" s="30" t="s">
        <v>733</v>
      </c>
      <c r="AT224" s="30" t="s">
        <v>194</v>
      </c>
      <c r="AU224" s="30" t="s">
        <v>195</v>
      </c>
      <c r="AV224" s="30" t="s">
        <v>194</v>
      </c>
      <c r="AW224" s="30" t="s">
        <v>195</v>
      </c>
      <c r="AX224" s="30" t="s">
        <v>194</v>
      </c>
      <c r="AY224" s="30" t="s">
        <v>195</v>
      </c>
      <c r="AZ224" s="30" t="s">
        <v>194</v>
      </c>
      <c r="BA224" s="30" t="s">
        <v>195</v>
      </c>
      <c r="BB224" s="30" t="s">
        <v>194</v>
      </c>
      <c r="BC224" s="30" t="s">
        <v>195</v>
      </c>
      <c r="BD224" s="30" t="s">
        <v>696</v>
      </c>
      <c r="BE224" s="30" t="s">
        <v>697</v>
      </c>
      <c r="BF224" s="30">
        <v>22509.0</v>
      </c>
      <c r="BG224" s="30" t="s">
        <v>68</v>
      </c>
      <c r="BH224" s="30">
        <v>0.0</v>
      </c>
      <c r="BI224" s="30">
        <v>100.0</v>
      </c>
      <c r="BJ224" s="33">
        <v>42699.55486111111</v>
      </c>
      <c r="BK224" s="30">
        <v>100.0</v>
      </c>
      <c r="BL224" s="33">
        <v>43060.36388888889</v>
      </c>
    </row>
    <row r="225" ht="15.75" customHeight="1">
      <c r="A225" s="8"/>
      <c r="B225" s="30" t="s">
        <v>160</v>
      </c>
      <c r="C225" s="31" t="s">
        <v>60</v>
      </c>
      <c r="D225" s="31">
        <v>4.0</v>
      </c>
      <c r="E225" s="30">
        <v>10.0</v>
      </c>
      <c r="F225" s="30">
        <v>0.0</v>
      </c>
      <c r="G225" s="32" t="s">
        <v>61</v>
      </c>
      <c r="H225" s="32">
        <v>35.0</v>
      </c>
      <c r="I225" s="31" t="s">
        <v>734</v>
      </c>
      <c r="J225" s="31" t="str">
        <f>IFERROR(__xludf.DUMMYFUNCTION("IF(ISBLANK(I225), """", GOOGLETRANSLATE(I225, ""es"", ""en""))"),"component identifier")</f>
        <v>component identifier</v>
      </c>
      <c r="M225" s="30">
        <v>13398.0</v>
      </c>
      <c r="N225" s="30">
        <v>2017.0</v>
      </c>
      <c r="O225" s="30">
        <v>26.0</v>
      </c>
      <c r="P225" s="30" t="s">
        <v>134</v>
      </c>
      <c r="Q225" s="30" t="s">
        <v>135</v>
      </c>
      <c r="R225" s="30">
        <v>24.0</v>
      </c>
      <c r="S225" s="30" t="s">
        <v>512</v>
      </c>
      <c r="T225" s="30">
        <v>11352.0</v>
      </c>
      <c r="U225" s="30">
        <v>17.0</v>
      </c>
      <c r="V225" s="30">
        <v>35.0</v>
      </c>
      <c r="W225" s="30" t="s">
        <v>688</v>
      </c>
      <c r="X225" s="30">
        <v>6.0</v>
      </c>
      <c r="Y225" s="30" t="s">
        <v>689</v>
      </c>
      <c r="Z225" s="30">
        <v>60.0</v>
      </c>
      <c r="AA225" s="30">
        <v>272.0</v>
      </c>
      <c r="AB225" s="30" t="s">
        <v>690</v>
      </c>
      <c r="AC225" s="30">
        <v>800.0</v>
      </c>
      <c r="AD225" s="30">
        <v>110.0</v>
      </c>
      <c r="AE225" s="30" t="s">
        <v>691</v>
      </c>
      <c r="AF225" s="30">
        <v>599.0</v>
      </c>
      <c r="AG225" s="30">
        <v>1421.0</v>
      </c>
      <c r="AH225" s="30" t="s">
        <v>735</v>
      </c>
      <c r="AI225" s="30" t="s">
        <v>736</v>
      </c>
      <c r="AJ225" s="30" t="s">
        <v>732</v>
      </c>
      <c r="AK225" s="30" t="s">
        <v>733</v>
      </c>
      <c r="AL225" s="30" t="s">
        <v>732</v>
      </c>
      <c r="AM225" s="30" t="s">
        <v>733</v>
      </c>
      <c r="AN225" s="30" t="s">
        <v>194</v>
      </c>
      <c r="AO225" s="30" t="s">
        <v>195</v>
      </c>
      <c r="AP225" s="30" t="s">
        <v>194</v>
      </c>
      <c r="AQ225" s="30" t="s">
        <v>195</v>
      </c>
      <c r="AR225" s="30" t="s">
        <v>732</v>
      </c>
      <c r="AS225" s="30" t="s">
        <v>733</v>
      </c>
      <c r="AT225" s="30" t="s">
        <v>194</v>
      </c>
      <c r="AU225" s="30" t="s">
        <v>195</v>
      </c>
      <c r="AV225" s="30" t="s">
        <v>194</v>
      </c>
      <c r="AW225" s="30" t="s">
        <v>195</v>
      </c>
      <c r="AX225" s="30" t="s">
        <v>194</v>
      </c>
      <c r="AY225" s="30" t="s">
        <v>195</v>
      </c>
      <c r="AZ225" s="30" t="s">
        <v>194</v>
      </c>
      <c r="BA225" s="30" t="s">
        <v>195</v>
      </c>
      <c r="BB225" s="30" t="s">
        <v>194</v>
      </c>
      <c r="BC225" s="30" t="s">
        <v>195</v>
      </c>
      <c r="BD225" s="30" t="s">
        <v>696</v>
      </c>
      <c r="BE225" s="30" t="s">
        <v>697</v>
      </c>
      <c r="BF225" s="30">
        <v>22510.0</v>
      </c>
      <c r="BG225" s="30" t="s">
        <v>68</v>
      </c>
      <c r="BH225" s="30">
        <v>0.0</v>
      </c>
      <c r="BI225" s="30">
        <v>100.0</v>
      </c>
      <c r="BJ225" s="33">
        <v>42699.55486111111</v>
      </c>
      <c r="BK225" s="30">
        <v>100.0</v>
      </c>
      <c r="BL225" s="33">
        <v>43060.36388888889</v>
      </c>
    </row>
    <row r="226" ht="15.75" customHeight="1">
      <c r="A226" s="8"/>
      <c r="B226" s="30" t="s">
        <v>161</v>
      </c>
      <c r="C226" s="31" t="s">
        <v>82</v>
      </c>
      <c r="D226" s="31">
        <v>250.0</v>
      </c>
      <c r="E226" s="30"/>
      <c r="F226" s="30"/>
      <c r="G226" s="32" t="s">
        <v>100</v>
      </c>
      <c r="H226" s="32" t="s">
        <v>688</v>
      </c>
      <c r="I226" s="31" t="s">
        <v>206</v>
      </c>
      <c r="J226" s="31" t="str">
        <f>IFERROR(__xludf.DUMMYFUNCTION("IF(ISBLANK(I226), """", GOOGLETRANSLATE(I226, ""es"", ""en""))"),"Component Description")</f>
        <v>Component Description</v>
      </c>
    </row>
    <row r="227" ht="15.75" customHeight="1">
      <c r="A227" s="8"/>
      <c r="B227" s="30" t="s">
        <v>653</v>
      </c>
      <c r="C227" s="31" t="s">
        <v>60</v>
      </c>
      <c r="D227" s="31">
        <v>4.0</v>
      </c>
      <c r="E227" s="30">
        <v>10.0</v>
      </c>
      <c r="F227" s="30">
        <v>0.0</v>
      </c>
      <c r="G227" s="32" t="s">
        <v>61</v>
      </c>
      <c r="H227" s="32">
        <v>6.0</v>
      </c>
      <c r="I227" s="31" t="s">
        <v>737</v>
      </c>
      <c r="J227" s="31" t="str">
        <f>IFERROR(__xludf.DUMMYFUNCTION("IF(ISBLANK(I227), """", GOOGLETRANSLATE(I227, ""es"", ""en""))"),"Generated Source Identifier")</f>
        <v>Generated Source Identifier</v>
      </c>
    </row>
    <row r="228" ht="15.75" customHeight="1">
      <c r="A228" s="8"/>
      <c r="B228" s="30" t="s">
        <v>654</v>
      </c>
      <c r="C228" s="31" t="s">
        <v>82</v>
      </c>
      <c r="D228" s="31">
        <v>120.0</v>
      </c>
      <c r="E228" s="30"/>
      <c r="F228" s="30"/>
      <c r="G228" s="32" t="s">
        <v>100</v>
      </c>
      <c r="H228" s="32" t="s">
        <v>689</v>
      </c>
      <c r="I228" s="31" t="s">
        <v>738</v>
      </c>
      <c r="J228" s="31" t="str">
        <f>IFERROR(__xludf.DUMMYFUNCTION("IF(ISBLANK(I228), """", GOOGLETRANSLATE(I228, ""es"", ""en""))"),"Description of the Genera Source")</f>
        <v>Description of the Genera Source</v>
      </c>
    </row>
    <row r="229" ht="15.75" customHeight="1">
      <c r="A229" s="8"/>
      <c r="B229" s="30" t="s">
        <v>655</v>
      </c>
      <c r="C229" s="31" t="s">
        <v>82</v>
      </c>
      <c r="D229" s="31">
        <v>10.0</v>
      </c>
      <c r="E229" s="30"/>
      <c r="F229" s="30"/>
      <c r="G229" s="32" t="s">
        <v>100</v>
      </c>
      <c r="H229" s="32">
        <v>60.0</v>
      </c>
      <c r="I229" s="31" t="s">
        <v>739</v>
      </c>
      <c r="J229" s="31" t="str">
        <f>IFERROR(__xludf.DUMMYFUNCTION("IF(ISBLANK(I229), """", GOOGLETRANSLATE(I229, ""es"", ""en""))"),"General Source Code")</f>
        <v>General Source Code</v>
      </c>
    </row>
    <row r="230" ht="15.75" customHeight="1">
      <c r="A230" s="8"/>
      <c r="B230" s="30" t="s">
        <v>656</v>
      </c>
      <c r="C230" s="31" t="s">
        <v>60</v>
      </c>
      <c r="D230" s="31">
        <v>4.0</v>
      </c>
      <c r="E230" s="30">
        <v>10.0</v>
      </c>
      <c r="F230" s="30">
        <v>0.0</v>
      </c>
      <c r="G230" s="32" t="s">
        <v>61</v>
      </c>
      <c r="H230" s="32">
        <v>272.0</v>
      </c>
      <c r="I230" s="31" t="s">
        <v>740</v>
      </c>
      <c r="J230" s="31" t="str">
        <f>IFERROR(__xludf.DUMMYFUNCTION("IF(ISBLANK(I230), """", GOOGLETRANSLATE(I230, ""es"", ""en""))"),"Specific Source Identifier")</f>
        <v>Specific Source Identifier</v>
      </c>
      <c r="K230" s="47"/>
    </row>
    <row r="231" ht="15.75" customHeight="1">
      <c r="A231" s="8"/>
      <c r="B231" s="30" t="s">
        <v>657</v>
      </c>
      <c r="C231" s="31" t="s">
        <v>82</v>
      </c>
      <c r="D231" s="31">
        <v>120.0</v>
      </c>
      <c r="E231" s="30"/>
      <c r="F231" s="30"/>
      <c r="G231" s="32" t="s">
        <v>100</v>
      </c>
      <c r="H231" s="32" t="s">
        <v>690</v>
      </c>
      <c r="I231" s="31" t="s">
        <v>741</v>
      </c>
      <c r="J231" s="31" t="str">
        <f>IFERROR(__xludf.DUMMYFUNCTION("IF(ISBLANK(I231), """", GOOGLETRANSLATE(I231, ""es"", ""en""))"),"Specific Source Description")</f>
        <v>Specific Source Description</v>
      </c>
      <c r="K231" s="40" t="s">
        <v>742</v>
      </c>
    </row>
    <row r="232" ht="15.75" customHeight="1">
      <c r="A232" s="8"/>
      <c r="B232" s="30" t="s">
        <v>658</v>
      </c>
      <c r="C232" s="31" t="s">
        <v>82</v>
      </c>
      <c r="D232" s="31">
        <v>10.0</v>
      </c>
      <c r="E232" s="30"/>
      <c r="F232" s="30"/>
      <c r="G232" s="32" t="s">
        <v>100</v>
      </c>
      <c r="H232" s="32">
        <v>800.0</v>
      </c>
      <c r="I232" s="31" t="s">
        <v>743</v>
      </c>
      <c r="J232" s="31" t="str">
        <f>IFERROR(__xludf.DUMMYFUNCTION("IF(ISBLANK(I232), """", GOOGLETRANSLATE(I232, ""es"", ""en""))"),"Specific Source Code")</f>
        <v>Specific Source Code</v>
      </c>
      <c r="K232" s="47" t="s">
        <v>744</v>
      </c>
    </row>
    <row r="233" ht="15.75" customHeight="1">
      <c r="A233" s="8"/>
      <c r="B233" s="30" t="s">
        <v>659</v>
      </c>
      <c r="C233" s="31" t="s">
        <v>60</v>
      </c>
      <c r="D233" s="31">
        <v>4.0</v>
      </c>
      <c r="E233" s="30">
        <v>10.0</v>
      </c>
      <c r="F233" s="30">
        <v>0.0</v>
      </c>
      <c r="G233" s="32" t="s">
        <v>61</v>
      </c>
      <c r="H233" s="32">
        <v>110.0</v>
      </c>
      <c r="I233" s="31" t="s">
        <v>745</v>
      </c>
      <c r="J233" s="31" t="str">
        <f>IFERROR(__xludf.DUMMYFUNCTION("IF(ISBLANK(I233), """", GOOGLETRANSLATE(I233, ""es"", ""en""))"),"Financing Agency Identifier")</f>
        <v>Financing Agency Identifier</v>
      </c>
    </row>
    <row r="234" ht="15.75" customHeight="1">
      <c r="A234" s="8"/>
      <c r="B234" s="30" t="s">
        <v>660</v>
      </c>
      <c r="C234" s="31" t="s">
        <v>82</v>
      </c>
      <c r="D234" s="31">
        <v>120.0</v>
      </c>
      <c r="E234" s="30"/>
      <c r="F234" s="30"/>
      <c r="G234" s="32" t="s">
        <v>100</v>
      </c>
      <c r="H234" s="32" t="s">
        <v>691</v>
      </c>
      <c r="I234" s="31" t="s">
        <v>746</v>
      </c>
      <c r="J234" s="31" t="str">
        <f>IFERROR(__xludf.DUMMYFUNCTION("IF(ISBLANK(I234), """", GOOGLETRANSLATE(I234, ""es"", ""en""))"),"Description of the Financing Organization")</f>
        <v>Description of the Financing Organization</v>
      </c>
    </row>
    <row r="235" ht="15.75" customHeight="1">
      <c r="A235" s="8"/>
      <c r="B235" s="30" t="s">
        <v>661</v>
      </c>
      <c r="C235" s="31" t="s">
        <v>82</v>
      </c>
      <c r="D235" s="31">
        <v>10.0</v>
      </c>
      <c r="E235" s="30"/>
      <c r="F235" s="30"/>
      <c r="G235" s="32" t="s">
        <v>100</v>
      </c>
      <c r="H235" s="32">
        <v>599.0</v>
      </c>
      <c r="I235" s="31" t="s">
        <v>747</v>
      </c>
      <c r="J235" s="31" t="str">
        <f>IFERROR(__xludf.DUMMYFUNCTION("IF(ISBLANK(I235), """", GOOGLETRANSLATE(I235, ""es"", ""en""))"),"Financing Agency Code")</f>
        <v>Financing Agency Code</v>
      </c>
    </row>
    <row r="236" ht="15.75" customHeight="1">
      <c r="A236" s="8"/>
      <c r="B236" s="30" t="s">
        <v>662</v>
      </c>
      <c r="C236" s="31" t="s">
        <v>60</v>
      </c>
      <c r="D236" s="31">
        <v>4.0</v>
      </c>
      <c r="E236" s="30">
        <v>10.0</v>
      </c>
      <c r="F236" s="30">
        <v>0.0</v>
      </c>
      <c r="G236" s="32" t="s">
        <v>61</v>
      </c>
      <c r="H236" s="32">
        <v>1510.0</v>
      </c>
      <c r="I236" s="31" t="s">
        <v>748</v>
      </c>
      <c r="J236" s="31" t="str">
        <f>IFERROR(__xludf.DUMMYFUNCTION("IF(ISBLANK(I236), """", GOOGLETRANSLATE(I236, ""es"", ""en""))"),"Expenditure Object Identifier")</f>
        <v>Expenditure Object Identifier</v>
      </c>
    </row>
    <row r="237" ht="15.75" customHeight="1">
      <c r="A237" s="8"/>
      <c r="B237" s="30" t="s">
        <v>663</v>
      </c>
      <c r="C237" s="31" t="s">
        <v>82</v>
      </c>
      <c r="D237" s="31">
        <v>120.0</v>
      </c>
      <c r="E237" s="30"/>
      <c r="F237" s="30"/>
      <c r="G237" s="32" t="s">
        <v>100</v>
      </c>
      <c r="H237" s="32" t="s">
        <v>704</v>
      </c>
      <c r="I237" s="31" t="s">
        <v>749</v>
      </c>
      <c r="J237" s="31" t="str">
        <f>IFERROR(__xludf.DUMMYFUNCTION("IF(ISBLANK(I237), """", GOOGLETRANSLATE(I237, ""es"", ""en""))"),"Description of the Expense Object")</f>
        <v>Description of the Expense Object</v>
      </c>
    </row>
    <row r="238" ht="15.75" customHeight="1">
      <c r="A238" s="8"/>
      <c r="B238" s="30" t="s">
        <v>664</v>
      </c>
      <c r="C238" s="31" t="s">
        <v>82</v>
      </c>
      <c r="D238" s="31">
        <v>15.0</v>
      </c>
      <c r="E238" s="30"/>
      <c r="F238" s="30"/>
      <c r="G238" s="32" t="s">
        <v>100</v>
      </c>
      <c r="H238" s="32" t="s">
        <v>705</v>
      </c>
      <c r="I238" s="31" t="s">
        <v>750</v>
      </c>
      <c r="J238" s="31" t="str">
        <f>IFERROR(__xludf.DUMMYFUNCTION("IF(ISBLANK(I238), """", GOOGLETRANSLATE(I238, ""es"", ""en""))"),"Expense object code")</f>
        <v>Expense object code</v>
      </c>
      <c r="K238" s="47"/>
    </row>
    <row r="239" ht="15.75" customHeight="1">
      <c r="A239" s="8"/>
      <c r="B239" s="30" t="s">
        <v>665</v>
      </c>
      <c r="C239" s="31" t="s">
        <v>220</v>
      </c>
      <c r="D239" s="31">
        <v>9.0</v>
      </c>
      <c r="E239" s="30">
        <v>19.0</v>
      </c>
      <c r="F239" s="30">
        <v>2.0</v>
      </c>
      <c r="G239" s="32" t="s">
        <v>61</v>
      </c>
      <c r="H239" s="32" t="s">
        <v>706</v>
      </c>
      <c r="I239" s="31" t="s">
        <v>751</v>
      </c>
      <c r="J239" s="31" t="str">
        <f>IFERROR(__xludf.DUMMYFUNCTION("IF(ISBLANK(I239), """", GOOGLETRANSLATE(I239, ""es"", ""en""))"),"Initial Value Scheduled for the project")</f>
        <v>Initial Value Scheduled for the project</v>
      </c>
      <c r="K239" s="40" t="s">
        <v>752</v>
      </c>
    </row>
    <row r="240" ht="15.75" customHeight="1">
      <c r="A240" s="8"/>
      <c r="B240" s="30" t="s">
        <v>666</v>
      </c>
      <c r="C240" s="31" t="s">
        <v>225</v>
      </c>
      <c r="D240" s="31">
        <v>8000.0</v>
      </c>
      <c r="E240" s="30"/>
      <c r="F240" s="30"/>
      <c r="G240" s="32" t="s">
        <v>100</v>
      </c>
      <c r="H240" s="32" t="s">
        <v>707</v>
      </c>
      <c r="I240" s="31" t="s">
        <v>753</v>
      </c>
      <c r="J240" s="31" t="str">
        <f>IFERROR(__xludf.DUMMYFUNCTION("IF(ISBLANK(I240), """", GOOGLETRANSLATE(I240, ""es"", ""en""))"),"Initial value programmed for the project in text")</f>
        <v>Initial value programmed for the project in text</v>
      </c>
      <c r="K240" s="47" t="s">
        <v>754</v>
      </c>
    </row>
    <row r="241" ht="15.75" customHeight="1">
      <c r="A241" s="8"/>
      <c r="B241" s="30" t="s">
        <v>667</v>
      </c>
      <c r="C241" s="31" t="s">
        <v>220</v>
      </c>
      <c r="D241" s="31">
        <v>9.0</v>
      </c>
      <c r="E241" s="30">
        <v>19.0</v>
      </c>
      <c r="F241" s="30">
        <v>2.0</v>
      </c>
      <c r="G241" s="32" t="s">
        <v>61</v>
      </c>
      <c r="H241" s="32" t="s">
        <v>706</v>
      </c>
      <c r="I241" s="31" t="s">
        <v>755</v>
      </c>
      <c r="J241" s="31" t="str">
        <f>IFERROR(__xludf.DUMMYFUNCTION("IF(ISBLANK(I241), """", GOOGLETRANSLATE(I241, ""es"", ""en""))"),"Approved Initial Value for the project")</f>
        <v>Approved Initial Value for the project</v>
      </c>
    </row>
    <row r="242" ht="15.75" customHeight="1">
      <c r="A242" s="8"/>
      <c r="B242" s="30" t="s">
        <v>668</v>
      </c>
      <c r="C242" s="31" t="s">
        <v>225</v>
      </c>
      <c r="D242" s="31">
        <v>8000.0</v>
      </c>
      <c r="E242" s="30"/>
      <c r="F242" s="30"/>
      <c r="G242" s="32" t="s">
        <v>100</v>
      </c>
      <c r="H242" s="32" t="s">
        <v>707</v>
      </c>
      <c r="I242" s="31" t="s">
        <v>756</v>
      </c>
      <c r="J242" s="31" t="str">
        <f>IFERROR(__xludf.DUMMYFUNCTION("IF(ISBLANK(I242), """", GOOGLETRANSLATE(I242, ""es"", ""en""))"),"Approved initial value for the project in text")</f>
        <v>Approved initial value for the project in text</v>
      </c>
    </row>
    <row r="243" ht="15.75" customHeight="1">
      <c r="A243" s="8"/>
      <c r="B243" s="30" t="s">
        <v>669</v>
      </c>
      <c r="C243" s="31" t="s">
        <v>220</v>
      </c>
      <c r="D243" s="31">
        <v>9.0</v>
      </c>
      <c r="E243" s="30">
        <v>19.0</v>
      </c>
      <c r="F243" s="30">
        <v>2.0</v>
      </c>
      <c r="G243" s="32" t="s">
        <v>61</v>
      </c>
      <c r="H243" s="32" t="s">
        <v>194</v>
      </c>
      <c r="I243" s="31" t="s">
        <v>757</v>
      </c>
      <c r="J243" s="31" t="str">
        <f>IFERROR(__xludf.DUMMYFUNCTION("IF(ISBLANK(I243), """", GOOGLETRANSLATE(I243, ""es"", ""en""))"),"Increase value for the project ")</f>
        <v>Increase value for the project </v>
      </c>
    </row>
    <row r="244" ht="15.75" customHeight="1">
      <c r="A244" s="8"/>
      <c r="B244" s="30" t="s">
        <v>670</v>
      </c>
      <c r="C244" s="31" t="s">
        <v>225</v>
      </c>
      <c r="D244" s="31">
        <v>8000.0</v>
      </c>
      <c r="E244" s="30"/>
      <c r="F244" s="30"/>
      <c r="G244" s="32" t="s">
        <v>100</v>
      </c>
      <c r="H244" s="32" t="s">
        <v>195</v>
      </c>
      <c r="I244" s="31" t="s">
        <v>758</v>
      </c>
      <c r="J244" s="31" t="str">
        <f>IFERROR(__xludf.DUMMYFUNCTION("IF(ISBLANK(I244), """", GOOGLETRANSLATE(I244, ""es"", ""en""))"),"Increase value for project in text")</f>
        <v>Increase value for project in text</v>
      </c>
    </row>
    <row r="245" ht="15.75" customHeight="1">
      <c r="A245" s="8"/>
      <c r="B245" s="30" t="s">
        <v>671</v>
      </c>
      <c r="C245" s="31" t="s">
        <v>220</v>
      </c>
      <c r="D245" s="31">
        <v>9.0</v>
      </c>
      <c r="E245" s="30">
        <v>19.0</v>
      </c>
      <c r="F245" s="30">
        <v>2.0</v>
      </c>
      <c r="G245" s="32" t="s">
        <v>61</v>
      </c>
      <c r="H245" s="32" t="s">
        <v>194</v>
      </c>
      <c r="I245" s="31" t="s">
        <v>759</v>
      </c>
      <c r="J245" s="31" t="str">
        <f>IFERROR(__xludf.DUMMYFUNCTION("IF(ISBLANK(I245), """", GOOGLETRANSLATE(I245, ""es"", ""en""))"),"Decrease value for the project")</f>
        <v>Decrease value for the project</v>
      </c>
    </row>
    <row r="246" ht="15.75" customHeight="1">
      <c r="A246" s="8"/>
      <c r="B246" s="30" t="s">
        <v>672</v>
      </c>
      <c r="C246" s="31" t="s">
        <v>225</v>
      </c>
      <c r="D246" s="31">
        <v>8000.0</v>
      </c>
      <c r="E246" s="30"/>
      <c r="F246" s="30"/>
      <c r="G246" s="32" t="s">
        <v>100</v>
      </c>
      <c r="H246" s="32" t="s">
        <v>195</v>
      </c>
      <c r="I246" s="31" t="s">
        <v>760</v>
      </c>
      <c r="J246" s="31" t="str">
        <f>IFERROR(__xludf.DUMMYFUNCTION("IF(ISBLANK(I246), """", GOOGLETRANSLATE(I246, ""es"", ""en""))"),"Decrease value for the project in text")</f>
        <v>Decrease value for the project in text</v>
      </c>
    </row>
    <row r="247" ht="15.75" customHeight="1">
      <c r="A247" s="8"/>
      <c r="B247" s="30" t="s">
        <v>673</v>
      </c>
      <c r="C247" s="31" t="s">
        <v>220</v>
      </c>
      <c r="D247" s="31">
        <v>9.0</v>
      </c>
      <c r="E247" s="30">
        <v>19.0</v>
      </c>
      <c r="F247" s="30">
        <v>2.0</v>
      </c>
      <c r="G247" s="32" t="s">
        <v>61</v>
      </c>
      <c r="H247" s="32" t="s">
        <v>706</v>
      </c>
      <c r="I247" s="31" t="s">
        <v>761</v>
      </c>
      <c r="J247" s="31" t="str">
        <f>IFERROR(__xludf.DUMMYFUNCTION("IF(ISBLANK(I247), """", GOOGLETRANSLATE(I247, ""es"", ""en""))"),"Current Value of the Project (RD$)")</f>
        <v>Current Value of the Project (RD$)</v>
      </c>
    </row>
    <row r="248" ht="15.75" customHeight="1">
      <c r="A248" s="8"/>
      <c r="B248" s="30" t="s">
        <v>674</v>
      </c>
      <c r="C248" s="31" t="s">
        <v>225</v>
      </c>
      <c r="D248" s="31">
        <v>8000.0</v>
      </c>
      <c r="E248" s="30"/>
      <c r="F248" s="30"/>
      <c r="G248" s="32" t="s">
        <v>100</v>
      </c>
      <c r="H248" s="32" t="s">
        <v>707</v>
      </c>
      <c r="I248" s="31" t="s">
        <v>762</v>
      </c>
      <c r="J248" s="31" t="str">
        <f>IFERROR(__xludf.DUMMYFUNCTION("IF(ISBLANK(I248), """", GOOGLETRANSLATE(I248, ""es"", ""en""))"),"Current Project Value (RD$) in text")</f>
        <v>Current Project Value (RD$) in text</v>
      </c>
    </row>
    <row r="249" ht="15.75" customHeight="1">
      <c r="A249" s="8"/>
      <c r="B249" s="30" t="s">
        <v>675</v>
      </c>
      <c r="C249" s="31" t="s">
        <v>220</v>
      </c>
      <c r="D249" s="31">
        <v>9.0</v>
      </c>
      <c r="E249" s="30">
        <v>19.0</v>
      </c>
      <c r="F249" s="30">
        <v>2.0</v>
      </c>
      <c r="G249" s="32" t="s">
        <v>61</v>
      </c>
      <c r="H249" s="32" t="s">
        <v>194</v>
      </c>
      <c r="I249" s="31" t="s">
        <v>763</v>
      </c>
      <c r="J249" s="31" t="str">
        <f>IFERROR(__xludf.DUMMYFUNCTION("IF(ISBLANK(I249), """", GOOGLETRANSLATE(I249, ""es"", ""en""))"),"Project Executed Value")</f>
        <v>Project Executed Value</v>
      </c>
    </row>
    <row r="250" ht="15.75" customHeight="1">
      <c r="A250" s="8"/>
      <c r="B250" s="30" t="s">
        <v>676</v>
      </c>
      <c r="C250" s="31" t="s">
        <v>225</v>
      </c>
      <c r="D250" s="31">
        <v>8000.0</v>
      </c>
      <c r="E250" s="30"/>
      <c r="F250" s="30"/>
      <c r="G250" s="32" t="s">
        <v>100</v>
      </c>
      <c r="H250" s="32" t="s">
        <v>195</v>
      </c>
      <c r="I250" s="31" t="s">
        <v>764</v>
      </c>
      <c r="J250" s="31" t="str">
        <f>IFERROR(__xludf.DUMMYFUNCTION("IF(ISBLANK(I250), """", GOOGLETRANSLATE(I250, ""es"", ""en""))"),"Project executed value in text")</f>
        <v>Project executed value in text</v>
      </c>
    </row>
    <row r="251" ht="15.75" customHeight="1">
      <c r="A251" s="8"/>
      <c r="B251" s="30" t="s">
        <v>677</v>
      </c>
      <c r="C251" s="31" t="s">
        <v>220</v>
      </c>
      <c r="D251" s="31">
        <v>9.0</v>
      </c>
      <c r="E251" s="30">
        <v>19.0</v>
      </c>
      <c r="F251" s="30">
        <v>2.0</v>
      </c>
      <c r="G251" s="32" t="s">
        <v>61</v>
      </c>
      <c r="H251" s="32" t="s">
        <v>194</v>
      </c>
      <c r="I251" s="31" t="s">
        <v>765</v>
      </c>
      <c r="J251" s="31" t="str">
        <f>IFERROR(__xludf.DUMMYFUNCTION("IF(ISBLANK(I251), """", GOOGLETRANSLATE(I251, ""es"", ""en""))"),"Executed value of the project in the first quarter")</f>
        <v>Executed value of the project in the first quarter</v>
      </c>
      <c r="K251" s="47"/>
    </row>
    <row r="252" ht="15.75" customHeight="1">
      <c r="A252" s="8"/>
      <c r="B252" s="30" t="s">
        <v>678</v>
      </c>
      <c r="C252" s="31" t="s">
        <v>225</v>
      </c>
      <c r="D252" s="31">
        <v>8000.0</v>
      </c>
      <c r="E252" s="30"/>
      <c r="F252" s="30"/>
      <c r="G252" s="32" t="s">
        <v>100</v>
      </c>
      <c r="H252" s="32" t="s">
        <v>195</v>
      </c>
      <c r="I252" s="31" t="s">
        <v>766</v>
      </c>
      <c r="J252" s="31" t="str">
        <f>IFERROR(__xludf.DUMMYFUNCTION("IF(ISBLANK(I252), """", GOOGLETRANSLATE(I252, ""es"", ""en""))"),"Executed value of the project in the first quarter in text")</f>
        <v>Executed value of the project in the first quarter in text</v>
      </c>
      <c r="K252" s="47"/>
    </row>
    <row r="253" ht="15.75" customHeight="1">
      <c r="A253" s="8"/>
      <c r="B253" s="30" t="s">
        <v>679</v>
      </c>
      <c r="C253" s="31" t="s">
        <v>220</v>
      </c>
      <c r="D253" s="31">
        <v>9.0</v>
      </c>
      <c r="E253" s="30">
        <v>19.0</v>
      </c>
      <c r="F253" s="30">
        <v>2.0</v>
      </c>
      <c r="G253" s="32" t="s">
        <v>61</v>
      </c>
      <c r="H253" s="32" t="s">
        <v>194</v>
      </c>
      <c r="I253" s="31" t="s">
        <v>767</v>
      </c>
      <c r="J253" s="31" t="str">
        <f>IFERROR(__xludf.DUMMYFUNCTION("IF(ISBLANK(I253), """", GOOGLETRANSLATE(I253, ""es"", ""en""))"),"Executed value of the project in the second quarter")</f>
        <v>Executed value of the project in the second quarter</v>
      </c>
      <c r="K253" s="47"/>
    </row>
    <row r="254" ht="15.75" customHeight="1">
      <c r="A254" s="8"/>
      <c r="B254" s="30" t="s">
        <v>680</v>
      </c>
      <c r="C254" s="31" t="s">
        <v>225</v>
      </c>
      <c r="D254" s="31">
        <v>8000.0</v>
      </c>
      <c r="E254" s="30"/>
      <c r="F254" s="30"/>
      <c r="G254" s="32" t="s">
        <v>100</v>
      </c>
      <c r="H254" s="32" t="s">
        <v>195</v>
      </c>
      <c r="I254" s="31" t="s">
        <v>768</v>
      </c>
      <c r="J254" s="31" t="str">
        <f>IFERROR(__xludf.DUMMYFUNCTION("IF(ISBLANK(I254), """", GOOGLETRANSLATE(I254, ""es"", ""en""))"),"Executed value of the project in the second quarter in text")</f>
        <v>Executed value of the project in the second quarter in text</v>
      </c>
      <c r="K254" s="47"/>
    </row>
    <row r="255" ht="15.75" customHeight="1">
      <c r="A255" s="8"/>
      <c r="B255" s="30" t="s">
        <v>681</v>
      </c>
      <c r="C255" s="31" t="s">
        <v>220</v>
      </c>
      <c r="D255" s="31">
        <v>9.0</v>
      </c>
      <c r="E255" s="30">
        <v>19.0</v>
      </c>
      <c r="F255" s="30">
        <v>2.0</v>
      </c>
      <c r="G255" s="32" t="s">
        <v>61</v>
      </c>
      <c r="H255" s="32" t="s">
        <v>194</v>
      </c>
      <c r="I255" s="31" t="s">
        <v>769</v>
      </c>
      <c r="J255" s="31" t="str">
        <f>IFERROR(__xludf.DUMMYFUNCTION("IF(ISBLANK(I255), """", GOOGLETRANSLATE(I255, ""es"", ""en""))"),"Executed value of the project in the third quarter")</f>
        <v>Executed value of the project in the third quarter</v>
      </c>
      <c r="K255" s="47"/>
    </row>
    <row r="256" ht="15.75" customHeight="1">
      <c r="A256" s="8"/>
      <c r="B256" s="30" t="s">
        <v>682</v>
      </c>
      <c r="C256" s="31" t="s">
        <v>225</v>
      </c>
      <c r="D256" s="31">
        <v>8000.0</v>
      </c>
      <c r="E256" s="30"/>
      <c r="F256" s="30"/>
      <c r="G256" s="32" t="s">
        <v>100</v>
      </c>
      <c r="H256" s="32" t="s">
        <v>195</v>
      </c>
      <c r="I256" s="31" t="s">
        <v>770</v>
      </c>
      <c r="J256" s="31" t="str">
        <f>IFERROR(__xludf.DUMMYFUNCTION("IF(ISBLANK(I256), """", GOOGLETRANSLATE(I256, ""es"", ""en""))"),"Executed value of the project in the third quarter in text")</f>
        <v>Executed value of the project in the third quarter in text</v>
      </c>
      <c r="K256" s="47"/>
    </row>
    <row r="257" ht="15.75" customHeight="1">
      <c r="A257" s="8"/>
      <c r="B257" s="30" t="s">
        <v>683</v>
      </c>
      <c r="C257" s="31" t="s">
        <v>220</v>
      </c>
      <c r="D257" s="31">
        <v>9.0</v>
      </c>
      <c r="E257" s="30">
        <v>19.0</v>
      </c>
      <c r="F257" s="30">
        <v>2.0</v>
      </c>
      <c r="G257" s="32" t="s">
        <v>61</v>
      </c>
      <c r="H257" s="32" t="s">
        <v>194</v>
      </c>
      <c r="I257" s="31" t="s">
        <v>771</v>
      </c>
      <c r="J257" s="31" t="str">
        <f>IFERROR(__xludf.DUMMYFUNCTION("IF(ISBLANK(I257), """", GOOGLETRANSLATE(I257, ""es"", ""en""))"),"Executed value of the project in the fourth quarter")</f>
        <v>Executed value of the project in the fourth quarter</v>
      </c>
      <c r="K257" s="47"/>
    </row>
    <row r="258" ht="15.75" customHeight="1">
      <c r="A258" s="8"/>
      <c r="B258" s="30" t="s">
        <v>684</v>
      </c>
      <c r="C258" s="31" t="s">
        <v>225</v>
      </c>
      <c r="D258" s="31">
        <v>8000.0</v>
      </c>
      <c r="E258" s="30"/>
      <c r="F258" s="30"/>
      <c r="G258" s="32" t="s">
        <v>100</v>
      </c>
      <c r="H258" s="32" t="s">
        <v>195</v>
      </c>
      <c r="I258" s="31" t="s">
        <v>772</v>
      </c>
      <c r="J258" s="31" t="str">
        <f>IFERROR(__xludf.DUMMYFUNCTION("IF(ISBLANK(I258), """", GOOGLETRANSLATE(I258, ""es"", ""en""))"),"Executed value of the project in the fourth quarter in text")</f>
        <v>Executed value of the project in the fourth quarter in text</v>
      </c>
      <c r="K258" s="47"/>
    </row>
    <row r="259" ht="15.75" customHeight="1">
      <c r="A259" s="8"/>
      <c r="B259" s="30" t="s">
        <v>393</v>
      </c>
      <c r="C259" s="31" t="s">
        <v>82</v>
      </c>
      <c r="D259" s="31">
        <v>1.0</v>
      </c>
      <c r="E259" s="30"/>
      <c r="F259" s="30"/>
      <c r="G259" s="32" t="s">
        <v>61</v>
      </c>
      <c r="H259" s="32" t="s">
        <v>696</v>
      </c>
      <c r="I259" s="31" t="s">
        <v>773</v>
      </c>
      <c r="J259" s="31" t="str">
        <f>IFERROR(__xludf.DUMMYFUNCTION("IF(ISBLANK(I259), """", GOOGLETRANSLATE(I259, ""es"", ""en""))"),"Project Origin (P= Prioritization)")</f>
        <v>Project Origin (P= Prioritization)</v>
      </c>
      <c r="K259" s="47"/>
    </row>
    <row r="260" ht="15.75" customHeight="1">
      <c r="A260" s="8"/>
      <c r="B260" s="30" t="s">
        <v>394</v>
      </c>
      <c r="C260" s="31" t="s">
        <v>82</v>
      </c>
      <c r="D260" s="31">
        <v>30.0</v>
      </c>
      <c r="E260" s="30"/>
      <c r="F260" s="30"/>
      <c r="G260" s="32" t="s">
        <v>61</v>
      </c>
      <c r="H260" s="32" t="s">
        <v>697</v>
      </c>
      <c r="I260" s="31" t="s">
        <v>773</v>
      </c>
      <c r="J260" s="31" t="str">
        <f>IFERROR(__xludf.DUMMYFUNCTION("IF(ISBLANK(I260), """", GOOGLETRANSLATE(I260, ""es"", ""en""))"),"Project Origin (P= Prioritization)")</f>
        <v>Project Origin (P= Prioritization)</v>
      </c>
      <c r="K260" s="47"/>
    </row>
    <row r="261" ht="15.75" customHeight="1">
      <c r="A261" s="8"/>
      <c r="B261" s="30" t="s">
        <v>685</v>
      </c>
      <c r="C261" s="31" t="s">
        <v>60</v>
      </c>
      <c r="D261" s="31">
        <v>4.0</v>
      </c>
      <c r="E261" s="30">
        <v>10.0</v>
      </c>
      <c r="F261" s="30">
        <v>0.0</v>
      </c>
      <c r="G261" s="32" t="s">
        <v>61</v>
      </c>
      <c r="H261" s="32">
        <v>22503.0</v>
      </c>
      <c r="I261" s="50" t="s">
        <v>774</v>
      </c>
      <c r="J261" s="50" t="str">
        <f>IFERROR(__xludf.DUMMYFUNCTION("IF(ISBLANK(I261), """", GOOGLETRANSLATE(I261, ""es"", ""en""))"),"Budget Identifier (To be reviewed)")</f>
        <v>Budget Identifier (To be reviewed)</v>
      </c>
      <c r="K261" s="47"/>
    </row>
    <row r="262" ht="15.75" customHeight="1">
      <c r="A262" s="8"/>
      <c r="B262" s="30" t="s">
        <v>54</v>
      </c>
      <c r="C262" s="31" t="s">
        <v>82</v>
      </c>
      <c r="D262" s="31">
        <v>32.0</v>
      </c>
      <c r="E262" s="30"/>
      <c r="F262" s="30"/>
      <c r="G262" s="32" t="s">
        <v>61</v>
      </c>
      <c r="H262" s="32" t="s">
        <v>68</v>
      </c>
      <c r="I262" s="31" t="s">
        <v>153</v>
      </c>
      <c r="J262" s="31" t="str">
        <f>IFERROR(__xludf.DUMMYFUNCTION("IF(ISBLANK(I262), """", GOOGLETRANSLATE(I262, ""es"", ""en""))"),"Registration Status")</f>
        <v>Registration Status</v>
      </c>
      <c r="K262" s="47"/>
    </row>
    <row r="263" ht="15.75" customHeight="1">
      <c r="A263" s="8"/>
      <c r="B263" s="30" t="s">
        <v>55</v>
      </c>
      <c r="C263" s="31" t="s">
        <v>60</v>
      </c>
      <c r="D263" s="31">
        <v>4.0</v>
      </c>
      <c r="E263" s="30">
        <v>10.0</v>
      </c>
      <c r="F263" s="30">
        <v>0.0</v>
      </c>
      <c r="G263" s="32" t="s">
        <v>100</v>
      </c>
      <c r="H263" s="32">
        <v>0.0</v>
      </c>
      <c r="I263" s="31"/>
      <c r="J263" s="31" t="str">
        <f>IFERROR(__xludf.DUMMYFUNCTION("IF(ISBLANK(I263), """", GOOGLETRANSLATE(I263, ""es"", ""en""))"),"")</f>
        <v/>
      </c>
      <c r="K263" s="47"/>
    </row>
    <row r="264" ht="15.75" customHeight="1">
      <c r="A264" s="8"/>
      <c r="B264" s="30" t="s">
        <v>56</v>
      </c>
      <c r="C264" s="31" t="s">
        <v>60</v>
      </c>
      <c r="D264" s="31">
        <v>4.0</v>
      </c>
      <c r="E264" s="30">
        <v>10.0</v>
      </c>
      <c r="F264" s="30">
        <v>0.0</v>
      </c>
      <c r="G264" s="32" t="s">
        <v>61</v>
      </c>
      <c r="H264" s="32">
        <v>100.0</v>
      </c>
      <c r="I264" s="31" t="s">
        <v>101</v>
      </c>
      <c r="J264" s="31" t="str">
        <f>IFERROR(__xludf.DUMMYFUNCTION("IF(ISBLANK(I264), """", GOOGLETRANSLATE(I264, ""es"", ""en""))"),"User who inserted the record, Fields used by the institution for internal use")</f>
        <v>User who inserted the record, Fields used by the institution for internal use</v>
      </c>
      <c r="K264" s="47"/>
    </row>
    <row r="265" ht="15.75" customHeight="1">
      <c r="A265" s="8"/>
      <c r="B265" s="30" t="s">
        <v>57</v>
      </c>
      <c r="C265" s="31" t="s">
        <v>102</v>
      </c>
      <c r="D265" s="31">
        <v>4.0</v>
      </c>
      <c r="E265" s="30"/>
      <c r="F265" s="30"/>
      <c r="G265" s="32" t="s">
        <v>61</v>
      </c>
      <c r="H265" s="44">
        <v>42699.55486111111</v>
      </c>
      <c r="I265" s="31" t="s">
        <v>103</v>
      </c>
      <c r="J265" s="31" t="str">
        <f>IFERROR(__xludf.DUMMYFUNCTION("IF(ISBLANK(I265), """", GOOGLETRANSLATE(I265, ""es"", ""en""))"),"Insertion date, Fields used by the institution for internal use")</f>
        <v>Insertion date, Fields used by the institution for internal use</v>
      </c>
      <c r="K265" s="47"/>
    </row>
    <row r="266" ht="15.75" customHeight="1">
      <c r="A266" s="8"/>
      <c r="B266" s="30" t="s">
        <v>58</v>
      </c>
      <c r="C266" s="31" t="s">
        <v>60</v>
      </c>
      <c r="D266" s="31">
        <v>4.0</v>
      </c>
      <c r="E266" s="30">
        <v>10.0</v>
      </c>
      <c r="F266" s="30">
        <v>0.0</v>
      </c>
      <c r="G266" s="32" t="s">
        <v>100</v>
      </c>
      <c r="H266" s="32">
        <v>100.0</v>
      </c>
      <c r="I266" s="31" t="s">
        <v>104</v>
      </c>
      <c r="J266" s="31" t="str">
        <f>IFERROR(__xludf.DUMMYFUNCTION("IF(ISBLANK(I266), """", GOOGLETRANSLATE(I266, ""es"", ""en""))"),"Update User Callsign")</f>
        <v>Update User Callsign</v>
      </c>
      <c r="K266" s="47"/>
    </row>
    <row r="267" ht="15.75" customHeight="1">
      <c r="A267" s="8"/>
      <c r="B267" s="30" t="s">
        <v>59</v>
      </c>
      <c r="C267" s="31" t="s">
        <v>102</v>
      </c>
      <c r="D267" s="31">
        <v>4.0</v>
      </c>
      <c r="E267" s="30"/>
      <c r="F267" s="30"/>
      <c r="G267" s="32" t="s">
        <v>100</v>
      </c>
      <c r="H267" s="44">
        <v>43060.36388888889</v>
      </c>
      <c r="I267" s="31" t="s">
        <v>105</v>
      </c>
      <c r="J267" s="31" t="str">
        <f>IFERROR(__xludf.DUMMYFUNCTION("IF(ISBLANK(I267), """", GOOGLETRANSLATE(I267, ""es"", ""en""))"),"Update date")</f>
        <v>Update date</v>
      </c>
      <c r="K267" s="47"/>
    </row>
    <row r="268" ht="15.75" customHeight="1">
      <c r="C268" s="4"/>
      <c r="D268" s="4"/>
      <c r="H268" s="3"/>
      <c r="I268" s="4"/>
    </row>
    <row r="269" ht="15.75" customHeight="1">
      <c r="C269" s="4"/>
      <c r="D269" s="4"/>
      <c r="H269" s="3"/>
      <c r="I269" s="4"/>
    </row>
    <row r="270" ht="15.75" customHeight="1">
      <c r="C270" s="4"/>
      <c r="D270" s="4"/>
      <c r="H270" s="3"/>
      <c r="I270" s="4"/>
    </row>
    <row r="271" ht="15.75" customHeight="1">
      <c r="C271" s="4"/>
      <c r="D271" s="4"/>
      <c r="H271" s="3"/>
      <c r="I271" s="4"/>
    </row>
    <row r="272" ht="15.75" customHeight="1">
      <c r="C272" s="4"/>
      <c r="D272" s="4"/>
      <c r="H272" s="3"/>
      <c r="I272" s="4"/>
    </row>
    <row r="273" ht="15.75" customHeight="1">
      <c r="A273" s="17"/>
      <c r="B273" s="38" t="s">
        <v>775</v>
      </c>
      <c r="C273" s="20"/>
      <c r="D273" s="20"/>
      <c r="E273" s="20"/>
      <c r="F273" s="20"/>
      <c r="G273" s="20"/>
      <c r="H273" s="20"/>
      <c r="I273" s="20"/>
      <c r="J273" s="22"/>
    </row>
    <row r="274" ht="33.75" customHeight="1">
      <c r="A274" s="18"/>
      <c r="B274" s="19" t="s">
        <v>776</v>
      </c>
      <c r="C274" s="20"/>
      <c r="D274" s="20"/>
      <c r="E274" s="20"/>
      <c r="F274" s="20"/>
      <c r="G274" s="20"/>
      <c r="H274" s="35" t="str">
        <f>IFERROR(__xludf.DUMMYFUNCTION("IF(ISBLANK(B274), """", GOOGLETRANSLATE(B274, ""es"", ""en""))"),"Projects with physical progress")</f>
        <v>Projects with physical progress</v>
      </c>
      <c r="I274" s="20"/>
      <c r="J274" s="22"/>
      <c r="K274" s="23"/>
      <c r="L274" s="23"/>
      <c r="M274" s="24" t="s">
        <v>33</v>
      </c>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row>
    <row r="275" ht="15.75" customHeight="1">
      <c r="A275" s="25"/>
      <c r="B275" s="26" t="s">
        <v>34</v>
      </c>
      <c r="C275" s="27" t="s">
        <v>35</v>
      </c>
      <c r="D275" s="27" t="s">
        <v>36</v>
      </c>
      <c r="E275" s="26" t="s">
        <v>37</v>
      </c>
      <c r="F275" s="26" t="s">
        <v>38</v>
      </c>
      <c r="G275" s="26" t="s">
        <v>39</v>
      </c>
      <c r="H275" s="28" t="s">
        <v>40</v>
      </c>
      <c r="I275" s="28" t="s">
        <v>41</v>
      </c>
      <c r="J275" s="28" t="s">
        <v>42</v>
      </c>
      <c r="K275" s="40" t="s">
        <v>777</v>
      </c>
      <c r="M275" s="6" t="s">
        <v>778</v>
      </c>
      <c r="N275" s="6" t="s">
        <v>779</v>
      </c>
      <c r="O275" s="6" t="s">
        <v>650</v>
      </c>
      <c r="P275" s="6" t="s">
        <v>157</v>
      </c>
      <c r="Q275" s="6" t="s">
        <v>162</v>
      </c>
      <c r="R275" s="6" t="s">
        <v>780</v>
      </c>
      <c r="S275" s="6" t="s">
        <v>163</v>
      </c>
      <c r="T275" s="6" t="s">
        <v>164</v>
      </c>
      <c r="U275" s="6" t="s">
        <v>165</v>
      </c>
      <c r="V275" s="6" t="s">
        <v>160</v>
      </c>
      <c r="W275" s="6" t="s">
        <v>161</v>
      </c>
      <c r="X275" s="6" t="s">
        <v>781</v>
      </c>
      <c r="Y275" s="6" t="s">
        <v>166</v>
      </c>
      <c r="Z275" s="6" t="s">
        <v>167</v>
      </c>
      <c r="AA275" s="6" t="s">
        <v>782</v>
      </c>
      <c r="AB275" s="6" t="s">
        <v>783</v>
      </c>
      <c r="AC275" s="6" t="s">
        <v>784</v>
      </c>
      <c r="AD275" s="6" t="s">
        <v>785</v>
      </c>
      <c r="AE275" s="6" t="s">
        <v>786</v>
      </c>
      <c r="AF275" s="6" t="s">
        <v>787</v>
      </c>
      <c r="AG275" s="6" t="s">
        <v>788</v>
      </c>
      <c r="AH275" s="6" t="s">
        <v>789</v>
      </c>
      <c r="AI275" s="6" t="s">
        <v>790</v>
      </c>
      <c r="AJ275" s="6" t="s">
        <v>791</v>
      </c>
      <c r="AK275" s="6" t="s">
        <v>792</v>
      </c>
      <c r="AL275" s="6" t="s">
        <v>793</v>
      </c>
      <c r="AM275" s="6" t="s">
        <v>794</v>
      </c>
      <c r="AN275" s="6" t="s">
        <v>795</v>
      </c>
      <c r="AO275" s="6" t="s">
        <v>796</v>
      </c>
      <c r="AP275" s="6" t="s">
        <v>797</v>
      </c>
      <c r="AQ275" s="6" t="s">
        <v>798</v>
      </c>
      <c r="AR275" s="6" t="s">
        <v>799</v>
      </c>
      <c r="AS275" s="6" t="s">
        <v>800</v>
      </c>
      <c r="AT275" s="6" t="s">
        <v>801</v>
      </c>
      <c r="AU275" s="6" t="s">
        <v>802</v>
      </c>
      <c r="AV275" s="6" t="s">
        <v>803</v>
      </c>
      <c r="AW275" s="6" t="s">
        <v>804</v>
      </c>
      <c r="AX275" s="6" t="s">
        <v>805</v>
      </c>
      <c r="AY275" s="6" t="s">
        <v>184</v>
      </c>
      <c r="AZ275" s="6" t="s">
        <v>185</v>
      </c>
      <c r="BA275" s="6" t="s">
        <v>158</v>
      </c>
      <c r="BB275" s="6" t="s">
        <v>248</v>
      </c>
      <c r="BC275" s="6" t="s">
        <v>186</v>
      </c>
      <c r="BD275" s="6" t="s">
        <v>346</v>
      </c>
      <c r="BE275" s="6" t="s">
        <v>249</v>
      </c>
      <c r="BF275" s="6" t="s">
        <v>387</v>
      </c>
      <c r="BG275" s="6" t="s">
        <v>388</v>
      </c>
      <c r="BH275" s="6" t="s">
        <v>54</v>
      </c>
      <c r="BI275" s="6" t="s">
        <v>55</v>
      </c>
      <c r="BJ275" s="6" t="s">
        <v>56</v>
      </c>
      <c r="BK275" s="6" t="s">
        <v>57</v>
      </c>
      <c r="BL275" s="6" t="s">
        <v>58</v>
      </c>
      <c r="BM275" s="6" t="s">
        <v>59</v>
      </c>
    </row>
    <row r="276" ht="15.75" customHeight="1">
      <c r="A276" s="8"/>
      <c r="B276" s="30" t="s">
        <v>778</v>
      </c>
      <c r="C276" s="31" t="s">
        <v>60</v>
      </c>
      <c r="D276" s="31">
        <v>4.0</v>
      </c>
      <c r="E276" s="30">
        <v>10.0</v>
      </c>
      <c r="F276" s="30">
        <v>0.0</v>
      </c>
      <c r="G276" s="32" t="s">
        <v>61</v>
      </c>
      <c r="H276" s="32">
        <v>23.0</v>
      </c>
      <c r="I276" s="31" t="s">
        <v>806</v>
      </c>
      <c r="J276" s="31" t="str">
        <f>IFERROR(__xludf.DUMMYFUNCTION("IF(ISBLANK(I276), """", GOOGLETRANSLATE(I276, ""es"", ""en""))"),"Unique identifier of the Physical Execution")</f>
        <v>Unique identifier of the Physical Execution</v>
      </c>
      <c r="K276" s="54" t="s">
        <v>807</v>
      </c>
      <c r="M276" s="30">
        <v>8.0</v>
      </c>
      <c r="N276" s="30">
        <v>24.0</v>
      </c>
      <c r="O276" s="30">
        <v>2017.0</v>
      </c>
      <c r="P276" s="30">
        <v>15.0</v>
      </c>
      <c r="Q276" s="30">
        <v>6314.0</v>
      </c>
      <c r="R276" s="30">
        <v>58.0</v>
      </c>
      <c r="S276" s="30" t="s">
        <v>808</v>
      </c>
      <c r="T276" s="30">
        <v>30.0</v>
      </c>
      <c r="U276" s="30" t="s">
        <v>809</v>
      </c>
      <c r="V276" s="30">
        <v>0.0</v>
      </c>
      <c r="W276" s="30" t="s">
        <v>810</v>
      </c>
      <c r="X276" s="30">
        <v>0.0</v>
      </c>
      <c r="Y276" s="30" t="s">
        <v>811</v>
      </c>
      <c r="Z276" s="30" t="s">
        <v>811</v>
      </c>
      <c r="AA276" s="30" t="s">
        <v>812</v>
      </c>
      <c r="AB276" s="30" t="s">
        <v>812</v>
      </c>
      <c r="AC276" s="30" t="s">
        <v>812</v>
      </c>
      <c r="AD276" s="30" t="s">
        <v>812</v>
      </c>
      <c r="AE276" s="30" t="s">
        <v>198</v>
      </c>
      <c r="AF276" s="30" t="s">
        <v>198</v>
      </c>
      <c r="AG276" s="30" t="s">
        <v>812</v>
      </c>
      <c r="AH276" s="30" t="s">
        <v>812</v>
      </c>
      <c r="AI276" s="30" t="s">
        <v>812</v>
      </c>
      <c r="AJ276" s="30" t="s">
        <v>812</v>
      </c>
      <c r="AK276" s="30" t="s">
        <v>198</v>
      </c>
      <c r="AL276" s="30" t="s">
        <v>198</v>
      </c>
      <c r="AM276" s="30" t="s">
        <v>812</v>
      </c>
      <c r="AN276" s="30" t="s">
        <v>812</v>
      </c>
      <c r="AO276" s="30" t="s">
        <v>812</v>
      </c>
      <c r="AP276" s="30" t="s">
        <v>812</v>
      </c>
      <c r="AQ276" s="30" t="s">
        <v>812</v>
      </c>
      <c r="AR276" s="30" t="s">
        <v>812</v>
      </c>
      <c r="AS276" s="30" t="s">
        <v>812</v>
      </c>
      <c r="AT276" s="30" t="s">
        <v>812</v>
      </c>
      <c r="AU276" s="30" t="s">
        <v>812</v>
      </c>
      <c r="AV276" s="30" t="s">
        <v>812</v>
      </c>
      <c r="AW276" s="30" t="s">
        <v>812</v>
      </c>
      <c r="AX276" s="30" t="s">
        <v>812</v>
      </c>
      <c r="AY276" s="30" t="s">
        <v>811</v>
      </c>
      <c r="AZ276" s="30" t="s">
        <v>811</v>
      </c>
      <c r="BA276" s="30">
        <v>3907.0</v>
      </c>
      <c r="BB276" s="30" t="s">
        <v>813</v>
      </c>
      <c r="BC276" s="30">
        <v>4062.0</v>
      </c>
      <c r="BD276" s="30">
        <v>13880.0</v>
      </c>
      <c r="BE276" s="30" t="s">
        <v>189</v>
      </c>
      <c r="BF276" s="30" t="s">
        <v>422</v>
      </c>
      <c r="BG276" s="30" t="s">
        <v>423</v>
      </c>
      <c r="BH276" s="30" t="s">
        <v>68</v>
      </c>
      <c r="BI276" s="30">
        <v>0.0</v>
      </c>
      <c r="BJ276" s="30">
        <v>41.0</v>
      </c>
      <c r="BK276" s="33">
        <v>42674.59861111111</v>
      </c>
      <c r="BL276" s="30">
        <v>41.0</v>
      </c>
      <c r="BM276" s="33">
        <v>42674.59930555556</v>
      </c>
    </row>
    <row r="277" ht="15.75" customHeight="1">
      <c r="A277" s="8"/>
      <c r="B277" s="30" t="s">
        <v>779</v>
      </c>
      <c r="C277" s="31" t="s">
        <v>60</v>
      </c>
      <c r="D277" s="31">
        <v>4.0</v>
      </c>
      <c r="E277" s="30">
        <v>10.0</v>
      </c>
      <c r="F277" s="30">
        <v>0.0</v>
      </c>
      <c r="G277" s="32" t="s">
        <v>61</v>
      </c>
      <c r="H277" s="32">
        <v>39.0</v>
      </c>
      <c r="I277" s="31" t="s">
        <v>814</v>
      </c>
      <c r="J277" s="31" t="str">
        <f>IFERROR(__xludf.DUMMYFUNCTION("IF(ISBLANK(I277), """", GOOGLETRANSLATE(I277, ""es"", ""en""))"),"Document identifier (To be reviewed)")</f>
        <v>Document identifier (To be reviewed)</v>
      </c>
      <c r="M277" s="30">
        <v>10.0</v>
      </c>
      <c r="N277" s="30">
        <v>26.0</v>
      </c>
      <c r="O277" s="30">
        <v>2017.0</v>
      </c>
      <c r="P277" s="30">
        <v>17.0</v>
      </c>
      <c r="Q277" s="30">
        <v>6316.0</v>
      </c>
      <c r="R277" s="30">
        <v>58.0</v>
      </c>
      <c r="S277" s="30" t="s">
        <v>808</v>
      </c>
      <c r="T277" s="30">
        <v>30.0</v>
      </c>
      <c r="U277" s="30" t="s">
        <v>809</v>
      </c>
      <c r="V277" s="30">
        <v>0.0</v>
      </c>
      <c r="W277" s="30" t="s">
        <v>810</v>
      </c>
      <c r="X277" s="30">
        <v>0.0</v>
      </c>
      <c r="Y277" s="30" t="s">
        <v>815</v>
      </c>
      <c r="Z277" s="30" t="s">
        <v>815</v>
      </c>
      <c r="AA277" s="30" t="s">
        <v>198</v>
      </c>
      <c r="AB277" s="30" t="s">
        <v>198</v>
      </c>
      <c r="AC277" s="30" t="s">
        <v>198</v>
      </c>
      <c r="AD277" s="30" t="s">
        <v>198</v>
      </c>
      <c r="AE277" s="30" t="s">
        <v>198</v>
      </c>
      <c r="AF277" s="30" t="s">
        <v>198</v>
      </c>
      <c r="AG277" s="30" t="s">
        <v>198</v>
      </c>
      <c r="AH277" s="30" t="s">
        <v>198</v>
      </c>
      <c r="AI277" s="30" t="s">
        <v>816</v>
      </c>
      <c r="AJ277" s="30" t="s">
        <v>816</v>
      </c>
      <c r="AK277" s="30" t="s">
        <v>198</v>
      </c>
      <c r="AL277" s="30" t="s">
        <v>198</v>
      </c>
      <c r="AM277" s="30" t="s">
        <v>198</v>
      </c>
      <c r="AN277" s="30" t="s">
        <v>198</v>
      </c>
      <c r="AO277" s="30" t="s">
        <v>198</v>
      </c>
      <c r="AP277" s="30" t="s">
        <v>198</v>
      </c>
      <c r="AQ277" s="30" t="s">
        <v>198</v>
      </c>
      <c r="AR277" s="30" t="s">
        <v>198</v>
      </c>
      <c r="AS277" s="30" t="s">
        <v>198</v>
      </c>
      <c r="AT277" s="30" t="s">
        <v>198</v>
      </c>
      <c r="AU277" s="30" t="s">
        <v>198</v>
      </c>
      <c r="AV277" s="30" t="s">
        <v>198</v>
      </c>
      <c r="AW277" s="30" t="s">
        <v>198</v>
      </c>
      <c r="AX277" s="30" t="s">
        <v>198</v>
      </c>
      <c r="AY277" s="30" t="s">
        <v>815</v>
      </c>
      <c r="AZ277" s="30" t="s">
        <v>815</v>
      </c>
      <c r="BA277" s="30">
        <v>3911.0</v>
      </c>
      <c r="BB277" s="30" t="s">
        <v>817</v>
      </c>
      <c r="BC277" s="30">
        <v>4069.0</v>
      </c>
      <c r="BD277" s="30">
        <v>13896.0</v>
      </c>
      <c r="BE277" s="30" t="s">
        <v>189</v>
      </c>
      <c r="BF277" s="30" t="s">
        <v>422</v>
      </c>
      <c r="BG277" s="30" t="s">
        <v>423</v>
      </c>
      <c r="BH277" s="30" t="s">
        <v>68</v>
      </c>
      <c r="BI277" s="30">
        <v>0.0</v>
      </c>
      <c r="BJ277" s="30">
        <v>41.0</v>
      </c>
      <c r="BK277" s="33">
        <v>42674.61388888889</v>
      </c>
      <c r="BL277" s="30">
        <v>41.0</v>
      </c>
      <c r="BM277" s="33">
        <v>42674.61388888889</v>
      </c>
    </row>
    <row r="278" ht="15.75" customHeight="1">
      <c r="A278" s="8"/>
      <c r="B278" s="30" t="s">
        <v>650</v>
      </c>
      <c r="C278" s="31" t="s">
        <v>60</v>
      </c>
      <c r="D278" s="31">
        <v>4.0</v>
      </c>
      <c r="E278" s="30">
        <v>10.0</v>
      </c>
      <c r="F278" s="30">
        <v>0.0</v>
      </c>
      <c r="G278" s="32" t="s">
        <v>61</v>
      </c>
      <c r="H278" s="32">
        <v>2017.0</v>
      </c>
      <c r="I278" s="31" t="s">
        <v>818</v>
      </c>
      <c r="J278" s="31" t="str">
        <f>IFERROR(__xludf.DUMMYFUNCTION("IF(ISBLANK(I278), """", GOOGLETRANSLATE(I278, ""es"", ""en""))"),"Reporting Period or Year")</f>
        <v>Reporting Period or Year</v>
      </c>
      <c r="M278" s="30">
        <v>23.0</v>
      </c>
      <c r="N278" s="30">
        <v>39.0</v>
      </c>
      <c r="O278" s="30">
        <v>2017.0</v>
      </c>
      <c r="P278" s="30">
        <v>30.0</v>
      </c>
      <c r="Q278" s="30">
        <v>6329.0</v>
      </c>
      <c r="R278" s="30">
        <v>58.0</v>
      </c>
      <c r="S278" s="30" t="s">
        <v>808</v>
      </c>
      <c r="T278" s="30">
        <v>30.0</v>
      </c>
      <c r="U278" s="30" t="s">
        <v>809</v>
      </c>
      <c r="V278" s="30">
        <v>0.0</v>
      </c>
      <c r="W278" s="30" t="s">
        <v>810</v>
      </c>
      <c r="X278" s="30">
        <v>0.0</v>
      </c>
      <c r="Y278" s="30" t="s">
        <v>819</v>
      </c>
      <c r="Z278" s="30" t="s">
        <v>819</v>
      </c>
      <c r="AA278" s="30" t="s">
        <v>820</v>
      </c>
      <c r="AB278" s="30" t="s">
        <v>820</v>
      </c>
      <c r="AC278" s="30" t="s">
        <v>820</v>
      </c>
      <c r="AD278" s="30" t="s">
        <v>820</v>
      </c>
      <c r="AE278" s="30" t="s">
        <v>820</v>
      </c>
      <c r="AF278" s="30" t="s">
        <v>820</v>
      </c>
      <c r="AG278" s="30" t="s">
        <v>820</v>
      </c>
      <c r="AH278" s="30" t="s">
        <v>820</v>
      </c>
      <c r="AI278" s="30" t="s">
        <v>820</v>
      </c>
      <c r="AJ278" s="30" t="s">
        <v>820</v>
      </c>
      <c r="AK278" s="30" t="s">
        <v>821</v>
      </c>
      <c r="AL278" s="30" t="s">
        <v>821</v>
      </c>
      <c r="AM278" s="30" t="s">
        <v>820</v>
      </c>
      <c r="AN278" s="30" t="s">
        <v>820</v>
      </c>
      <c r="AO278" s="30" t="s">
        <v>820</v>
      </c>
      <c r="AP278" s="30" t="s">
        <v>820</v>
      </c>
      <c r="AQ278" s="30" t="s">
        <v>820</v>
      </c>
      <c r="AR278" s="30" t="s">
        <v>820</v>
      </c>
      <c r="AS278" s="30" t="s">
        <v>820</v>
      </c>
      <c r="AT278" s="30" t="s">
        <v>820</v>
      </c>
      <c r="AU278" s="30" t="s">
        <v>820</v>
      </c>
      <c r="AV278" s="30" t="s">
        <v>820</v>
      </c>
      <c r="AW278" s="30" t="s">
        <v>820</v>
      </c>
      <c r="AX278" s="30" t="s">
        <v>820</v>
      </c>
      <c r="AY278" s="30" t="s">
        <v>819</v>
      </c>
      <c r="AZ278" s="30" t="s">
        <v>819</v>
      </c>
      <c r="BA278" s="30">
        <v>3922.0</v>
      </c>
      <c r="BB278" s="30" t="s">
        <v>822</v>
      </c>
      <c r="BC278" s="30">
        <v>4081.0</v>
      </c>
      <c r="BD278" s="30">
        <v>13879.0</v>
      </c>
      <c r="BE278" s="30" t="s">
        <v>189</v>
      </c>
      <c r="BF278" s="30" t="s">
        <v>422</v>
      </c>
      <c r="BG278" s="30" t="s">
        <v>423</v>
      </c>
      <c r="BH278" s="30" t="s">
        <v>68</v>
      </c>
      <c r="BI278" s="30">
        <v>0.0</v>
      </c>
      <c r="BJ278" s="30">
        <v>41.0</v>
      </c>
      <c r="BK278" s="33">
        <v>42675.38888888889</v>
      </c>
      <c r="BL278" s="30">
        <v>41.0</v>
      </c>
      <c r="BM278" s="33">
        <v>42675.38888888889</v>
      </c>
    </row>
    <row r="279" ht="15.75" customHeight="1">
      <c r="A279" s="8"/>
      <c r="B279" s="30" t="s">
        <v>157</v>
      </c>
      <c r="C279" s="31" t="s">
        <v>60</v>
      </c>
      <c r="D279" s="31">
        <v>4.0</v>
      </c>
      <c r="E279" s="30">
        <v>10.0</v>
      </c>
      <c r="F279" s="30">
        <v>0.0</v>
      </c>
      <c r="G279" s="32" t="s">
        <v>61</v>
      </c>
      <c r="H279" s="32">
        <v>30.0</v>
      </c>
      <c r="I279" s="31" t="s">
        <v>187</v>
      </c>
      <c r="J279" s="31" t="str">
        <f>IFERROR(__xludf.DUMMYFUNCTION("IF(ISBLANK(I279), """", GOOGLETRANSLATE(I279, ""es"", ""en""))"),"Project Physical Schedule Identifier")</f>
        <v>Project Physical Schedule Identifier</v>
      </c>
      <c r="M279" s="30">
        <v>31.0</v>
      </c>
      <c r="N279" s="30">
        <v>47.0</v>
      </c>
      <c r="O279" s="30">
        <v>2017.0</v>
      </c>
      <c r="P279" s="30">
        <v>39.0</v>
      </c>
      <c r="Q279" s="30">
        <v>6338.0</v>
      </c>
      <c r="R279" s="30">
        <v>58.0</v>
      </c>
      <c r="S279" s="30" t="s">
        <v>808</v>
      </c>
      <c r="T279" s="30">
        <v>30.0</v>
      </c>
      <c r="U279" s="30" t="s">
        <v>809</v>
      </c>
      <c r="V279" s="30">
        <v>0.0</v>
      </c>
      <c r="W279" s="30" t="s">
        <v>810</v>
      </c>
      <c r="X279" s="30">
        <v>0.0</v>
      </c>
      <c r="Y279" s="30" t="s">
        <v>815</v>
      </c>
      <c r="Z279" s="30" t="s">
        <v>815</v>
      </c>
      <c r="AA279" s="30" t="s">
        <v>198</v>
      </c>
      <c r="AB279" s="30" t="s">
        <v>198</v>
      </c>
      <c r="AC279" s="30" t="s">
        <v>198</v>
      </c>
      <c r="AD279" s="30" t="s">
        <v>198</v>
      </c>
      <c r="AE279" s="30" t="s">
        <v>198</v>
      </c>
      <c r="AF279" s="30" t="s">
        <v>198</v>
      </c>
      <c r="AG279" s="30" t="s">
        <v>198</v>
      </c>
      <c r="AH279" s="30" t="s">
        <v>198</v>
      </c>
      <c r="AI279" s="30" t="s">
        <v>823</v>
      </c>
      <c r="AJ279" s="30" t="s">
        <v>823</v>
      </c>
      <c r="AK279" s="30" t="s">
        <v>198</v>
      </c>
      <c r="AL279" s="30" t="s">
        <v>198</v>
      </c>
      <c r="AM279" s="30" t="s">
        <v>198</v>
      </c>
      <c r="AN279" s="30" t="s">
        <v>198</v>
      </c>
      <c r="AO279" s="30" t="s">
        <v>198</v>
      </c>
      <c r="AP279" s="30" t="s">
        <v>198</v>
      </c>
      <c r="AQ279" s="30" t="s">
        <v>198</v>
      </c>
      <c r="AR279" s="30" t="s">
        <v>198</v>
      </c>
      <c r="AS279" s="30" t="s">
        <v>198</v>
      </c>
      <c r="AT279" s="30" t="s">
        <v>198</v>
      </c>
      <c r="AU279" s="30" t="s">
        <v>823</v>
      </c>
      <c r="AV279" s="30" t="s">
        <v>823</v>
      </c>
      <c r="AW279" s="30" t="s">
        <v>198</v>
      </c>
      <c r="AX279" s="30" t="s">
        <v>198</v>
      </c>
      <c r="AY279" s="30" t="s">
        <v>815</v>
      </c>
      <c r="AZ279" s="30" t="s">
        <v>815</v>
      </c>
      <c r="BA279" s="30">
        <v>3935.0</v>
      </c>
      <c r="BB279" s="30" t="s">
        <v>824</v>
      </c>
      <c r="BC279" s="30">
        <v>4096.0</v>
      </c>
      <c r="BD279" s="30">
        <v>13890.0</v>
      </c>
      <c r="BE279" s="30" t="s">
        <v>189</v>
      </c>
      <c r="BF279" s="30" t="s">
        <v>422</v>
      </c>
      <c r="BG279" s="30" t="s">
        <v>423</v>
      </c>
      <c r="BH279" s="30" t="s">
        <v>68</v>
      </c>
      <c r="BI279" s="30">
        <v>0.0</v>
      </c>
      <c r="BJ279" s="30">
        <v>41.0</v>
      </c>
      <c r="BK279" s="33">
        <v>42675.40902777778</v>
      </c>
      <c r="BL279" s="30">
        <v>41.0</v>
      </c>
      <c r="BM279" s="33">
        <v>42675.40972222222</v>
      </c>
    </row>
    <row r="280" ht="15.75" customHeight="1">
      <c r="A280" s="8"/>
      <c r="B280" s="30" t="s">
        <v>162</v>
      </c>
      <c r="C280" s="31" t="s">
        <v>60</v>
      </c>
      <c r="D280" s="31">
        <v>4.0</v>
      </c>
      <c r="E280" s="30">
        <v>10.0</v>
      </c>
      <c r="F280" s="30">
        <v>0.0</v>
      </c>
      <c r="G280" s="32" t="s">
        <v>100</v>
      </c>
      <c r="H280" s="32">
        <v>6329.0</v>
      </c>
      <c r="I280" s="31" t="s">
        <v>209</v>
      </c>
      <c r="J280" s="31" t="str">
        <f>IFERROR(__xludf.DUMMYFUNCTION("IF(ISBLANK(I280), """", GOOGLETRANSLATE(I280, ""es"", ""en""))"),"Product identifier")</f>
        <v>Product identifier</v>
      </c>
      <c r="M280" s="30">
        <v>33.0</v>
      </c>
      <c r="N280" s="30">
        <v>50.0</v>
      </c>
      <c r="O280" s="30">
        <v>2017.0</v>
      </c>
      <c r="P280" s="30">
        <v>41.0</v>
      </c>
      <c r="Q280" s="30">
        <v>6340.0</v>
      </c>
      <c r="R280" s="30">
        <v>58.0</v>
      </c>
      <c r="S280" s="30" t="s">
        <v>808</v>
      </c>
      <c r="T280" s="30">
        <v>30.0</v>
      </c>
      <c r="U280" s="30" t="s">
        <v>809</v>
      </c>
      <c r="V280" s="30">
        <v>0.0</v>
      </c>
      <c r="W280" s="30" t="s">
        <v>810</v>
      </c>
      <c r="X280" s="30">
        <v>0.0</v>
      </c>
      <c r="Y280" s="30" t="s">
        <v>811</v>
      </c>
      <c r="Z280" s="30" t="s">
        <v>811</v>
      </c>
      <c r="AA280" s="30" t="s">
        <v>812</v>
      </c>
      <c r="AB280" s="30" t="s">
        <v>812</v>
      </c>
      <c r="AC280" s="30" t="s">
        <v>812</v>
      </c>
      <c r="AD280" s="30" t="s">
        <v>812</v>
      </c>
      <c r="AE280" s="30" t="s">
        <v>812</v>
      </c>
      <c r="AF280" s="30" t="s">
        <v>812</v>
      </c>
      <c r="AG280" s="30" t="s">
        <v>812</v>
      </c>
      <c r="AH280" s="30" t="s">
        <v>812</v>
      </c>
      <c r="AI280" s="30" t="s">
        <v>198</v>
      </c>
      <c r="AJ280" s="30" t="s">
        <v>198</v>
      </c>
      <c r="AK280" s="30" t="s">
        <v>812</v>
      </c>
      <c r="AL280" s="30" t="s">
        <v>812</v>
      </c>
      <c r="AM280" s="30" t="s">
        <v>812</v>
      </c>
      <c r="AN280" s="30" t="s">
        <v>812</v>
      </c>
      <c r="AO280" s="30" t="s">
        <v>198</v>
      </c>
      <c r="AP280" s="30" t="s">
        <v>198</v>
      </c>
      <c r="AQ280" s="30" t="s">
        <v>812</v>
      </c>
      <c r="AR280" s="30" t="s">
        <v>812</v>
      </c>
      <c r="AS280" s="30" t="s">
        <v>812</v>
      </c>
      <c r="AT280" s="30" t="s">
        <v>812</v>
      </c>
      <c r="AU280" s="30" t="s">
        <v>812</v>
      </c>
      <c r="AV280" s="30" t="s">
        <v>812</v>
      </c>
      <c r="AW280" s="30" t="s">
        <v>812</v>
      </c>
      <c r="AX280" s="30" t="s">
        <v>812</v>
      </c>
      <c r="AY280" s="30" t="s">
        <v>811</v>
      </c>
      <c r="AZ280" s="30" t="s">
        <v>811</v>
      </c>
      <c r="BA280" s="30">
        <v>3928.0</v>
      </c>
      <c r="BB280" s="30" t="s">
        <v>825</v>
      </c>
      <c r="BC280" s="30">
        <v>4089.0</v>
      </c>
      <c r="BD280" s="30">
        <v>13894.0</v>
      </c>
      <c r="BE280" s="30" t="s">
        <v>189</v>
      </c>
      <c r="BF280" s="30" t="s">
        <v>422</v>
      </c>
      <c r="BG280" s="30" t="s">
        <v>423</v>
      </c>
      <c r="BH280" s="30" t="s">
        <v>68</v>
      </c>
      <c r="BI280" s="30">
        <v>0.0</v>
      </c>
      <c r="BJ280" s="30">
        <v>41.0</v>
      </c>
      <c r="BK280" s="33">
        <v>42675.41388888889</v>
      </c>
      <c r="BL280" s="30">
        <v>41.0</v>
      </c>
      <c r="BM280" s="33">
        <v>42675.41458333333</v>
      </c>
    </row>
    <row r="281" ht="15.75" customHeight="1">
      <c r="A281" s="8"/>
      <c r="B281" s="30" t="s">
        <v>780</v>
      </c>
      <c r="C281" s="31" t="s">
        <v>60</v>
      </c>
      <c r="D281" s="31">
        <v>4.0</v>
      </c>
      <c r="E281" s="30">
        <v>10.0</v>
      </c>
      <c r="F281" s="30">
        <v>0.0</v>
      </c>
      <c r="G281" s="32" t="s">
        <v>61</v>
      </c>
      <c r="H281" s="32">
        <v>58.0</v>
      </c>
      <c r="I281" s="31" t="s">
        <v>826</v>
      </c>
      <c r="J281" s="31" t="str">
        <f>IFERROR(__xludf.DUMMYFUNCTION("IF(ISBLANK(I281), """", GOOGLETRANSLATE(I281, ""es"", ""en""))"),"Product identifier cla (To be reviewed)")</f>
        <v>Product identifier cla (To be reviewed)</v>
      </c>
      <c r="M281" s="30">
        <v>37.0</v>
      </c>
      <c r="N281" s="30">
        <v>49.0</v>
      </c>
      <c r="O281" s="30">
        <v>2017.0</v>
      </c>
      <c r="P281" s="30">
        <v>45.0</v>
      </c>
      <c r="Q281" s="30">
        <v>6345.0</v>
      </c>
      <c r="R281" s="30">
        <v>58.0</v>
      </c>
      <c r="S281" s="30" t="s">
        <v>808</v>
      </c>
      <c r="T281" s="30">
        <v>30.0</v>
      </c>
      <c r="U281" s="30" t="s">
        <v>809</v>
      </c>
      <c r="V281" s="30">
        <v>0.0</v>
      </c>
      <c r="W281" s="30" t="s">
        <v>810</v>
      </c>
      <c r="X281" s="30">
        <v>0.0</v>
      </c>
      <c r="Y281" s="30" t="s">
        <v>815</v>
      </c>
      <c r="Z281" s="30" t="s">
        <v>815</v>
      </c>
      <c r="AA281" s="30" t="s">
        <v>198</v>
      </c>
      <c r="AB281" s="30" t="s">
        <v>198</v>
      </c>
      <c r="AC281" s="30" t="s">
        <v>198</v>
      </c>
      <c r="AD281" s="30" t="s">
        <v>198</v>
      </c>
      <c r="AE281" s="30" t="s">
        <v>198</v>
      </c>
      <c r="AF281" s="30" t="s">
        <v>198</v>
      </c>
      <c r="AG281" s="30" t="s">
        <v>198</v>
      </c>
      <c r="AH281" s="30" t="s">
        <v>198</v>
      </c>
      <c r="AI281" s="30" t="s">
        <v>823</v>
      </c>
      <c r="AJ281" s="30" t="s">
        <v>823</v>
      </c>
      <c r="AK281" s="30" t="s">
        <v>198</v>
      </c>
      <c r="AL281" s="30" t="s">
        <v>198</v>
      </c>
      <c r="AM281" s="30" t="s">
        <v>198</v>
      </c>
      <c r="AN281" s="30" t="s">
        <v>198</v>
      </c>
      <c r="AO281" s="30" t="s">
        <v>823</v>
      </c>
      <c r="AP281" s="30" t="s">
        <v>823</v>
      </c>
      <c r="AQ281" s="30" t="s">
        <v>198</v>
      </c>
      <c r="AR281" s="30" t="s">
        <v>198</v>
      </c>
      <c r="AS281" s="30" t="s">
        <v>198</v>
      </c>
      <c r="AT281" s="30" t="s">
        <v>198</v>
      </c>
      <c r="AU281" s="30" t="s">
        <v>198</v>
      </c>
      <c r="AV281" s="30" t="s">
        <v>198</v>
      </c>
      <c r="AW281" s="30" t="s">
        <v>198</v>
      </c>
      <c r="AX281" s="30" t="s">
        <v>198</v>
      </c>
      <c r="AY281" s="30" t="s">
        <v>815</v>
      </c>
      <c r="AZ281" s="30" t="s">
        <v>815</v>
      </c>
      <c r="BA281" s="30">
        <v>3938.0</v>
      </c>
      <c r="BB281" s="30" t="s">
        <v>827</v>
      </c>
      <c r="BC281" s="30">
        <v>4100.0</v>
      </c>
      <c r="BD281" s="30">
        <v>13892.0</v>
      </c>
      <c r="BE281" s="30" t="s">
        <v>189</v>
      </c>
      <c r="BF281" s="30" t="s">
        <v>422</v>
      </c>
      <c r="BG281" s="30" t="s">
        <v>423</v>
      </c>
      <c r="BH281" s="30" t="s">
        <v>68</v>
      </c>
      <c r="BI281" s="30">
        <v>0.0</v>
      </c>
      <c r="BJ281" s="30">
        <v>41.0</v>
      </c>
      <c r="BK281" s="33">
        <v>42675.42013888889</v>
      </c>
      <c r="BL281" s="30">
        <v>41.0</v>
      </c>
      <c r="BM281" s="33">
        <v>42675.42083333333</v>
      </c>
    </row>
    <row r="282" ht="15.75" customHeight="1">
      <c r="A282" s="8"/>
      <c r="B282" s="30" t="s">
        <v>163</v>
      </c>
      <c r="C282" s="31" t="s">
        <v>82</v>
      </c>
      <c r="D282" s="31">
        <v>200.0</v>
      </c>
      <c r="E282" s="30"/>
      <c r="F282" s="30"/>
      <c r="G282" s="32" t="s">
        <v>61</v>
      </c>
      <c r="H282" s="32" t="s">
        <v>808</v>
      </c>
      <c r="I282" s="31" t="s">
        <v>212</v>
      </c>
      <c r="J282" s="31" t="str">
        <f>IFERROR(__xludf.DUMMYFUNCTION("IF(ISBLANK(I282), """", GOOGLETRANSLATE(I282, ""es"", ""en""))"),"Product description")</f>
        <v>Product description</v>
      </c>
      <c r="M282" s="30">
        <v>77.0</v>
      </c>
      <c r="N282" s="30">
        <v>66.0</v>
      </c>
      <c r="O282" s="30">
        <v>2017.0</v>
      </c>
      <c r="P282" s="30">
        <v>214.0</v>
      </c>
      <c r="Q282" s="30">
        <v>9153.0</v>
      </c>
      <c r="R282" s="30">
        <v>75.0</v>
      </c>
      <c r="S282" s="30" t="s">
        <v>828</v>
      </c>
      <c r="T282" s="30">
        <v>50.0</v>
      </c>
      <c r="U282" s="30" t="s">
        <v>829</v>
      </c>
      <c r="V282" s="30">
        <v>0.0</v>
      </c>
      <c r="W282" s="30" t="s">
        <v>810</v>
      </c>
      <c r="X282" s="30">
        <v>0.0</v>
      </c>
      <c r="Y282" s="30" t="s">
        <v>830</v>
      </c>
      <c r="Z282" s="30" t="s">
        <v>831</v>
      </c>
      <c r="AA282" s="30" t="s">
        <v>832</v>
      </c>
      <c r="AB282" s="30" t="s">
        <v>832</v>
      </c>
      <c r="AC282" s="30" t="s">
        <v>832</v>
      </c>
      <c r="AD282" s="30" t="s">
        <v>832</v>
      </c>
      <c r="AE282" s="30" t="s">
        <v>832</v>
      </c>
      <c r="AF282" s="30" t="s">
        <v>832</v>
      </c>
      <c r="AG282" s="30" t="s">
        <v>832</v>
      </c>
      <c r="AH282" s="30" t="s">
        <v>832</v>
      </c>
      <c r="AI282" s="30" t="s">
        <v>832</v>
      </c>
      <c r="AJ282" s="30" t="s">
        <v>832</v>
      </c>
      <c r="AK282" s="30" t="s">
        <v>832</v>
      </c>
      <c r="AL282" s="30" t="s">
        <v>832</v>
      </c>
      <c r="AM282" s="30" t="s">
        <v>832</v>
      </c>
      <c r="AN282" s="30" t="s">
        <v>832</v>
      </c>
      <c r="AO282" s="30" t="s">
        <v>833</v>
      </c>
      <c r="AP282" s="30" t="s">
        <v>833</v>
      </c>
      <c r="AQ282" s="30" t="s">
        <v>833</v>
      </c>
      <c r="AR282" s="30" t="s">
        <v>833</v>
      </c>
      <c r="AS282" s="30" t="s">
        <v>833</v>
      </c>
      <c r="AT282" s="30" t="s">
        <v>833</v>
      </c>
      <c r="AU282" s="30" t="s">
        <v>833</v>
      </c>
      <c r="AV282" s="30" t="s">
        <v>833</v>
      </c>
      <c r="AW282" s="30" t="s">
        <v>834</v>
      </c>
      <c r="AX282" s="30" t="s">
        <v>835</v>
      </c>
      <c r="AY282" s="30" t="s">
        <v>830</v>
      </c>
      <c r="AZ282" s="30" t="s">
        <v>831</v>
      </c>
      <c r="BA282" s="30">
        <v>67.0</v>
      </c>
      <c r="BB282" s="30" t="s">
        <v>836</v>
      </c>
      <c r="BC282" s="30">
        <v>60.0</v>
      </c>
      <c r="BD282" s="30">
        <v>12342.0</v>
      </c>
      <c r="BE282" s="30" t="s">
        <v>189</v>
      </c>
      <c r="BF282" s="30" t="s">
        <v>422</v>
      </c>
      <c r="BG282" s="30" t="s">
        <v>423</v>
      </c>
      <c r="BH282" s="30" t="s">
        <v>68</v>
      </c>
      <c r="BI282" s="30">
        <v>0.0</v>
      </c>
      <c r="BJ282" s="30">
        <v>139.0</v>
      </c>
      <c r="BK282" s="33">
        <v>42695.55486111111</v>
      </c>
      <c r="BL282" s="30">
        <v>36.0</v>
      </c>
      <c r="BM282" s="33">
        <v>42732.69027777778</v>
      </c>
    </row>
    <row r="283" ht="15.75" customHeight="1">
      <c r="A283" s="8"/>
      <c r="B283" s="30" t="s">
        <v>164</v>
      </c>
      <c r="C283" s="31" t="s">
        <v>60</v>
      </c>
      <c r="D283" s="31">
        <v>4.0</v>
      </c>
      <c r="E283" s="30">
        <v>10.0</v>
      </c>
      <c r="F283" s="30">
        <v>0.0</v>
      </c>
      <c r="G283" s="32" t="s">
        <v>100</v>
      </c>
      <c r="H283" s="32">
        <v>30.0</v>
      </c>
      <c r="I283" s="31" t="s">
        <v>837</v>
      </c>
      <c r="J283" s="31" t="str">
        <f>IFERROR(__xludf.DUMMYFUNCTION("IF(ISBLANK(I283), """", GOOGLETRANSLATE(I283, ""es"", ""en""))"),"Product unit of measure identifier")</f>
        <v>Product unit of measure identifier</v>
      </c>
      <c r="M283" s="30">
        <v>79.0</v>
      </c>
      <c r="N283" s="30">
        <v>69.0</v>
      </c>
      <c r="O283" s="30">
        <v>2017.0</v>
      </c>
      <c r="P283" s="30">
        <v>102.0</v>
      </c>
      <c r="Q283" s="30">
        <v>6492.0</v>
      </c>
      <c r="R283" s="30">
        <v>99.0</v>
      </c>
      <c r="S283" s="30" t="s">
        <v>838</v>
      </c>
      <c r="T283" s="30">
        <v>11.0</v>
      </c>
      <c r="U283" s="30" t="s">
        <v>839</v>
      </c>
      <c r="V283" s="30">
        <v>0.0</v>
      </c>
      <c r="W283" s="30" t="s">
        <v>810</v>
      </c>
      <c r="X283" s="30">
        <v>0.0</v>
      </c>
      <c r="Y283" s="30" t="s">
        <v>840</v>
      </c>
      <c r="Z283" s="30" t="s">
        <v>841</v>
      </c>
      <c r="AA283" s="30" t="s">
        <v>194</v>
      </c>
      <c r="AB283" s="30" t="s">
        <v>195</v>
      </c>
      <c r="AC283" s="30" t="s">
        <v>194</v>
      </c>
      <c r="AD283" s="30" t="s">
        <v>195</v>
      </c>
      <c r="AE283" s="30" t="s">
        <v>194</v>
      </c>
      <c r="AF283" s="30" t="s">
        <v>195</v>
      </c>
      <c r="AG283" s="30" t="s">
        <v>194</v>
      </c>
      <c r="AH283" s="30" t="s">
        <v>195</v>
      </c>
      <c r="AI283" s="30" t="s">
        <v>194</v>
      </c>
      <c r="AJ283" s="30" t="s">
        <v>195</v>
      </c>
      <c r="AK283" s="30" t="s">
        <v>194</v>
      </c>
      <c r="AL283" s="30" t="s">
        <v>195</v>
      </c>
      <c r="AM283" s="30" t="s">
        <v>194</v>
      </c>
      <c r="AN283" s="30" t="s">
        <v>195</v>
      </c>
      <c r="AO283" s="30" t="s">
        <v>194</v>
      </c>
      <c r="AP283" s="30" t="s">
        <v>195</v>
      </c>
      <c r="AQ283" s="30" t="s">
        <v>194</v>
      </c>
      <c r="AR283" s="30" t="s">
        <v>195</v>
      </c>
      <c r="AS283" s="30" t="s">
        <v>194</v>
      </c>
      <c r="AT283" s="30" t="s">
        <v>195</v>
      </c>
      <c r="AU283" s="30" t="s">
        <v>194</v>
      </c>
      <c r="AV283" s="30" t="s">
        <v>195</v>
      </c>
      <c r="AW283" s="30" t="s">
        <v>840</v>
      </c>
      <c r="AX283" s="30" t="s">
        <v>841</v>
      </c>
      <c r="AY283" s="30" t="s">
        <v>840</v>
      </c>
      <c r="AZ283" s="30" t="s">
        <v>841</v>
      </c>
      <c r="BA283" s="30">
        <v>2517.0</v>
      </c>
      <c r="BB283" s="30" t="s">
        <v>842</v>
      </c>
      <c r="BC283" s="30">
        <v>2720.0</v>
      </c>
      <c r="BD283" s="30">
        <v>12897.0</v>
      </c>
      <c r="BE283" s="30" t="s">
        <v>189</v>
      </c>
      <c r="BF283" s="30" t="s">
        <v>422</v>
      </c>
      <c r="BG283" s="30" t="s">
        <v>423</v>
      </c>
      <c r="BH283" s="30" t="s">
        <v>68</v>
      </c>
      <c r="BI283" s="30">
        <v>0.0</v>
      </c>
      <c r="BJ283" s="30">
        <v>35.0</v>
      </c>
      <c r="BK283" s="33">
        <v>42695.55694444444</v>
      </c>
      <c r="BL283" s="30">
        <v>36.0</v>
      </c>
      <c r="BM283" s="33">
        <v>42733.56736111111</v>
      </c>
    </row>
    <row r="284" ht="15.75" customHeight="1">
      <c r="A284" s="8"/>
      <c r="B284" s="30" t="s">
        <v>165</v>
      </c>
      <c r="C284" s="31" t="s">
        <v>82</v>
      </c>
      <c r="D284" s="31">
        <v>200.0</v>
      </c>
      <c r="E284" s="30"/>
      <c r="F284" s="30"/>
      <c r="G284" s="32" t="s">
        <v>61</v>
      </c>
      <c r="H284" s="32" t="s">
        <v>809</v>
      </c>
      <c r="I284" s="31" t="s">
        <v>843</v>
      </c>
      <c r="J284" s="31" t="str">
        <f>IFERROR(__xludf.DUMMYFUNCTION("IF(ISBLANK(I284), """", GOOGLETRANSLATE(I284, ""es"", ""en""))"),"Description of the unit of measure")</f>
        <v>Description of the unit of measure</v>
      </c>
      <c r="M284" s="30">
        <v>82.0</v>
      </c>
      <c r="N284" s="30">
        <v>73.0</v>
      </c>
      <c r="O284" s="30">
        <v>2017.0</v>
      </c>
      <c r="P284" s="30">
        <v>296.0</v>
      </c>
      <c r="Q284" s="30">
        <v>6350.0</v>
      </c>
      <c r="R284" s="30">
        <v>55.0</v>
      </c>
      <c r="S284" s="30" t="s">
        <v>844</v>
      </c>
      <c r="T284" s="30">
        <v>10.0</v>
      </c>
      <c r="U284" s="30" t="s">
        <v>845</v>
      </c>
      <c r="V284" s="30">
        <v>0.0</v>
      </c>
      <c r="W284" s="30" t="s">
        <v>810</v>
      </c>
      <c r="X284" s="30">
        <v>0.0</v>
      </c>
      <c r="Y284" s="30" t="s">
        <v>846</v>
      </c>
      <c r="Z284" s="30" t="s">
        <v>847</v>
      </c>
      <c r="AA284" s="30" t="s">
        <v>848</v>
      </c>
      <c r="AB284" s="30" t="s">
        <v>849</v>
      </c>
      <c r="AC284" s="30" t="s">
        <v>850</v>
      </c>
      <c r="AD284" s="30" t="s">
        <v>851</v>
      </c>
      <c r="AE284" s="30" t="s">
        <v>850</v>
      </c>
      <c r="AF284" s="30" t="s">
        <v>851</v>
      </c>
      <c r="AG284" s="30" t="s">
        <v>852</v>
      </c>
      <c r="AH284" s="30" t="s">
        <v>853</v>
      </c>
      <c r="AI284" s="30" t="s">
        <v>194</v>
      </c>
      <c r="AJ284" s="30" t="s">
        <v>195</v>
      </c>
      <c r="AK284" s="30" t="s">
        <v>194</v>
      </c>
      <c r="AL284" s="30" t="s">
        <v>195</v>
      </c>
      <c r="AM284" s="30" t="s">
        <v>194</v>
      </c>
      <c r="AN284" s="30" t="s">
        <v>195</v>
      </c>
      <c r="AO284" s="30" t="s">
        <v>194</v>
      </c>
      <c r="AP284" s="30" t="s">
        <v>195</v>
      </c>
      <c r="AQ284" s="30" t="s">
        <v>194</v>
      </c>
      <c r="AR284" s="30" t="s">
        <v>195</v>
      </c>
      <c r="AS284" s="30" t="s">
        <v>194</v>
      </c>
      <c r="AT284" s="30" t="s">
        <v>195</v>
      </c>
      <c r="AU284" s="30" t="s">
        <v>194</v>
      </c>
      <c r="AV284" s="30" t="s">
        <v>195</v>
      </c>
      <c r="AW284" s="30" t="s">
        <v>194</v>
      </c>
      <c r="AX284" s="30" t="s">
        <v>195</v>
      </c>
      <c r="AY284" s="30" t="s">
        <v>846</v>
      </c>
      <c r="AZ284" s="30" t="s">
        <v>847</v>
      </c>
      <c r="BA284" s="30">
        <v>3645.0</v>
      </c>
      <c r="BB284" s="30" t="s">
        <v>854</v>
      </c>
      <c r="BC284" s="30">
        <v>3850.0</v>
      </c>
      <c r="BD284" s="30">
        <v>13781.0</v>
      </c>
      <c r="BE284" s="30" t="s">
        <v>189</v>
      </c>
      <c r="BF284" s="30" t="s">
        <v>422</v>
      </c>
      <c r="BG284" s="30" t="s">
        <v>423</v>
      </c>
      <c r="BH284" s="30" t="s">
        <v>68</v>
      </c>
      <c r="BI284" s="30">
        <v>0.0</v>
      </c>
      <c r="BJ284" s="30">
        <v>35.0</v>
      </c>
      <c r="BK284" s="33">
        <v>42697.50555555556</v>
      </c>
      <c r="BL284" s="30">
        <v>35.0</v>
      </c>
      <c r="BM284" s="33">
        <v>42719.51597222222</v>
      </c>
    </row>
    <row r="285" ht="15.75" customHeight="1">
      <c r="A285" s="8"/>
      <c r="B285" s="30" t="s">
        <v>160</v>
      </c>
      <c r="C285" s="31" t="s">
        <v>60</v>
      </c>
      <c r="D285" s="31">
        <v>4.0</v>
      </c>
      <c r="E285" s="30">
        <v>10.0</v>
      </c>
      <c r="F285" s="30">
        <v>0.0</v>
      </c>
      <c r="G285" s="32" t="s">
        <v>61</v>
      </c>
      <c r="H285" s="32">
        <v>0.0</v>
      </c>
      <c r="I285" s="31" t="s">
        <v>202</v>
      </c>
      <c r="J285" s="31" t="str">
        <f>IFERROR(__xludf.DUMMYFUNCTION("IF(ISBLANK(I285), """", GOOGLETRANSLATE(I285, ""es"", ""en""))"),"Component identifier")</f>
        <v>Component identifier</v>
      </c>
      <c r="M285" s="30">
        <v>83.0</v>
      </c>
      <c r="N285" s="30">
        <v>78.0</v>
      </c>
      <c r="O285" s="30">
        <v>2017.0</v>
      </c>
      <c r="P285" s="30">
        <v>170.0</v>
      </c>
      <c r="Q285" s="30">
        <v>8561.0</v>
      </c>
      <c r="R285" s="30">
        <v>20.0</v>
      </c>
      <c r="S285" s="30" t="s">
        <v>855</v>
      </c>
      <c r="T285" s="30">
        <v>11.0</v>
      </c>
      <c r="U285" s="30" t="s">
        <v>839</v>
      </c>
      <c r="V285" s="30">
        <v>0.0</v>
      </c>
      <c r="W285" s="30" t="s">
        <v>810</v>
      </c>
      <c r="X285" s="30">
        <v>0.0</v>
      </c>
      <c r="Y285" s="30" t="s">
        <v>856</v>
      </c>
      <c r="Z285" s="30" t="s">
        <v>857</v>
      </c>
      <c r="AA285" s="30" t="s">
        <v>858</v>
      </c>
      <c r="AB285" s="30" t="s">
        <v>859</v>
      </c>
      <c r="AC285" s="30" t="s">
        <v>858</v>
      </c>
      <c r="AD285" s="30" t="s">
        <v>859</v>
      </c>
      <c r="AE285" s="30" t="s">
        <v>858</v>
      </c>
      <c r="AF285" s="30" t="s">
        <v>859</v>
      </c>
      <c r="AG285" s="30" t="s">
        <v>858</v>
      </c>
      <c r="AH285" s="30" t="s">
        <v>859</v>
      </c>
      <c r="AI285" s="30" t="s">
        <v>858</v>
      </c>
      <c r="AJ285" s="30" t="s">
        <v>859</v>
      </c>
      <c r="AK285" s="30" t="s">
        <v>858</v>
      </c>
      <c r="AL285" s="30" t="s">
        <v>859</v>
      </c>
      <c r="AM285" s="30" t="s">
        <v>858</v>
      </c>
      <c r="AN285" s="30" t="s">
        <v>859</v>
      </c>
      <c r="AO285" s="30" t="s">
        <v>858</v>
      </c>
      <c r="AP285" s="30" t="s">
        <v>859</v>
      </c>
      <c r="AQ285" s="30" t="s">
        <v>858</v>
      </c>
      <c r="AR285" s="30" t="s">
        <v>859</v>
      </c>
      <c r="AS285" s="30" t="s">
        <v>858</v>
      </c>
      <c r="AT285" s="30" t="s">
        <v>859</v>
      </c>
      <c r="AU285" s="30" t="s">
        <v>858</v>
      </c>
      <c r="AV285" s="30" t="s">
        <v>859</v>
      </c>
      <c r="AW285" s="30" t="s">
        <v>860</v>
      </c>
      <c r="AX285" s="30" t="s">
        <v>861</v>
      </c>
      <c r="AY285" s="30" t="s">
        <v>856</v>
      </c>
      <c r="AZ285" s="30" t="s">
        <v>857</v>
      </c>
      <c r="BA285" s="30">
        <v>4052.0</v>
      </c>
      <c r="BB285" s="30" t="s">
        <v>862</v>
      </c>
      <c r="BC285" s="30">
        <v>4253.0</v>
      </c>
      <c r="BD285" s="30">
        <v>13856.0</v>
      </c>
      <c r="BE285" s="30" t="s">
        <v>189</v>
      </c>
      <c r="BF285" s="30" t="s">
        <v>422</v>
      </c>
      <c r="BG285" s="30" t="s">
        <v>423</v>
      </c>
      <c r="BH285" s="30" t="s">
        <v>68</v>
      </c>
      <c r="BI285" s="30">
        <v>0.0</v>
      </c>
      <c r="BJ285" s="30">
        <v>47.0</v>
      </c>
      <c r="BK285" s="33">
        <v>42697.53055555555</v>
      </c>
      <c r="BL285" s="30">
        <v>36.0</v>
      </c>
      <c r="BM285" s="33">
        <v>42733.45347222222</v>
      </c>
    </row>
    <row r="286" ht="15.75" customHeight="1">
      <c r="A286" s="8"/>
      <c r="B286" s="30" t="s">
        <v>161</v>
      </c>
      <c r="C286" s="31" t="s">
        <v>82</v>
      </c>
      <c r="D286" s="31">
        <v>250.0</v>
      </c>
      <c r="E286" s="30"/>
      <c r="F286" s="30"/>
      <c r="G286" s="32" t="s">
        <v>100</v>
      </c>
      <c r="H286" s="32" t="s">
        <v>810</v>
      </c>
      <c r="I286" s="31" t="s">
        <v>206</v>
      </c>
      <c r="J286" s="31" t="str">
        <f>IFERROR(__xludf.DUMMYFUNCTION("IF(ISBLANK(I286), """", GOOGLETRANSLATE(I286, ""es"", ""en""))"),"Component Description")</f>
        <v>Component Description</v>
      </c>
    </row>
    <row r="287" ht="15.75" customHeight="1">
      <c r="A287" s="8"/>
      <c r="B287" s="30" t="s">
        <v>781</v>
      </c>
      <c r="C287" s="31" t="s">
        <v>60</v>
      </c>
      <c r="D287" s="31">
        <v>4.0</v>
      </c>
      <c r="E287" s="30">
        <v>10.0</v>
      </c>
      <c r="F287" s="30">
        <v>0.0</v>
      </c>
      <c r="G287" s="32" t="s">
        <v>61</v>
      </c>
      <c r="H287" s="32">
        <v>0.0</v>
      </c>
      <c r="I287" s="31" t="s">
        <v>863</v>
      </c>
      <c r="J287" s="31" t="str">
        <f>IFERROR(__xludf.DUMMYFUNCTION("IF(ISBLANK(I287), """", GOOGLETRANSLATE(I287, ""es"", ""en""))"),"Quarter ")</f>
        <v>Quarter </v>
      </c>
    </row>
    <row r="288" ht="15.75" customHeight="1">
      <c r="A288" s="8"/>
      <c r="B288" s="30" t="s">
        <v>166</v>
      </c>
      <c r="C288" s="31" t="s">
        <v>220</v>
      </c>
      <c r="D288" s="31">
        <v>9.0</v>
      </c>
      <c r="E288" s="30">
        <v>19.0</v>
      </c>
      <c r="F288" s="30">
        <v>2.0</v>
      </c>
      <c r="G288" s="32" t="s">
        <v>61</v>
      </c>
      <c r="H288" s="32" t="s">
        <v>819</v>
      </c>
      <c r="I288" s="31" t="s">
        <v>864</v>
      </c>
      <c r="J288" s="31" t="str">
        <f>IFERROR(__xludf.DUMMYFUNCTION("IF(ISBLANK(I288), """", GOOGLETRANSLATE(I288, ""es"", ""en""))"),"Defined goal ")</f>
        <v>Defined goal </v>
      </c>
    </row>
    <row r="289" ht="15.75" customHeight="1">
      <c r="A289" s="8"/>
      <c r="B289" s="30" t="s">
        <v>167</v>
      </c>
      <c r="C289" s="31" t="s">
        <v>225</v>
      </c>
      <c r="D289" s="31">
        <v>8000.0</v>
      </c>
      <c r="E289" s="30"/>
      <c r="F289" s="30"/>
      <c r="G289" s="32" t="s">
        <v>100</v>
      </c>
      <c r="H289" s="32" t="s">
        <v>819</v>
      </c>
      <c r="I289" s="31" t="s">
        <v>865</v>
      </c>
      <c r="J289" s="31" t="str">
        <f>IFERROR(__xludf.DUMMYFUNCTION("IF(ISBLANK(I289), """", GOOGLETRANSLATE(I289, ""es"", ""en""))"),"Goal defined in text")</f>
        <v>Goal defined in text</v>
      </c>
    </row>
    <row r="290" ht="15.75" customHeight="1">
      <c r="A290" s="8"/>
      <c r="B290" s="30" t="s">
        <v>782</v>
      </c>
      <c r="C290" s="31" t="s">
        <v>220</v>
      </c>
      <c r="D290" s="31">
        <v>9.0</v>
      </c>
      <c r="E290" s="30">
        <v>19.0</v>
      </c>
      <c r="F290" s="30">
        <v>2.0</v>
      </c>
      <c r="G290" s="32" t="s">
        <v>61</v>
      </c>
      <c r="H290" s="32" t="s">
        <v>820</v>
      </c>
      <c r="I290" s="31" t="s">
        <v>866</v>
      </c>
      <c r="J290" s="31" t="str">
        <f>IFERROR(__xludf.DUMMYFUNCTION("IF(ISBLANK(I290), """", GOOGLETRANSLATE(I290, ""es"", ""en""))"),"Reported goal for January")</f>
        <v>Reported goal for January</v>
      </c>
    </row>
    <row r="291" ht="15.75" customHeight="1">
      <c r="A291" s="8"/>
      <c r="B291" s="30" t="s">
        <v>783</v>
      </c>
      <c r="C291" s="31" t="s">
        <v>225</v>
      </c>
      <c r="D291" s="31">
        <v>8000.0</v>
      </c>
      <c r="E291" s="30"/>
      <c r="F291" s="30"/>
      <c r="G291" s="32" t="s">
        <v>100</v>
      </c>
      <c r="H291" s="32" t="s">
        <v>820</v>
      </c>
      <c r="I291" s="31" t="s">
        <v>867</v>
      </c>
      <c r="J291" s="31" t="str">
        <f>IFERROR(__xludf.DUMMYFUNCTION("IF(ISBLANK(I291), """", GOOGLETRANSLATE(I291, ""es"", ""en""))"),"Goal reported for January in text")</f>
        <v>Goal reported for January in text</v>
      </c>
    </row>
    <row r="292" ht="15.75" customHeight="1">
      <c r="A292" s="8"/>
      <c r="B292" s="30" t="s">
        <v>784</v>
      </c>
      <c r="C292" s="31" t="s">
        <v>220</v>
      </c>
      <c r="D292" s="31">
        <v>9.0</v>
      </c>
      <c r="E292" s="30">
        <v>19.0</v>
      </c>
      <c r="F292" s="30">
        <v>2.0</v>
      </c>
      <c r="G292" s="32" t="s">
        <v>61</v>
      </c>
      <c r="H292" s="32" t="s">
        <v>820</v>
      </c>
      <c r="I292" s="31" t="s">
        <v>868</v>
      </c>
      <c r="J292" s="31" t="str">
        <f>IFERROR(__xludf.DUMMYFUNCTION("IF(ISBLANK(I292), """", GOOGLETRANSLATE(I292, ""es"", ""en""))"),"Goal reported for February")</f>
        <v>Goal reported for February</v>
      </c>
    </row>
    <row r="293" ht="15.75" customHeight="1">
      <c r="A293" s="8"/>
      <c r="B293" s="30" t="s">
        <v>785</v>
      </c>
      <c r="C293" s="31" t="s">
        <v>225</v>
      </c>
      <c r="D293" s="31">
        <v>8000.0</v>
      </c>
      <c r="E293" s="30"/>
      <c r="F293" s="30"/>
      <c r="G293" s="32" t="s">
        <v>100</v>
      </c>
      <c r="H293" s="32" t="s">
        <v>820</v>
      </c>
      <c r="I293" s="31" t="s">
        <v>869</v>
      </c>
      <c r="J293" s="31" t="str">
        <f>IFERROR(__xludf.DUMMYFUNCTION("IF(ISBLANK(I293), """", GOOGLETRANSLATE(I293, ""es"", ""en""))"),"Goal reported for February in Text")</f>
        <v>Goal reported for February in Text</v>
      </c>
    </row>
    <row r="294" ht="15.75" customHeight="1">
      <c r="A294" s="8"/>
      <c r="B294" s="30" t="s">
        <v>786</v>
      </c>
      <c r="C294" s="31" t="s">
        <v>220</v>
      </c>
      <c r="D294" s="31">
        <v>9.0</v>
      </c>
      <c r="E294" s="30">
        <v>19.0</v>
      </c>
      <c r="F294" s="30">
        <v>2.0</v>
      </c>
      <c r="G294" s="32" t="s">
        <v>61</v>
      </c>
      <c r="H294" s="32" t="s">
        <v>820</v>
      </c>
      <c r="I294" s="31" t="s">
        <v>870</v>
      </c>
      <c r="J294" s="31" t="str">
        <f>IFERROR(__xludf.DUMMYFUNCTION("IF(ISBLANK(I294), """", GOOGLETRANSLATE(I294, ""es"", ""en""))"),"Goal reported for March")</f>
        <v>Goal reported for March</v>
      </c>
    </row>
    <row r="295" ht="15.75" customHeight="1">
      <c r="A295" s="8"/>
      <c r="B295" s="30" t="s">
        <v>787</v>
      </c>
      <c r="C295" s="31" t="s">
        <v>225</v>
      </c>
      <c r="D295" s="31">
        <v>8000.0</v>
      </c>
      <c r="E295" s="30"/>
      <c r="F295" s="30"/>
      <c r="G295" s="32" t="s">
        <v>100</v>
      </c>
      <c r="H295" s="32" t="s">
        <v>820</v>
      </c>
      <c r="I295" s="31" t="s">
        <v>871</v>
      </c>
      <c r="J295" s="31" t="str">
        <f>IFERROR(__xludf.DUMMYFUNCTION("IF(ISBLANK(I295), """", GOOGLETRANSLATE(I295, ""es"", ""en""))"),"Goal reported for March in Text")</f>
        <v>Goal reported for March in Text</v>
      </c>
    </row>
    <row r="296" ht="15.75" customHeight="1">
      <c r="A296" s="8"/>
      <c r="B296" s="30" t="s">
        <v>788</v>
      </c>
      <c r="C296" s="31" t="s">
        <v>220</v>
      </c>
      <c r="D296" s="31">
        <v>9.0</v>
      </c>
      <c r="E296" s="30">
        <v>19.0</v>
      </c>
      <c r="F296" s="30">
        <v>2.0</v>
      </c>
      <c r="G296" s="32" t="s">
        <v>61</v>
      </c>
      <c r="H296" s="32" t="s">
        <v>820</v>
      </c>
      <c r="I296" s="31" t="s">
        <v>872</v>
      </c>
      <c r="J296" s="31" t="str">
        <f>IFERROR(__xludf.DUMMYFUNCTION("IF(ISBLANK(I296), """", GOOGLETRANSLATE(I296, ""es"", ""en""))"),"Goal reported for April")</f>
        <v>Goal reported for April</v>
      </c>
    </row>
    <row r="297" ht="15.75" customHeight="1">
      <c r="A297" s="8"/>
      <c r="B297" s="30" t="s">
        <v>789</v>
      </c>
      <c r="C297" s="31" t="s">
        <v>225</v>
      </c>
      <c r="D297" s="31">
        <v>8000.0</v>
      </c>
      <c r="E297" s="30"/>
      <c r="F297" s="30"/>
      <c r="G297" s="32" t="s">
        <v>100</v>
      </c>
      <c r="H297" s="32" t="s">
        <v>820</v>
      </c>
      <c r="I297" s="31" t="s">
        <v>873</v>
      </c>
      <c r="J297" s="31" t="str">
        <f>IFERROR(__xludf.DUMMYFUNCTION("IF(ISBLANK(I297), """", GOOGLETRANSLATE(I297, ""es"", ""en""))"),"Goal reported for April in Text")</f>
        <v>Goal reported for April in Text</v>
      </c>
    </row>
    <row r="298" ht="15.75" customHeight="1">
      <c r="A298" s="8"/>
      <c r="B298" s="30" t="s">
        <v>790</v>
      </c>
      <c r="C298" s="31" t="s">
        <v>220</v>
      </c>
      <c r="D298" s="31">
        <v>9.0</v>
      </c>
      <c r="E298" s="30">
        <v>19.0</v>
      </c>
      <c r="F298" s="30">
        <v>2.0</v>
      </c>
      <c r="G298" s="32" t="s">
        <v>61</v>
      </c>
      <c r="H298" s="32" t="s">
        <v>820</v>
      </c>
      <c r="I298" s="31" t="s">
        <v>874</v>
      </c>
      <c r="J298" s="31" t="str">
        <f>IFERROR(__xludf.DUMMYFUNCTION("IF(ISBLANK(I298), """", GOOGLETRANSLATE(I298, ""es"", ""en""))"),"Goal reported for May")</f>
        <v>Goal reported for May</v>
      </c>
    </row>
    <row r="299" ht="15.75" customHeight="1">
      <c r="A299" s="8"/>
      <c r="B299" s="30" t="s">
        <v>791</v>
      </c>
      <c r="C299" s="31" t="s">
        <v>225</v>
      </c>
      <c r="D299" s="31">
        <v>8000.0</v>
      </c>
      <c r="E299" s="30"/>
      <c r="F299" s="30"/>
      <c r="G299" s="32" t="s">
        <v>100</v>
      </c>
      <c r="H299" s="32" t="s">
        <v>820</v>
      </c>
      <c r="I299" s="31" t="s">
        <v>875</v>
      </c>
      <c r="J299" s="31" t="str">
        <f>IFERROR(__xludf.DUMMYFUNCTION("IF(ISBLANK(I299), """", GOOGLETRANSLATE(I299, ""es"", ""en""))"),"Goal reported for May in Text")</f>
        <v>Goal reported for May in Text</v>
      </c>
    </row>
    <row r="300" ht="15.75" customHeight="1">
      <c r="A300" s="8"/>
      <c r="B300" s="30" t="s">
        <v>792</v>
      </c>
      <c r="C300" s="31" t="s">
        <v>220</v>
      </c>
      <c r="D300" s="31">
        <v>9.0</v>
      </c>
      <c r="E300" s="30">
        <v>19.0</v>
      </c>
      <c r="F300" s="30">
        <v>2.0</v>
      </c>
      <c r="G300" s="32" t="s">
        <v>61</v>
      </c>
      <c r="H300" s="32" t="s">
        <v>821</v>
      </c>
      <c r="I300" s="31" t="s">
        <v>876</v>
      </c>
      <c r="J300" s="31" t="str">
        <f>IFERROR(__xludf.DUMMYFUNCTION("IF(ISBLANK(I300), """", GOOGLETRANSLATE(I300, ""es"", ""en""))"),"Goal reported for June")</f>
        <v>Goal reported for June</v>
      </c>
    </row>
    <row r="301" ht="15.75" customHeight="1">
      <c r="A301" s="8"/>
      <c r="B301" s="30" t="s">
        <v>793</v>
      </c>
      <c r="C301" s="31" t="s">
        <v>225</v>
      </c>
      <c r="D301" s="31">
        <v>8000.0</v>
      </c>
      <c r="E301" s="30"/>
      <c r="F301" s="30"/>
      <c r="G301" s="32" t="s">
        <v>100</v>
      </c>
      <c r="H301" s="32" t="s">
        <v>821</v>
      </c>
      <c r="I301" s="31" t="s">
        <v>877</v>
      </c>
      <c r="J301" s="31" t="str">
        <f>IFERROR(__xludf.DUMMYFUNCTION("IF(ISBLANK(I301), """", GOOGLETRANSLATE(I301, ""es"", ""en""))"),"Goal reported for June in Text")</f>
        <v>Goal reported for June in Text</v>
      </c>
    </row>
    <row r="302" ht="15.75" customHeight="1">
      <c r="A302" s="8"/>
      <c r="B302" s="30" t="s">
        <v>794</v>
      </c>
      <c r="C302" s="31" t="s">
        <v>220</v>
      </c>
      <c r="D302" s="31">
        <v>9.0</v>
      </c>
      <c r="E302" s="30">
        <v>19.0</v>
      </c>
      <c r="F302" s="30">
        <v>2.0</v>
      </c>
      <c r="G302" s="32" t="s">
        <v>61</v>
      </c>
      <c r="H302" s="32" t="s">
        <v>820</v>
      </c>
      <c r="I302" s="31" t="s">
        <v>878</v>
      </c>
      <c r="J302" s="31" t="str">
        <f>IFERROR(__xludf.DUMMYFUNCTION("IF(ISBLANK(I302), """", GOOGLETRANSLATE(I302, ""es"", ""en""))"),"Goal reported for July")</f>
        <v>Goal reported for July</v>
      </c>
    </row>
    <row r="303" ht="15.75" customHeight="1">
      <c r="A303" s="8"/>
      <c r="B303" s="30" t="s">
        <v>795</v>
      </c>
      <c r="C303" s="31" t="s">
        <v>225</v>
      </c>
      <c r="D303" s="31">
        <v>8000.0</v>
      </c>
      <c r="E303" s="30"/>
      <c r="F303" s="30"/>
      <c r="G303" s="32" t="s">
        <v>100</v>
      </c>
      <c r="H303" s="32" t="s">
        <v>820</v>
      </c>
      <c r="I303" s="31" t="s">
        <v>879</v>
      </c>
      <c r="J303" s="31" t="str">
        <f>IFERROR(__xludf.DUMMYFUNCTION("IF(ISBLANK(I303), """", GOOGLETRANSLATE(I303, ""es"", ""en""))"),"Goal reported for July in Text")</f>
        <v>Goal reported for July in Text</v>
      </c>
    </row>
    <row r="304" ht="15.75" customHeight="1">
      <c r="A304" s="8"/>
      <c r="B304" s="30" t="s">
        <v>796</v>
      </c>
      <c r="C304" s="31" t="s">
        <v>220</v>
      </c>
      <c r="D304" s="31">
        <v>9.0</v>
      </c>
      <c r="E304" s="30">
        <v>19.0</v>
      </c>
      <c r="F304" s="30">
        <v>2.0</v>
      </c>
      <c r="G304" s="32" t="s">
        <v>61</v>
      </c>
      <c r="H304" s="32" t="s">
        <v>820</v>
      </c>
      <c r="I304" s="31" t="s">
        <v>880</v>
      </c>
      <c r="J304" s="31" t="str">
        <f>IFERROR(__xludf.DUMMYFUNCTION("IF(ISBLANK(I304), """", GOOGLETRANSLATE(I304, ""es"", ""en""))"),"Goal reported for August")</f>
        <v>Goal reported for August</v>
      </c>
    </row>
    <row r="305" ht="15.75" customHeight="1">
      <c r="A305" s="8"/>
      <c r="B305" s="30" t="s">
        <v>797</v>
      </c>
      <c r="C305" s="31" t="s">
        <v>225</v>
      </c>
      <c r="D305" s="31">
        <v>8000.0</v>
      </c>
      <c r="E305" s="30"/>
      <c r="F305" s="30"/>
      <c r="G305" s="32" t="s">
        <v>100</v>
      </c>
      <c r="H305" s="32" t="s">
        <v>820</v>
      </c>
      <c r="I305" s="31" t="s">
        <v>881</v>
      </c>
      <c r="J305" s="31" t="str">
        <f>IFERROR(__xludf.DUMMYFUNCTION("IF(ISBLANK(I305), """", GOOGLETRANSLATE(I305, ""es"", ""en""))"),"Goal reported for August in Text")</f>
        <v>Goal reported for August in Text</v>
      </c>
    </row>
    <row r="306" ht="15.75" customHeight="1">
      <c r="A306" s="8"/>
      <c r="B306" s="30" t="s">
        <v>798</v>
      </c>
      <c r="C306" s="31" t="s">
        <v>220</v>
      </c>
      <c r="D306" s="31">
        <v>9.0</v>
      </c>
      <c r="E306" s="30">
        <v>19.0</v>
      </c>
      <c r="F306" s="30">
        <v>2.0</v>
      </c>
      <c r="G306" s="32" t="s">
        <v>61</v>
      </c>
      <c r="H306" s="32" t="s">
        <v>820</v>
      </c>
      <c r="I306" s="31" t="s">
        <v>882</v>
      </c>
      <c r="J306" s="31" t="str">
        <f>IFERROR(__xludf.DUMMYFUNCTION("IF(ISBLANK(I306), """", GOOGLETRANSLATE(I306, ""es"", ""en""))"),"Goal reported for September")</f>
        <v>Goal reported for September</v>
      </c>
    </row>
    <row r="307" ht="15.75" customHeight="1">
      <c r="A307" s="8"/>
      <c r="B307" s="30" t="s">
        <v>799</v>
      </c>
      <c r="C307" s="31" t="s">
        <v>225</v>
      </c>
      <c r="D307" s="31">
        <v>8000.0</v>
      </c>
      <c r="E307" s="30"/>
      <c r="F307" s="30"/>
      <c r="G307" s="32" t="s">
        <v>100</v>
      </c>
      <c r="H307" s="32" t="s">
        <v>820</v>
      </c>
      <c r="I307" s="31" t="s">
        <v>883</v>
      </c>
      <c r="J307" s="31" t="str">
        <f>IFERROR(__xludf.DUMMYFUNCTION("IF(ISBLANK(I307), """", GOOGLETRANSLATE(I307, ""es"", ""en""))"),"Goal reported for September in Text")</f>
        <v>Goal reported for September in Text</v>
      </c>
    </row>
    <row r="308" ht="15.75" customHeight="1">
      <c r="A308" s="8"/>
      <c r="B308" s="30" t="s">
        <v>800</v>
      </c>
      <c r="C308" s="31" t="s">
        <v>220</v>
      </c>
      <c r="D308" s="31">
        <v>9.0</v>
      </c>
      <c r="E308" s="30">
        <v>19.0</v>
      </c>
      <c r="F308" s="30">
        <v>2.0</v>
      </c>
      <c r="G308" s="32" t="s">
        <v>61</v>
      </c>
      <c r="H308" s="32" t="s">
        <v>820</v>
      </c>
      <c r="I308" s="31" t="s">
        <v>884</v>
      </c>
      <c r="J308" s="31" t="str">
        <f>IFERROR(__xludf.DUMMYFUNCTION("IF(ISBLANK(I308), """", GOOGLETRANSLATE(I308, ""es"", ""en""))"),"Goal reported for October")</f>
        <v>Goal reported for October</v>
      </c>
    </row>
    <row r="309" ht="15.75" customHeight="1">
      <c r="A309" s="8"/>
      <c r="B309" s="30" t="s">
        <v>801</v>
      </c>
      <c r="C309" s="31" t="s">
        <v>225</v>
      </c>
      <c r="D309" s="31">
        <v>8000.0</v>
      </c>
      <c r="E309" s="30"/>
      <c r="F309" s="30"/>
      <c r="G309" s="32" t="s">
        <v>100</v>
      </c>
      <c r="H309" s="32" t="s">
        <v>820</v>
      </c>
      <c r="I309" s="31" t="s">
        <v>885</v>
      </c>
      <c r="J309" s="31" t="str">
        <f>IFERROR(__xludf.DUMMYFUNCTION("IF(ISBLANK(I309), """", GOOGLETRANSLATE(I309, ""es"", ""en""))"),"Goal reported for October in text")</f>
        <v>Goal reported for October in text</v>
      </c>
    </row>
    <row r="310" ht="15.75" customHeight="1">
      <c r="A310" s="8"/>
      <c r="B310" s="30" t="s">
        <v>802</v>
      </c>
      <c r="C310" s="31" t="s">
        <v>220</v>
      </c>
      <c r="D310" s="31">
        <v>9.0</v>
      </c>
      <c r="E310" s="30">
        <v>19.0</v>
      </c>
      <c r="F310" s="30">
        <v>2.0</v>
      </c>
      <c r="G310" s="32" t="s">
        <v>61</v>
      </c>
      <c r="H310" s="32" t="s">
        <v>820</v>
      </c>
      <c r="I310" s="31" t="s">
        <v>886</v>
      </c>
      <c r="J310" s="31" t="str">
        <f>IFERROR(__xludf.DUMMYFUNCTION("IF(ISBLANK(I310), """", GOOGLETRANSLATE(I310, ""es"", ""en""))"),"Goal reported for November")</f>
        <v>Goal reported for November</v>
      </c>
    </row>
    <row r="311" ht="15.75" customHeight="1">
      <c r="A311" s="8"/>
      <c r="B311" s="30" t="s">
        <v>803</v>
      </c>
      <c r="C311" s="31" t="s">
        <v>225</v>
      </c>
      <c r="D311" s="31">
        <v>8000.0</v>
      </c>
      <c r="E311" s="30"/>
      <c r="F311" s="30"/>
      <c r="G311" s="32" t="s">
        <v>100</v>
      </c>
      <c r="H311" s="32" t="s">
        <v>820</v>
      </c>
      <c r="I311" s="31" t="s">
        <v>887</v>
      </c>
      <c r="J311" s="31" t="str">
        <f>IFERROR(__xludf.DUMMYFUNCTION("IF(ISBLANK(I311), """", GOOGLETRANSLATE(I311, ""es"", ""en""))"),"Goal reported for November in text")</f>
        <v>Goal reported for November in text</v>
      </c>
    </row>
    <row r="312" ht="15.75" customHeight="1">
      <c r="A312" s="8"/>
      <c r="B312" s="30" t="s">
        <v>804</v>
      </c>
      <c r="C312" s="31" t="s">
        <v>220</v>
      </c>
      <c r="D312" s="31">
        <v>9.0</v>
      </c>
      <c r="E312" s="30">
        <v>19.0</v>
      </c>
      <c r="F312" s="30">
        <v>2.0</v>
      </c>
      <c r="G312" s="32" t="s">
        <v>61</v>
      </c>
      <c r="H312" s="32" t="s">
        <v>820</v>
      </c>
      <c r="I312" s="31" t="s">
        <v>888</v>
      </c>
      <c r="J312" s="31" t="str">
        <f>IFERROR(__xludf.DUMMYFUNCTION("IF(ISBLANK(I312), """", GOOGLETRANSLATE(I312, ""es"", ""en""))"),"Goal reported for December")</f>
        <v>Goal reported for December</v>
      </c>
    </row>
    <row r="313" ht="15.75" customHeight="1">
      <c r="A313" s="8"/>
      <c r="B313" s="30" t="s">
        <v>805</v>
      </c>
      <c r="C313" s="31" t="s">
        <v>225</v>
      </c>
      <c r="D313" s="31">
        <v>8000.0</v>
      </c>
      <c r="E313" s="30"/>
      <c r="F313" s="30"/>
      <c r="G313" s="32" t="s">
        <v>100</v>
      </c>
      <c r="H313" s="32" t="s">
        <v>820</v>
      </c>
      <c r="I313" s="31" t="s">
        <v>889</v>
      </c>
      <c r="J313" s="31" t="str">
        <f>IFERROR(__xludf.DUMMYFUNCTION("IF(ISBLANK(I313), """", GOOGLETRANSLATE(I313, ""es"", ""en""))"),"Goal reported for December in text")</f>
        <v>Goal reported for December in text</v>
      </c>
    </row>
    <row r="314" ht="15.75" customHeight="1">
      <c r="A314" s="8"/>
      <c r="B314" s="30" t="s">
        <v>184</v>
      </c>
      <c r="C314" s="31" t="s">
        <v>220</v>
      </c>
      <c r="D314" s="31">
        <v>17.0</v>
      </c>
      <c r="E314" s="30">
        <v>30.0</v>
      </c>
      <c r="F314" s="30">
        <v>2.0</v>
      </c>
      <c r="G314" s="32" t="s">
        <v>100</v>
      </c>
      <c r="H314" s="32" t="s">
        <v>819</v>
      </c>
      <c r="I314" s="31" t="s">
        <v>890</v>
      </c>
      <c r="J314" s="31" t="str">
        <f>IFERROR(__xludf.DUMMYFUNCTION("IF(ISBLANK(I314), """", GOOGLETRANSLATE(I314, ""es"", ""en""))"),"Total Goal")</f>
        <v>Total Goal</v>
      </c>
    </row>
    <row r="315" ht="15.75" customHeight="1">
      <c r="A315" s="8"/>
      <c r="B315" s="30" t="s">
        <v>185</v>
      </c>
      <c r="C315" s="31" t="s">
        <v>225</v>
      </c>
      <c r="D315" s="31">
        <v>8000.0</v>
      </c>
      <c r="E315" s="30"/>
      <c r="F315" s="30"/>
      <c r="G315" s="32" t="s">
        <v>100</v>
      </c>
      <c r="H315" s="32" t="s">
        <v>819</v>
      </c>
      <c r="I315" s="31" t="s">
        <v>891</v>
      </c>
      <c r="J315" s="31" t="str">
        <f>IFERROR(__xludf.DUMMYFUNCTION("IF(ISBLANK(I315), """", GOOGLETRANSLATE(I315, ""es"", ""en""))"),"Total goal in text")</f>
        <v>Total goal in text</v>
      </c>
    </row>
    <row r="316" ht="15.75" customHeight="1">
      <c r="A316" s="8"/>
      <c r="B316" s="30" t="s">
        <v>158</v>
      </c>
      <c r="C316" s="31" t="s">
        <v>60</v>
      </c>
      <c r="D316" s="31">
        <v>4.0</v>
      </c>
      <c r="E316" s="30">
        <v>10.0</v>
      </c>
      <c r="F316" s="30">
        <v>0.0</v>
      </c>
      <c r="G316" s="32" t="s">
        <v>61</v>
      </c>
      <c r="H316" s="32">
        <v>3922.0</v>
      </c>
      <c r="I316" s="31" t="s">
        <v>196</v>
      </c>
      <c r="J316" s="31" t="str">
        <f>IFERROR(__xludf.DUMMYFUNCTION("IF(ISBLANK(I316), """", GOOGLETRANSLATE(I316, ""es"", ""en""))"),"Unique identifier of the Investment project (SNIP System)")</f>
        <v>Unique identifier of the Investment project (SNIP System)</v>
      </c>
    </row>
    <row r="317" ht="15.75" customHeight="1">
      <c r="A317" s="8"/>
      <c r="B317" s="30" t="s">
        <v>248</v>
      </c>
      <c r="C317" s="31" t="s">
        <v>82</v>
      </c>
      <c r="D317" s="31">
        <v>250.0</v>
      </c>
      <c r="E317" s="30"/>
      <c r="F317" s="30"/>
      <c r="G317" s="32" t="s">
        <v>100</v>
      </c>
      <c r="H317" s="32" t="s">
        <v>822</v>
      </c>
      <c r="I317" s="31" t="s">
        <v>892</v>
      </c>
      <c r="J317" s="31" t="str">
        <f>IFERROR(__xludf.DUMMYFUNCTION("IF(ISBLANK(I317), """", GOOGLETRANSLATE(I317, ""es"", ""en""))"),"Investment project description")</f>
        <v>Investment project description</v>
      </c>
    </row>
    <row r="318" ht="15.75" customHeight="1">
      <c r="A318" s="8"/>
      <c r="B318" s="30" t="s">
        <v>186</v>
      </c>
      <c r="C318" s="31" t="s">
        <v>60</v>
      </c>
      <c r="D318" s="31">
        <v>4.0</v>
      </c>
      <c r="E318" s="30">
        <v>10.0</v>
      </c>
      <c r="F318" s="30">
        <v>0.0</v>
      </c>
      <c r="G318" s="32" t="s">
        <v>61</v>
      </c>
      <c r="H318" s="32">
        <v>4081.0</v>
      </c>
      <c r="I318" s="31" t="s">
        <v>893</v>
      </c>
      <c r="J318" s="31" t="str">
        <f>IFERROR(__xludf.DUMMYFUNCTION("IF(ISBLANK(I318), """", GOOGLETRANSLATE(I318, ""es"", ""en""))"),"Project phase identifier")</f>
        <v>Project phase identifier</v>
      </c>
    </row>
    <row r="319" ht="15.75" customHeight="1">
      <c r="A319" s="8"/>
      <c r="B319" s="30" t="s">
        <v>346</v>
      </c>
      <c r="C319" s="31" t="s">
        <v>60</v>
      </c>
      <c r="D319" s="31">
        <v>4.0</v>
      </c>
      <c r="E319" s="30">
        <v>10.0</v>
      </c>
      <c r="F319" s="30">
        <v>0.0</v>
      </c>
      <c r="G319" s="32" t="s">
        <v>100</v>
      </c>
      <c r="H319" s="32">
        <v>13879.0</v>
      </c>
      <c r="I319" s="31" t="s">
        <v>725</v>
      </c>
      <c r="J319" s="31" t="str">
        <f>IFERROR(__xludf.DUMMYFUNCTION("IF(ISBLANK(I319), """", GOOGLETRANSLATE(I319, ""es"", ""en""))"),"Investment project identifier")</f>
        <v>Investment project identifier</v>
      </c>
    </row>
    <row r="320" ht="15.75" customHeight="1">
      <c r="A320" s="8"/>
      <c r="B320" s="30" t="s">
        <v>249</v>
      </c>
      <c r="C320" s="31" t="s">
        <v>82</v>
      </c>
      <c r="D320" s="31">
        <v>13.0</v>
      </c>
      <c r="E320" s="30"/>
      <c r="F320" s="30"/>
      <c r="G320" s="32" t="s">
        <v>61</v>
      </c>
      <c r="H320" s="32" t="s">
        <v>189</v>
      </c>
      <c r="I320" s="31" t="s">
        <v>894</v>
      </c>
      <c r="J320" s="31" t="str">
        <f>IFERROR(__xludf.DUMMYFUNCTION("IF(ISBLANK(I320), """", GOOGLETRANSLATE(I320, ""es"", ""en""))"),"Project phase in text")</f>
        <v>Project phase in text</v>
      </c>
    </row>
    <row r="321" ht="15.75" customHeight="1">
      <c r="A321" s="8"/>
      <c r="B321" s="30" t="s">
        <v>387</v>
      </c>
      <c r="C321" s="31" t="s">
        <v>82</v>
      </c>
      <c r="D321" s="31">
        <v>1.0</v>
      </c>
      <c r="E321" s="30"/>
      <c r="F321" s="30"/>
      <c r="G321" s="32" t="s">
        <v>61</v>
      </c>
      <c r="H321" s="32" t="s">
        <v>422</v>
      </c>
      <c r="I321" s="31" t="s">
        <v>895</v>
      </c>
      <c r="J321" s="31" t="str">
        <f>IFERROR(__xludf.DUMMYFUNCTION("IF(ISBLANK(I321), """", GOOGLETRANSLATE(I321, ""es"", ""en""))"),"Indicates if it is a subproject (N=NO)")</f>
        <v>Indicates if it is a subproject (N=NO)</v>
      </c>
    </row>
    <row r="322" ht="15.75" customHeight="1">
      <c r="A322" s="8"/>
      <c r="B322" s="30" t="s">
        <v>388</v>
      </c>
      <c r="C322" s="31" t="s">
        <v>82</v>
      </c>
      <c r="D322" s="31">
        <v>2.0</v>
      </c>
      <c r="E322" s="30"/>
      <c r="F322" s="30"/>
      <c r="G322" s="32" t="s">
        <v>61</v>
      </c>
      <c r="H322" s="32" t="s">
        <v>423</v>
      </c>
      <c r="I322" s="31" t="s">
        <v>895</v>
      </c>
      <c r="J322" s="31" t="str">
        <f>IFERROR(__xludf.DUMMYFUNCTION("IF(ISBLANK(I322), """", GOOGLETRANSLATE(I322, ""es"", ""en""))"),"Indicates if it is a subproject (N=NO)")</f>
        <v>Indicates if it is a subproject (N=NO)</v>
      </c>
    </row>
    <row r="323" ht="15.75" customHeight="1">
      <c r="A323" s="8"/>
      <c r="B323" s="30" t="s">
        <v>54</v>
      </c>
      <c r="C323" s="31" t="s">
        <v>82</v>
      </c>
      <c r="D323" s="31">
        <v>32.0</v>
      </c>
      <c r="E323" s="30"/>
      <c r="F323" s="30"/>
      <c r="G323" s="32" t="s">
        <v>61</v>
      </c>
      <c r="H323" s="32" t="s">
        <v>68</v>
      </c>
      <c r="I323" s="31" t="s">
        <v>153</v>
      </c>
      <c r="J323" s="31" t="str">
        <f>IFERROR(__xludf.DUMMYFUNCTION("IF(ISBLANK(I323), """", GOOGLETRANSLATE(I323, ""es"", ""en""))"),"Registration Status")</f>
        <v>Registration Status</v>
      </c>
    </row>
    <row r="324" ht="15.75" customHeight="1">
      <c r="A324" s="8"/>
      <c r="B324" s="30" t="s">
        <v>55</v>
      </c>
      <c r="C324" s="31" t="s">
        <v>60</v>
      </c>
      <c r="D324" s="31">
        <v>4.0</v>
      </c>
      <c r="E324" s="30">
        <v>10.0</v>
      </c>
      <c r="F324" s="30">
        <v>0.0</v>
      </c>
      <c r="G324" s="32" t="s">
        <v>100</v>
      </c>
      <c r="H324" s="32">
        <v>0.0</v>
      </c>
      <c r="I324" s="31"/>
      <c r="J324" s="31" t="str">
        <f>IFERROR(__xludf.DUMMYFUNCTION("IF(ISBLANK(I324), """", GOOGLETRANSLATE(I324, ""es"", ""en""))"),"")</f>
        <v/>
      </c>
    </row>
    <row r="325" ht="15.75" customHeight="1">
      <c r="A325" s="8"/>
      <c r="B325" s="30" t="s">
        <v>56</v>
      </c>
      <c r="C325" s="31" t="s">
        <v>60</v>
      </c>
      <c r="D325" s="31">
        <v>4.0</v>
      </c>
      <c r="E325" s="30">
        <v>10.0</v>
      </c>
      <c r="F325" s="30">
        <v>0.0</v>
      </c>
      <c r="G325" s="32" t="s">
        <v>61</v>
      </c>
      <c r="H325" s="32">
        <v>41.0</v>
      </c>
      <c r="I325" s="31" t="s">
        <v>101</v>
      </c>
      <c r="J325" s="31" t="str">
        <f>IFERROR(__xludf.DUMMYFUNCTION("IF(ISBLANK(I325), """", GOOGLETRANSLATE(I325, ""es"", ""en""))"),"User who inserted the record, Fields used by the institution for internal use")</f>
        <v>User who inserted the record, Fields used by the institution for internal use</v>
      </c>
    </row>
    <row r="326" ht="15.75" customHeight="1">
      <c r="A326" s="8"/>
      <c r="B326" s="30" t="s">
        <v>57</v>
      </c>
      <c r="C326" s="31" t="s">
        <v>102</v>
      </c>
      <c r="D326" s="31">
        <v>4.0</v>
      </c>
      <c r="E326" s="30"/>
      <c r="F326" s="30"/>
      <c r="G326" s="32" t="s">
        <v>61</v>
      </c>
      <c r="H326" s="44">
        <v>42675.38888888889</v>
      </c>
      <c r="I326" s="31" t="s">
        <v>103</v>
      </c>
      <c r="J326" s="31" t="str">
        <f>IFERROR(__xludf.DUMMYFUNCTION("IF(ISBLANK(I326), """", GOOGLETRANSLATE(I326, ""es"", ""en""))"),"Insertion date, Fields used by the institution for internal use")</f>
        <v>Insertion date, Fields used by the institution for internal use</v>
      </c>
    </row>
    <row r="327" ht="15.75" customHeight="1">
      <c r="A327" s="8"/>
      <c r="B327" s="30" t="s">
        <v>58</v>
      </c>
      <c r="C327" s="31" t="s">
        <v>60</v>
      </c>
      <c r="D327" s="31">
        <v>4.0</v>
      </c>
      <c r="E327" s="30">
        <v>10.0</v>
      </c>
      <c r="F327" s="30">
        <v>0.0</v>
      </c>
      <c r="G327" s="32" t="s">
        <v>100</v>
      </c>
      <c r="H327" s="32">
        <v>41.0</v>
      </c>
      <c r="I327" s="31" t="s">
        <v>104</v>
      </c>
      <c r="J327" s="31" t="str">
        <f>IFERROR(__xludf.DUMMYFUNCTION("IF(ISBLANK(I327), """", GOOGLETRANSLATE(I327, ""es"", ""en""))"),"Update User Callsign")</f>
        <v>Update User Callsign</v>
      </c>
    </row>
    <row r="328" ht="15.75" customHeight="1">
      <c r="A328" s="8"/>
      <c r="B328" s="30" t="s">
        <v>59</v>
      </c>
      <c r="C328" s="31" t="s">
        <v>102</v>
      </c>
      <c r="D328" s="31">
        <v>4.0</v>
      </c>
      <c r="E328" s="30"/>
      <c r="F328" s="30"/>
      <c r="G328" s="32" t="s">
        <v>100</v>
      </c>
      <c r="H328" s="44">
        <v>42675.38888888889</v>
      </c>
      <c r="I328" s="31" t="s">
        <v>105</v>
      </c>
      <c r="J328" s="31" t="str">
        <f>IFERROR(__xludf.DUMMYFUNCTION("IF(ISBLANK(I328), """", GOOGLETRANSLATE(I328, ""es"", ""en""))"),"Update date")</f>
        <v>Update date</v>
      </c>
    </row>
    <row r="329" ht="15.75" customHeight="1">
      <c r="C329" s="4"/>
      <c r="D329" s="4"/>
      <c r="H329" s="3"/>
      <c r="I329" s="31"/>
      <c r="J329" s="31"/>
    </row>
    <row r="330" ht="15.75" customHeight="1">
      <c r="C330" s="4"/>
      <c r="D330" s="4"/>
      <c r="H330" s="3"/>
      <c r="I330" s="4"/>
    </row>
    <row r="331" ht="15.75" customHeight="1">
      <c r="C331" s="4"/>
      <c r="D331" s="4"/>
      <c r="H331" s="3"/>
      <c r="I331" s="4"/>
    </row>
    <row r="332" ht="15.75" customHeight="1">
      <c r="C332" s="4"/>
      <c r="D332" s="4"/>
      <c r="H332" s="3"/>
      <c r="I332" s="4"/>
    </row>
    <row r="333" ht="15.75" customHeight="1">
      <c r="C333" s="4"/>
      <c r="D333" s="4"/>
      <c r="H333" s="3"/>
      <c r="I333" s="4"/>
    </row>
    <row r="334" ht="15.75" customHeight="1">
      <c r="A334" s="17"/>
      <c r="B334" s="38" t="s">
        <v>896</v>
      </c>
      <c r="C334" s="20"/>
      <c r="D334" s="20"/>
      <c r="E334" s="20"/>
      <c r="F334" s="20"/>
      <c r="G334" s="20"/>
      <c r="H334" s="20"/>
      <c r="I334" s="20"/>
      <c r="J334" s="22"/>
    </row>
    <row r="335" ht="33.75" customHeight="1">
      <c r="A335" s="18"/>
      <c r="B335" s="19" t="s">
        <v>897</v>
      </c>
      <c r="C335" s="20"/>
      <c r="D335" s="20"/>
      <c r="E335" s="20"/>
      <c r="F335" s="20"/>
      <c r="G335" s="20"/>
      <c r="H335" s="35" t="str">
        <f>IFERROR(__xludf.DUMMYFUNCTION("IF(ISBLANK(B335), """", GOOGLETRANSLATE(B335, ""es"", ""en""))"),"Geographic location of investment projects")</f>
        <v>Geographic location of investment projects</v>
      </c>
      <c r="I335" s="20"/>
      <c r="J335" s="22"/>
      <c r="K335" s="23"/>
      <c r="L335" s="23"/>
      <c r="M335" s="24" t="s">
        <v>33</v>
      </c>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row>
    <row r="336" ht="15.75" customHeight="1">
      <c r="A336" s="25"/>
      <c r="B336" s="26" t="s">
        <v>34</v>
      </c>
      <c r="C336" s="27" t="s">
        <v>35</v>
      </c>
      <c r="D336" s="27" t="s">
        <v>36</v>
      </c>
      <c r="E336" s="26" t="s">
        <v>37</v>
      </c>
      <c r="F336" s="26" t="s">
        <v>38</v>
      </c>
      <c r="G336" s="26" t="s">
        <v>39</v>
      </c>
      <c r="H336" s="28" t="s">
        <v>40</v>
      </c>
      <c r="I336" s="28" t="s">
        <v>41</v>
      </c>
      <c r="J336" s="28" t="s">
        <v>42</v>
      </c>
      <c r="K336" s="40" t="s">
        <v>898</v>
      </c>
      <c r="M336" s="6" t="s">
        <v>899</v>
      </c>
      <c r="N336" s="6" t="s">
        <v>158</v>
      </c>
      <c r="O336" s="6" t="s">
        <v>346</v>
      </c>
      <c r="P336" s="6" t="s">
        <v>248</v>
      </c>
      <c r="Q336" s="6" t="s">
        <v>900</v>
      </c>
      <c r="R336" s="6" t="s">
        <v>379</v>
      </c>
      <c r="S336" s="6" t="s">
        <v>380</v>
      </c>
      <c r="T336" s="6" t="s">
        <v>901</v>
      </c>
      <c r="U336" s="6" t="s">
        <v>902</v>
      </c>
      <c r="V336" s="6" t="s">
        <v>903</v>
      </c>
      <c r="W336" s="6" t="s">
        <v>904</v>
      </c>
      <c r="X336" s="6" t="s">
        <v>905</v>
      </c>
      <c r="Y336" s="6" t="s">
        <v>906</v>
      </c>
      <c r="Z336" s="6" t="s">
        <v>907</v>
      </c>
      <c r="AA336" s="6" t="s">
        <v>908</v>
      </c>
      <c r="AB336" s="6" t="s">
        <v>909</v>
      </c>
      <c r="AC336" s="6" t="s">
        <v>910</v>
      </c>
      <c r="AD336" s="6" t="s">
        <v>911</v>
      </c>
      <c r="AE336" s="6" t="s">
        <v>54</v>
      </c>
      <c r="AF336" s="6" t="s">
        <v>55</v>
      </c>
      <c r="AG336" s="6" t="s">
        <v>56</v>
      </c>
      <c r="AH336" s="6" t="s">
        <v>57</v>
      </c>
      <c r="AI336" s="6" t="s">
        <v>58</v>
      </c>
      <c r="AJ336" s="6" t="s">
        <v>59</v>
      </c>
    </row>
    <row r="337" ht="15.75" customHeight="1">
      <c r="A337" s="8"/>
      <c r="B337" s="30" t="s">
        <v>899</v>
      </c>
      <c r="C337" s="31" t="s">
        <v>60</v>
      </c>
      <c r="D337" s="31">
        <v>4.0</v>
      </c>
      <c r="E337" s="30">
        <v>10.0</v>
      </c>
      <c r="F337" s="30">
        <v>0.0</v>
      </c>
      <c r="G337" s="32" t="s">
        <v>61</v>
      </c>
      <c r="H337" s="32">
        <v>89.0</v>
      </c>
      <c r="I337" s="31" t="s">
        <v>912</v>
      </c>
      <c r="J337" s="31"/>
      <c r="K337" s="55" t="s">
        <v>913</v>
      </c>
      <c r="M337" s="30">
        <v>63.0</v>
      </c>
      <c r="N337" s="30">
        <v>49.0</v>
      </c>
      <c r="O337" s="30">
        <v>3731.0</v>
      </c>
      <c r="P337" s="30" t="s">
        <v>330</v>
      </c>
      <c r="Q337" s="30">
        <v>33.0</v>
      </c>
      <c r="R337" s="30">
        <v>3.0</v>
      </c>
      <c r="S337" s="30" t="s">
        <v>466</v>
      </c>
      <c r="T337" s="30">
        <v>6.0</v>
      </c>
      <c r="U337" s="30" t="s">
        <v>914</v>
      </c>
      <c r="V337" s="30">
        <v>9.0</v>
      </c>
      <c r="W337" s="30">
        <v>4.0</v>
      </c>
      <c r="X337" s="30" t="s">
        <v>915</v>
      </c>
      <c r="Y337" s="30">
        <v>33.0</v>
      </c>
      <c r="Z337" s="30">
        <v>0.0</v>
      </c>
      <c r="AA337" s="30"/>
      <c r="AB337" s="30" t="s">
        <v>66</v>
      </c>
      <c r="AC337" s="30" t="s">
        <v>67</v>
      </c>
      <c r="AD337" s="30">
        <v>33.0</v>
      </c>
      <c r="AE337" s="30" t="s">
        <v>68</v>
      </c>
      <c r="AF337" s="30">
        <v>0.0</v>
      </c>
      <c r="AG337" s="30">
        <v>1.0</v>
      </c>
      <c r="AH337" s="33">
        <v>42280.0</v>
      </c>
      <c r="AI337" s="30">
        <v>1.0</v>
      </c>
      <c r="AJ337" s="33">
        <v>42286.46319444444</v>
      </c>
    </row>
    <row r="338" ht="15.75" customHeight="1">
      <c r="A338" s="8"/>
      <c r="B338" s="30" t="s">
        <v>158</v>
      </c>
      <c r="C338" s="31" t="s">
        <v>60</v>
      </c>
      <c r="D338" s="31">
        <v>4.0</v>
      </c>
      <c r="E338" s="30">
        <v>10.0</v>
      </c>
      <c r="F338" s="30">
        <v>0.0</v>
      </c>
      <c r="G338" s="32" t="s">
        <v>100</v>
      </c>
      <c r="H338" s="32">
        <v>75.0</v>
      </c>
      <c r="I338" s="31" t="s">
        <v>196</v>
      </c>
      <c r="J338" s="31" t="str">
        <f>IFERROR(__xludf.DUMMYFUNCTION("IF(ISBLANK(I338), """", GOOGLETRANSLATE(I338, ""es"", ""en""))"),"Unique identifier of the Investment project (SNIP System)")</f>
        <v>Unique identifier of the Investment project (SNIP System)</v>
      </c>
      <c r="M338" s="30">
        <v>82.0</v>
      </c>
      <c r="N338" s="30">
        <v>67.0</v>
      </c>
      <c r="O338" s="30">
        <v>12342.0</v>
      </c>
      <c r="P338" s="30" t="s">
        <v>836</v>
      </c>
      <c r="Q338" s="30">
        <v>28.0</v>
      </c>
      <c r="R338" s="30">
        <v>3.0</v>
      </c>
      <c r="S338" s="30" t="s">
        <v>466</v>
      </c>
      <c r="T338" s="30">
        <v>7.0</v>
      </c>
      <c r="U338" s="30" t="s">
        <v>916</v>
      </c>
      <c r="V338" s="30">
        <v>10.0</v>
      </c>
      <c r="W338" s="30">
        <v>2.0</v>
      </c>
      <c r="X338" s="30" t="s">
        <v>917</v>
      </c>
      <c r="Y338" s="30">
        <v>28.0</v>
      </c>
      <c r="Z338" s="30">
        <v>0.0</v>
      </c>
      <c r="AA338" s="30"/>
      <c r="AB338" s="30" t="s">
        <v>66</v>
      </c>
      <c r="AC338" s="30" t="s">
        <v>67</v>
      </c>
      <c r="AD338" s="30">
        <v>100.0</v>
      </c>
      <c r="AE338" s="30" t="s">
        <v>68</v>
      </c>
      <c r="AF338" s="30">
        <v>0.0</v>
      </c>
      <c r="AG338" s="30">
        <v>1.0</v>
      </c>
      <c r="AH338" s="33">
        <v>42280.0</v>
      </c>
      <c r="AI338" s="30">
        <v>1.0</v>
      </c>
      <c r="AJ338" s="33">
        <v>42286.46319444444</v>
      </c>
    </row>
    <row r="339" ht="15.75" customHeight="1">
      <c r="A339" s="8"/>
      <c r="B339" s="30" t="s">
        <v>346</v>
      </c>
      <c r="C339" s="31" t="s">
        <v>60</v>
      </c>
      <c r="D339" s="31">
        <v>4.0</v>
      </c>
      <c r="E339" s="30">
        <v>10.0</v>
      </c>
      <c r="F339" s="30">
        <v>0.0</v>
      </c>
      <c r="G339" s="32" t="s">
        <v>100</v>
      </c>
      <c r="H339" s="32">
        <v>5357.0</v>
      </c>
      <c r="I339" s="31" t="s">
        <v>725</v>
      </c>
      <c r="J339" s="31" t="str">
        <f>IFERROR(__xludf.DUMMYFUNCTION("IF(ISBLANK(I339), """", GOOGLETRANSLATE(I339, ""es"", ""en""))"),"Investment project identifier")</f>
        <v>Investment project identifier</v>
      </c>
      <c r="M339" s="30">
        <v>89.0</v>
      </c>
      <c r="N339" s="30">
        <v>75.0</v>
      </c>
      <c r="O339" s="30">
        <v>5357.0</v>
      </c>
      <c r="P339" s="30" t="s">
        <v>566</v>
      </c>
      <c r="Q339" s="30">
        <v>21.0</v>
      </c>
      <c r="R339" s="30">
        <v>3.0</v>
      </c>
      <c r="S339" s="30" t="s">
        <v>466</v>
      </c>
      <c r="T339" s="30">
        <v>3.0</v>
      </c>
      <c r="U339" s="30" t="s">
        <v>918</v>
      </c>
      <c r="V339" s="30">
        <v>6.0</v>
      </c>
      <c r="W339" s="30">
        <v>19.0</v>
      </c>
      <c r="X339" s="30" t="s">
        <v>919</v>
      </c>
      <c r="Y339" s="30">
        <v>21.0</v>
      </c>
      <c r="Z339" s="30">
        <v>0.0</v>
      </c>
      <c r="AA339" s="30"/>
      <c r="AB339" s="30" t="s">
        <v>66</v>
      </c>
      <c r="AC339" s="30" t="s">
        <v>67</v>
      </c>
      <c r="AD339" s="30">
        <v>100.0</v>
      </c>
      <c r="AE339" s="30" t="s">
        <v>68</v>
      </c>
      <c r="AF339" s="30">
        <v>0.0</v>
      </c>
      <c r="AG339" s="30">
        <v>1.0</v>
      </c>
      <c r="AH339" s="33">
        <v>42280.0</v>
      </c>
      <c r="AI339" s="30">
        <v>1.0</v>
      </c>
      <c r="AJ339" s="33">
        <v>42286.46319444444</v>
      </c>
    </row>
    <row r="340" ht="15.75" customHeight="1">
      <c r="A340" s="8"/>
      <c r="B340" s="30" t="s">
        <v>248</v>
      </c>
      <c r="C340" s="31" t="s">
        <v>82</v>
      </c>
      <c r="D340" s="31">
        <v>250.0</v>
      </c>
      <c r="E340" s="30"/>
      <c r="F340" s="30"/>
      <c r="G340" s="32" t="s">
        <v>100</v>
      </c>
      <c r="H340" s="32" t="s">
        <v>566</v>
      </c>
      <c r="I340" s="31" t="s">
        <v>892</v>
      </c>
      <c r="J340" s="31" t="str">
        <f>IFERROR(__xludf.DUMMYFUNCTION("IF(ISBLANK(I340), """", GOOGLETRANSLATE(I340, ""es"", ""en""))"),"Investment project description")</f>
        <v>Investment project description</v>
      </c>
      <c r="M340" s="30">
        <v>102.0</v>
      </c>
      <c r="N340" s="30">
        <v>40.0</v>
      </c>
      <c r="O340" s="30">
        <v>6810.0</v>
      </c>
      <c r="P340" s="30" t="s">
        <v>477</v>
      </c>
      <c r="Q340" s="30">
        <v>198.0</v>
      </c>
      <c r="R340" s="30">
        <v>4.0</v>
      </c>
      <c r="S340" s="30" t="s">
        <v>445</v>
      </c>
      <c r="T340" s="30">
        <v>10.0</v>
      </c>
      <c r="U340" s="30" t="s">
        <v>920</v>
      </c>
      <c r="V340" s="30">
        <v>13.0</v>
      </c>
      <c r="W340" s="30">
        <v>32.0</v>
      </c>
      <c r="X340" s="30" t="s">
        <v>921</v>
      </c>
      <c r="Y340" s="30">
        <v>45.0</v>
      </c>
      <c r="Z340" s="30">
        <v>3.0</v>
      </c>
      <c r="AA340" s="30" t="s">
        <v>922</v>
      </c>
      <c r="AB340" s="30" t="s">
        <v>66</v>
      </c>
      <c r="AC340" s="30" t="s">
        <v>67</v>
      </c>
      <c r="AD340" s="30">
        <v>50.0</v>
      </c>
      <c r="AE340" s="30" t="s">
        <v>68</v>
      </c>
      <c r="AF340" s="30">
        <v>0.0</v>
      </c>
      <c r="AG340" s="30">
        <v>1.0</v>
      </c>
      <c r="AH340" s="33">
        <v>42280.0</v>
      </c>
      <c r="AI340" s="30">
        <v>1.0</v>
      </c>
      <c r="AJ340" s="33">
        <v>42286.46319444444</v>
      </c>
    </row>
    <row r="341" ht="15.75" customHeight="1">
      <c r="A341" s="8"/>
      <c r="B341" s="30" t="s">
        <v>900</v>
      </c>
      <c r="C341" s="31" t="s">
        <v>60</v>
      </c>
      <c r="D341" s="31">
        <v>4.0</v>
      </c>
      <c r="E341" s="30">
        <v>10.0</v>
      </c>
      <c r="F341" s="30">
        <v>0.0</v>
      </c>
      <c r="G341" s="32" t="s">
        <v>100</v>
      </c>
      <c r="H341" s="32">
        <v>21.0</v>
      </c>
      <c r="I341" s="31"/>
      <c r="J341" s="31" t="str">
        <f>IFERROR(__xludf.DUMMYFUNCTION("IF(ISBLANK(I341), """", GOOGLETRANSLATE(I341, ""es"", ""en""))"),"")</f>
        <v/>
      </c>
      <c r="M341" s="30">
        <v>103.0</v>
      </c>
      <c r="N341" s="30">
        <v>40.0</v>
      </c>
      <c r="O341" s="30">
        <v>6810.0</v>
      </c>
      <c r="P341" s="30" t="s">
        <v>477</v>
      </c>
      <c r="Q341" s="30">
        <v>195.0</v>
      </c>
      <c r="R341" s="30">
        <v>4.0</v>
      </c>
      <c r="S341" s="30" t="s">
        <v>445</v>
      </c>
      <c r="T341" s="30">
        <v>10.0</v>
      </c>
      <c r="U341" s="30" t="s">
        <v>920</v>
      </c>
      <c r="V341" s="30">
        <v>13.0</v>
      </c>
      <c r="W341" s="30">
        <v>32.0</v>
      </c>
      <c r="X341" s="30" t="s">
        <v>921</v>
      </c>
      <c r="Y341" s="30">
        <v>45.0</v>
      </c>
      <c r="Z341" s="30">
        <v>1.0</v>
      </c>
      <c r="AA341" s="30" t="s">
        <v>923</v>
      </c>
      <c r="AB341" s="30" t="s">
        <v>66</v>
      </c>
      <c r="AC341" s="30" t="s">
        <v>67</v>
      </c>
      <c r="AD341" s="30">
        <v>50.0</v>
      </c>
      <c r="AE341" s="30" t="s">
        <v>68</v>
      </c>
      <c r="AF341" s="30">
        <v>0.0</v>
      </c>
      <c r="AG341" s="30">
        <v>1.0</v>
      </c>
      <c r="AH341" s="33">
        <v>42280.0</v>
      </c>
      <c r="AI341" s="30">
        <v>1.0</v>
      </c>
      <c r="AJ341" s="33">
        <v>42286.46319444444</v>
      </c>
    </row>
    <row r="342" ht="15.75" customHeight="1">
      <c r="A342" s="8"/>
      <c r="B342" s="30" t="s">
        <v>379</v>
      </c>
      <c r="C342" s="31" t="s">
        <v>60</v>
      </c>
      <c r="D342" s="31">
        <v>4.0</v>
      </c>
      <c r="E342" s="30">
        <v>10.0</v>
      </c>
      <c r="F342" s="30">
        <v>0.0</v>
      </c>
      <c r="G342" s="32" t="s">
        <v>61</v>
      </c>
      <c r="H342" s="32">
        <v>3.0</v>
      </c>
      <c r="I342" s="31" t="s">
        <v>924</v>
      </c>
      <c r="J342" s="31" t="str">
        <f>IFERROR(__xludf.DUMMYFUNCTION("IF(ISBLANK(I342), """", GOOGLETRANSLATE(I342, ""es"", ""en""))"),"Influence area identifier")</f>
        <v>Influence area identifier</v>
      </c>
      <c r="M342" s="30">
        <v>107.0</v>
      </c>
      <c r="N342" s="30">
        <v>95.0</v>
      </c>
      <c r="O342" s="30">
        <v>4340.0</v>
      </c>
      <c r="P342" s="30" t="s">
        <v>433</v>
      </c>
      <c r="Q342" s="30">
        <v>124.0</v>
      </c>
      <c r="R342" s="30">
        <v>4.0</v>
      </c>
      <c r="S342" s="30" t="s">
        <v>445</v>
      </c>
      <c r="T342" s="30">
        <v>5.0</v>
      </c>
      <c r="U342" s="30" t="s">
        <v>925</v>
      </c>
      <c r="V342" s="30">
        <v>8.0</v>
      </c>
      <c r="W342" s="30">
        <v>17.0</v>
      </c>
      <c r="X342" s="30" t="s">
        <v>926</v>
      </c>
      <c r="Y342" s="30">
        <v>29.0</v>
      </c>
      <c r="Z342" s="30">
        <v>1.0</v>
      </c>
      <c r="AA342" s="30" t="s">
        <v>927</v>
      </c>
      <c r="AB342" s="30" t="s">
        <v>66</v>
      </c>
      <c r="AC342" s="30" t="s">
        <v>67</v>
      </c>
      <c r="AD342" s="30">
        <v>50.0</v>
      </c>
      <c r="AE342" s="30" t="s">
        <v>68</v>
      </c>
      <c r="AF342" s="30">
        <v>0.0</v>
      </c>
      <c r="AG342" s="30">
        <v>1.0</v>
      </c>
      <c r="AH342" s="33">
        <v>42280.0</v>
      </c>
      <c r="AI342" s="30">
        <v>1.0</v>
      </c>
      <c r="AJ342" s="33">
        <v>42286.46319444444</v>
      </c>
    </row>
    <row r="343" ht="15.75" customHeight="1">
      <c r="A343" s="8"/>
      <c r="B343" s="30" t="s">
        <v>380</v>
      </c>
      <c r="C343" s="31" t="s">
        <v>82</v>
      </c>
      <c r="D343" s="31">
        <v>16.0</v>
      </c>
      <c r="E343" s="30"/>
      <c r="F343" s="30"/>
      <c r="G343" s="32" t="s">
        <v>61</v>
      </c>
      <c r="H343" s="32" t="s">
        <v>466</v>
      </c>
      <c r="I343" s="31" t="s">
        <v>928</v>
      </c>
      <c r="J343" s="31" t="str">
        <f>IFERROR(__xludf.DUMMYFUNCTION("IF(ISBLANK(I343), """", GOOGLETRANSLATE(I343, ""es"", ""en""))"),"Description of the area of ​​influence")</f>
        <v>Description of the area of ​​influence</v>
      </c>
      <c r="M343" s="30">
        <v>108.0</v>
      </c>
      <c r="N343" s="30">
        <v>95.0</v>
      </c>
      <c r="O343" s="30">
        <v>4340.0</v>
      </c>
      <c r="P343" s="30" t="s">
        <v>433</v>
      </c>
      <c r="Q343" s="30">
        <v>125.0</v>
      </c>
      <c r="R343" s="30">
        <v>4.0</v>
      </c>
      <c r="S343" s="30" t="s">
        <v>445</v>
      </c>
      <c r="T343" s="30">
        <v>5.0</v>
      </c>
      <c r="U343" s="30" t="s">
        <v>925</v>
      </c>
      <c r="V343" s="30">
        <v>8.0</v>
      </c>
      <c r="W343" s="30">
        <v>17.0</v>
      </c>
      <c r="X343" s="30" t="s">
        <v>926</v>
      </c>
      <c r="Y343" s="30">
        <v>29.0</v>
      </c>
      <c r="Z343" s="30">
        <v>2.0</v>
      </c>
      <c r="AA343" s="30" t="s">
        <v>929</v>
      </c>
      <c r="AB343" s="30" t="s">
        <v>66</v>
      </c>
      <c r="AC343" s="30" t="s">
        <v>67</v>
      </c>
      <c r="AD343" s="30">
        <v>50.0</v>
      </c>
      <c r="AE343" s="30" t="s">
        <v>68</v>
      </c>
      <c r="AF343" s="30">
        <v>0.0</v>
      </c>
      <c r="AG343" s="30">
        <v>1.0</v>
      </c>
      <c r="AH343" s="33">
        <v>42280.0</v>
      </c>
      <c r="AI343" s="30">
        <v>1.0</v>
      </c>
      <c r="AJ343" s="33">
        <v>42286.46319444444</v>
      </c>
    </row>
    <row r="344" ht="15.75" customHeight="1">
      <c r="A344" s="8"/>
      <c r="B344" s="30" t="s">
        <v>901</v>
      </c>
      <c r="C344" s="31" t="s">
        <v>82</v>
      </c>
      <c r="D344" s="31">
        <v>2.0</v>
      </c>
      <c r="E344" s="30"/>
      <c r="F344" s="30"/>
      <c r="G344" s="32" t="s">
        <v>100</v>
      </c>
      <c r="H344" s="32">
        <v>3.0</v>
      </c>
      <c r="I344" s="31" t="s">
        <v>930</v>
      </c>
      <c r="J344" s="31" t="str">
        <f>IFERROR(__xludf.DUMMYFUNCTION("IF(ISBLANK(I344), """", GOOGLETRANSLATE(I344, ""es"", ""en""))"),"Region Code")</f>
        <v>Region Code</v>
      </c>
      <c r="M344" s="30">
        <v>177.0</v>
      </c>
      <c r="N344" s="30">
        <v>160.0</v>
      </c>
      <c r="O344" s="30">
        <v>4335.0</v>
      </c>
      <c r="P344" s="30" t="s">
        <v>931</v>
      </c>
      <c r="Q344" s="30">
        <v>44.0</v>
      </c>
      <c r="R344" s="30">
        <v>3.0</v>
      </c>
      <c r="S344" s="30" t="s">
        <v>466</v>
      </c>
      <c r="T344" s="30">
        <v>10.0</v>
      </c>
      <c r="U344" s="30" t="s">
        <v>920</v>
      </c>
      <c r="V344" s="30">
        <v>13.0</v>
      </c>
      <c r="W344" s="30">
        <v>1.0</v>
      </c>
      <c r="X344" s="30" t="s">
        <v>932</v>
      </c>
      <c r="Y344" s="30">
        <v>44.0</v>
      </c>
      <c r="Z344" s="30">
        <v>0.0</v>
      </c>
      <c r="AA344" s="30"/>
      <c r="AB344" s="30" t="s">
        <v>66</v>
      </c>
      <c r="AC344" s="30" t="s">
        <v>67</v>
      </c>
      <c r="AD344" s="30">
        <v>100.0</v>
      </c>
      <c r="AE344" s="30" t="s">
        <v>68</v>
      </c>
      <c r="AF344" s="30">
        <v>0.0</v>
      </c>
      <c r="AG344" s="30">
        <v>1.0</v>
      </c>
      <c r="AH344" s="33">
        <v>42280.0</v>
      </c>
      <c r="AI344" s="30">
        <v>1.0</v>
      </c>
      <c r="AJ344" s="33">
        <v>42286.46319444444</v>
      </c>
    </row>
    <row r="345" ht="15.75" customHeight="1">
      <c r="A345" s="8"/>
      <c r="B345" s="30" t="s">
        <v>902</v>
      </c>
      <c r="C345" s="31" t="s">
        <v>82</v>
      </c>
      <c r="D345" s="31">
        <v>120.0</v>
      </c>
      <c r="E345" s="30"/>
      <c r="F345" s="30"/>
      <c r="G345" s="32" t="s">
        <v>100</v>
      </c>
      <c r="H345" s="32" t="s">
        <v>918</v>
      </c>
      <c r="I345" s="31" t="s">
        <v>933</v>
      </c>
      <c r="J345" s="31" t="str">
        <f>IFERROR(__xludf.DUMMYFUNCTION("IF(ISBLANK(I345), """", GOOGLETRANSLATE(I345, ""es"", ""en""))"),"Region Description")</f>
        <v>Region Description</v>
      </c>
      <c r="M345" s="30">
        <v>325.0</v>
      </c>
      <c r="N345" s="30">
        <v>280.0</v>
      </c>
      <c r="O345" s="30">
        <v>6347.0</v>
      </c>
      <c r="P345" s="30" t="s">
        <v>934</v>
      </c>
      <c r="Q345" s="30">
        <v>17.0</v>
      </c>
      <c r="R345" s="30">
        <v>3.0</v>
      </c>
      <c r="S345" s="30" t="s">
        <v>466</v>
      </c>
      <c r="T345" s="30">
        <v>2.0</v>
      </c>
      <c r="U345" s="30" t="s">
        <v>935</v>
      </c>
      <c r="V345" s="30">
        <v>5.0</v>
      </c>
      <c r="W345" s="30">
        <v>13.0</v>
      </c>
      <c r="X345" s="30" t="s">
        <v>936</v>
      </c>
      <c r="Y345" s="30">
        <v>17.0</v>
      </c>
      <c r="Z345" s="30">
        <v>0.0</v>
      </c>
      <c r="AA345" s="30"/>
      <c r="AB345" s="30" t="s">
        <v>66</v>
      </c>
      <c r="AC345" s="30" t="s">
        <v>67</v>
      </c>
      <c r="AD345" s="30">
        <v>100.0</v>
      </c>
      <c r="AE345" s="30" t="s">
        <v>68</v>
      </c>
      <c r="AF345" s="30">
        <v>0.0</v>
      </c>
      <c r="AG345" s="30">
        <v>1.0</v>
      </c>
      <c r="AH345" s="33">
        <v>42280.0</v>
      </c>
      <c r="AI345" s="30">
        <v>1.0</v>
      </c>
      <c r="AJ345" s="33">
        <v>42286.46319444444</v>
      </c>
    </row>
    <row r="346" ht="15.75" customHeight="1">
      <c r="A346" s="8"/>
      <c r="B346" s="30" t="s">
        <v>903</v>
      </c>
      <c r="C346" s="31" t="s">
        <v>60</v>
      </c>
      <c r="D346" s="31">
        <v>4.0</v>
      </c>
      <c r="E346" s="30">
        <v>10.0</v>
      </c>
      <c r="F346" s="30">
        <v>0.0</v>
      </c>
      <c r="G346" s="32" t="s">
        <v>61</v>
      </c>
      <c r="H346" s="32">
        <v>6.0</v>
      </c>
      <c r="I346" s="31" t="s">
        <v>937</v>
      </c>
      <c r="J346" s="31" t="str">
        <f>IFERROR(__xludf.DUMMYFUNCTION("IF(ISBLANK(I346), """", GOOGLETRANSLATE(I346, ""es"", ""en""))"),"Region Coding (Other Coding)")</f>
        <v>Region Coding (Other Coding)</v>
      </c>
      <c r="M346" s="30">
        <v>389.0</v>
      </c>
      <c r="N346" s="30">
        <v>259.0</v>
      </c>
      <c r="O346" s="30">
        <v>1441.0</v>
      </c>
      <c r="P346" s="30" t="s">
        <v>577</v>
      </c>
      <c r="Q346" s="30">
        <v>17.0</v>
      </c>
      <c r="R346" s="30">
        <v>3.0</v>
      </c>
      <c r="S346" s="30" t="s">
        <v>466</v>
      </c>
      <c r="T346" s="30">
        <v>2.0</v>
      </c>
      <c r="U346" s="30" t="s">
        <v>935</v>
      </c>
      <c r="V346" s="30">
        <v>5.0</v>
      </c>
      <c r="W346" s="30">
        <v>13.0</v>
      </c>
      <c r="X346" s="30" t="s">
        <v>936</v>
      </c>
      <c r="Y346" s="30">
        <v>17.0</v>
      </c>
      <c r="Z346" s="30">
        <v>0.0</v>
      </c>
      <c r="AA346" s="30"/>
      <c r="AB346" s="30" t="s">
        <v>66</v>
      </c>
      <c r="AC346" s="30" t="s">
        <v>67</v>
      </c>
      <c r="AD346" s="30">
        <v>100.0</v>
      </c>
      <c r="AE346" s="30" t="s">
        <v>68</v>
      </c>
      <c r="AF346" s="30">
        <v>0.0</v>
      </c>
      <c r="AG346" s="30">
        <v>1.0</v>
      </c>
      <c r="AH346" s="33">
        <v>42280.0</v>
      </c>
      <c r="AI346" s="30">
        <v>1.0</v>
      </c>
      <c r="AJ346" s="33">
        <v>42286.46319444444</v>
      </c>
    </row>
    <row r="347" ht="15.75" customHeight="1">
      <c r="A347" s="8"/>
      <c r="B347" s="30" t="s">
        <v>904</v>
      </c>
      <c r="C347" s="31" t="s">
        <v>82</v>
      </c>
      <c r="D347" s="31">
        <v>2.0</v>
      </c>
      <c r="E347" s="30"/>
      <c r="F347" s="30"/>
      <c r="G347" s="32" t="s">
        <v>100</v>
      </c>
      <c r="H347" s="32">
        <v>19.0</v>
      </c>
      <c r="I347" s="31" t="s">
        <v>938</v>
      </c>
      <c r="J347" s="31" t="str">
        <f>IFERROR(__xludf.DUMMYFUNCTION("IF(ISBLANK(I347), """", GOOGLETRANSLATE(I347, ""es"", ""en""))"),"Province Code")</f>
        <v>Province Code</v>
      </c>
    </row>
    <row r="348" ht="15.75" customHeight="1">
      <c r="A348" s="8"/>
      <c r="B348" s="30" t="s">
        <v>905</v>
      </c>
      <c r="C348" s="31" t="s">
        <v>82</v>
      </c>
      <c r="D348" s="31">
        <v>120.0</v>
      </c>
      <c r="E348" s="30"/>
      <c r="F348" s="30"/>
      <c r="G348" s="32" t="s">
        <v>100</v>
      </c>
      <c r="H348" s="32" t="s">
        <v>919</v>
      </c>
      <c r="I348" s="31" t="s">
        <v>939</v>
      </c>
      <c r="J348" s="31" t="str">
        <f>IFERROR(__xludf.DUMMYFUNCTION("IF(ISBLANK(I348), """", GOOGLETRANSLATE(I348, ""es"", ""en""))"),"Description of the Province")</f>
        <v>Description of the Province</v>
      </c>
    </row>
    <row r="349" ht="15.75" customHeight="1">
      <c r="A349" s="8"/>
      <c r="B349" s="30" t="s">
        <v>906</v>
      </c>
      <c r="C349" s="31" t="s">
        <v>60</v>
      </c>
      <c r="D349" s="31">
        <v>4.0</v>
      </c>
      <c r="E349" s="30">
        <v>10.0</v>
      </c>
      <c r="F349" s="30">
        <v>0.0</v>
      </c>
      <c r="G349" s="32" t="s">
        <v>61</v>
      </c>
      <c r="H349" s="32">
        <v>21.0</v>
      </c>
      <c r="I349" s="31" t="s">
        <v>940</v>
      </c>
      <c r="J349" s="31" t="str">
        <f>IFERROR(__xludf.DUMMYFUNCTION("IF(ISBLANK(I349), """", GOOGLETRANSLATE(I349, ""es"", ""en""))"),"Codification of the Province (Other codification)")</f>
        <v>Codification of the Province (Other codification)</v>
      </c>
    </row>
    <row r="350" ht="15.75" customHeight="1">
      <c r="A350" s="8"/>
      <c r="B350" s="30" t="s">
        <v>907</v>
      </c>
      <c r="C350" s="31" t="s">
        <v>82</v>
      </c>
      <c r="D350" s="31">
        <v>4.0</v>
      </c>
      <c r="E350" s="30"/>
      <c r="F350" s="30"/>
      <c r="G350" s="32" t="s">
        <v>100</v>
      </c>
      <c r="H350" s="32">
        <v>0.0</v>
      </c>
      <c r="I350" s="31" t="s">
        <v>941</v>
      </c>
      <c r="J350" s="31" t="str">
        <f>IFERROR(__xludf.DUMMYFUNCTION("IF(ISBLANK(I350), """", GOOGLETRANSLATE(I350, ""es"", ""en""))"),"Municipal Code")</f>
        <v>Municipal Code</v>
      </c>
    </row>
    <row r="351" ht="15.75" customHeight="1">
      <c r="A351" s="8"/>
      <c r="B351" s="30" t="s">
        <v>908</v>
      </c>
      <c r="C351" s="31" t="s">
        <v>82</v>
      </c>
      <c r="D351" s="31">
        <v>120.0</v>
      </c>
      <c r="E351" s="30"/>
      <c r="F351" s="30"/>
      <c r="G351" s="32" t="s">
        <v>100</v>
      </c>
      <c r="H351" s="32"/>
      <c r="I351" s="31" t="s">
        <v>942</v>
      </c>
      <c r="J351" s="31" t="str">
        <f>IFERROR(__xludf.DUMMYFUNCTION("IF(ISBLANK(I351), """", GOOGLETRANSLATE(I351, ""es"", ""en""))"),"Description of the Municipality")</f>
        <v>Description of the Municipality</v>
      </c>
    </row>
    <row r="352" ht="15.75" customHeight="1">
      <c r="A352" s="8"/>
      <c r="B352" s="30" t="s">
        <v>909</v>
      </c>
      <c r="C352" s="31" t="s">
        <v>82</v>
      </c>
      <c r="D352" s="31">
        <v>1.0</v>
      </c>
      <c r="E352" s="30"/>
      <c r="F352" s="30"/>
      <c r="G352" s="32" t="s">
        <v>61</v>
      </c>
      <c r="H352" s="32" t="s">
        <v>66</v>
      </c>
      <c r="I352" s="31" t="s">
        <v>943</v>
      </c>
      <c r="J352" s="31" t="str">
        <f>IFERROR(__xludf.DUMMYFUNCTION("IF(ISBLANK(I352), """", GOOGLETRANSLATE(I352, ""es"", ""en""))"),"Geometry status (YES/NO)")</f>
        <v>Geometry status (YES/NO)</v>
      </c>
    </row>
    <row r="353" ht="15.75" customHeight="1">
      <c r="A353" s="8"/>
      <c r="B353" s="30" t="s">
        <v>910</v>
      </c>
      <c r="C353" s="31" t="s">
        <v>82</v>
      </c>
      <c r="D353" s="31">
        <v>13.0</v>
      </c>
      <c r="E353" s="30"/>
      <c r="F353" s="30"/>
      <c r="G353" s="32" t="s">
        <v>61</v>
      </c>
      <c r="H353" s="32" t="s">
        <v>67</v>
      </c>
      <c r="I353" s="31" t="s">
        <v>943</v>
      </c>
      <c r="J353" s="31" t="str">
        <f>IFERROR(__xludf.DUMMYFUNCTION("IF(ISBLANK(I353), """", GOOGLETRANSLATE(I353, ""es"", ""en""))"),"Geometry status (YES/NO)")</f>
        <v>Geometry status (YES/NO)</v>
      </c>
    </row>
    <row r="354" ht="15.75" customHeight="1">
      <c r="A354" s="8"/>
      <c r="B354" s="30" t="s">
        <v>911</v>
      </c>
      <c r="C354" s="31" t="s">
        <v>60</v>
      </c>
      <c r="D354" s="31">
        <v>4.0</v>
      </c>
      <c r="E354" s="30">
        <v>10.0</v>
      </c>
      <c r="F354" s="30">
        <v>0.0</v>
      </c>
      <c r="G354" s="32" t="s">
        <v>100</v>
      </c>
      <c r="H354" s="32">
        <v>100.0</v>
      </c>
      <c r="I354" s="31" t="s">
        <v>944</v>
      </c>
      <c r="J354" s="31" t="str">
        <f>IFERROR(__xludf.DUMMYFUNCTION("IF(ISBLANK(I354), """", GOOGLETRANSLATE(I354, ""es"", ""en""))"),"Percentage (To be reviewed)")</f>
        <v>Percentage (To be reviewed)</v>
      </c>
    </row>
    <row r="355" ht="15.75" customHeight="1">
      <c r="A355" s="8"/>
      <c r="B355" s="30" t="s">
        <v>54</v>
      </c>
      <c r="C355" s="31" t="s">
        <v>82</v>
      </c>
      <c r="D355" s="31">
        <v>32.0</v>
      </c>
      <c r="E355" s="30"/>
      <c r="F355" s="30"/>
      <c r="G355" s="32" t="s">
        <v>61</v>
      </c>
      <c r="H355" s="32" t="s">
        <v>68</v>
      </c>
      <c r="I355" s="31" t="s">
        <v>945</v>
      </c>
      <c r="J355" s="31" t="str">
        <f>IFERROR(__xludf.DUMMYFUNCTION("IF(ISBLANK(I355), """", GOOGLETRANSLATE(I355, ""es"", ""en""))"),"Registration Status")</f>
        <v>Registration Status</v>
      </c>
    </row>
    <row r="356" ht="15.75" customHeight="1">
      <c r="A356" s="8"/>
      <c r="B356" s="30" t="s">
        <v>55</v>
      </c>
      <c r="C356" s="31" t="s">
        <v>60</v>
      </c>
      <c r="D356" s="31">
        <v>4.0</v>
      </c>
      <c r="E356" s="30">
        <v>10.0</v>
      </c>
      <c r="F356" s="30">
        <v>0.0</v>
      </c>
      <c r="G356" s="32" t="s">
        <v>100</v>
      </c>
      <c r="H356" s="32">
        <v>0.0</v>
      </c>
      <c r="I356" s="31"/>
      <c r="J356" s="31" t="str">
        <f>IFERROR(__xludf.DUMMYFUNCTION("IF(ISBLANK(I356), """", GOOGLETRANSLATE(I356, ""es"", ""en""))"),"")</f>
        <v/>
      </c>
    </row>
    <row r="357" ht="15.75" customHeight="1">
      <c r="A357" s="8"/>
      <c r="B357" s="30" t="s">
        <v>56</v>
      </c>
      <c r="C357" s="31" t="s">
        <v>60</v>
      </c>
      <c r="D357" s="31">
        <v>4.0</v>
      </c>
      <c r="E357" s="30">
        <v>10.0</v>
      </c>
      <c r="F357" s="30">
        <v>0.0</v>
      </c>
      <c r="G357" s="32" t="s">
        <v>61</v>
      </c>
      <c r="H357" s="32">
        <v>1.0</v>
      </c>
      <c r="I357" s="31" t="s">
        <v>101</v>
      </c>
      <c r="J357" s="31" t="str">
        <f>IFERROR(__xludf.DUMMYFUNCTION("IF(ISBLANK(I357), """", GOOGLETRANSLATE(I357, ""es"", ""en""))"),"User who inserted the record, Fields used by the institution for internal use")</f>
        <v>User who inserted the record, Fields used by the institution for internal use</v>
      </c>
    </row>
    <row r="358" ht="15.75" customHeight="1">
      <c r="A358" s="8"/>
      <c r="B358" s="30" t="s">
        <v>57</v>
      </c>
      <c r="C358" s="31" t="s">
        <v>102</v>
      </c>
      <c r="D358" s="31">
        <v>4.0</v>
      </c>
      <c r="E358" s="30"/>
      <c r="F358" s="30"/>
      <c r="G358" s="32" t="s">
        <v>61</v>
      </c>
      <c r="H358" s="44">
        <v>42280.0</v>
      </c>
      <c r="I358" s="31" t="s">
        <v>103</v>
      </c>
      <c r="J358" s="31" t="str">
        <f>IFERROR(__xludf.DUMMYFUNCTION("IF(ISBLANK(I358), """", GOOGLETRANSLATE(I358, ""es"", ""en""))"),"Insertion date, Fields used by the institution for internal use")</f>
        <v>Insertion date, Fields used by the institution for internal use</v>
      </c>
    </row>
    <row r="359" ht="15.75" customHeight="1">
      <c r="A359" s="8"/>
      <c r="B359" s="30" t="s">
        <v>58</v>
      </c>
      <c r="C359" s="31" t="s">
        <v>60</v>
      </c>
      <c r="D359" s="31">
        <v>4.0</v>
      </c>
      <c r="E359" s="30">
        <v>10.0</v>
      </c>
      <c r="F359" s="30">
        <v>0.0</v>
      </c>
      <c r="G359" s="32" t="s">
        <v>100</v>
      </c>
      <c r="H359" s="32">
        <v>1.0</v>
      </c>
      <c r="I359" s="31" t="s">
        <v>104</v>
      </c>
      <c r="J359" s="31" t="str">
        <f>IFERROR(__xludf.DUMMYFUNCTION("IF(ISBLANK(I359), """", GOOGLETRANSLATE(I359, ""es"", ""en""))"),"Update User Callsign")</f>
        <v>Update User Callsign</v>
      </c>
    </row>
    <row r="360" ht="15.75" customHeight="1">
      <c r="A360" s="8"/>
      <c r="B360" s="30" t="s">
        <v>59</v>
      </c>
      <c r="C360" s="31" t="s">
        <v>102</v>
      </c>
      <c r="D360" s="31">
        <v>4.0</v>
      </c>
      <c r="E360" s="30"/>
      <c r="F360" s="30"/>
      <c r="G360" s="32" t="s">
        <v>100</v>
      </c>
      <c r="H360" s="44">
        <v>42286.46319444444</v>
      </c>
      <c r="I360" s="31" t="s">
        <v>105</v>
      </c>
      <c r="J360" s="31" t="str">
        <f>IFERROR(__xludf.DUMMYFUNCTION("IF(ISBLANK(I360), """", GOOGLETRANSLATE(I360, ""es"", ""en""))"),"Update date")</f>
        <v>Update date</v>
      </c>
    </row>
    <row r="361" ht="15.75" customHeight="1">
      <c r="C361" s="4"/>
      <c r="D361" s="4"/>
      <c r="H361" s="3"/>
      <c r="I361" s="4"/>
    </row>
    <row r="362" ht="15.75" customHeight="1">
      <c r="C362" s="4"/>
      <c r="D362" s="4"/>
      <c r="H362" s="3"/>
      <c r="I362" s="4"/>
    </row>
    <row r="363" ht="15.75" customHeight="1">
      <c r="C363" s="4"/>
      <c r="D363" s="4"/>
      <c r="H363" s="3"/>
      <c r="I363" s="4"/>
    </row>
    <row r="364" ht="15.75" customHeight="1">
      <c r="C364" s="4"/>
      <c r="D364" s="4"/>
      <c r="H364" s="3"/>
      <c r="I364" s="4"/>
    </row>
    <row r="365" ht="15.75" customHeight="1">
      <c r="C365" s="4"/>
      <c r="D365" s="4"/>
      <c r="H365" s="3"/>
      <c r="I365" s="4"/>
    </row>
    <row r="366" ht="15.75" customHeight="1">
      <c r="C366" s="4"/>
      <c r="D366" s="4"/>
      <c r="H366" s="3"/>
      <c r="I366" s="4"/>
    </row>
    <row r="367" ht="15.75" customHeight="1">
      <c r="C367" s="4"/>
      <c r="D367" s="4"/>
      <c r="H367" s="3"/>
      <c r="I367" s="4"/>
    </row>
    <row r="368" ht="15.75" customHeight="1">
      <c r="C368" s="4"/>
      <c r="D368" s="4"/>
      <c r="H368" s="3"/>
      <c r="I368" s="4"/>
    </row>
    <row r="369" ht="15.75" customHeight="1">
      <c r="C369" s="4"/>
      <c r="D369" s="4"/>
      <c r="H369" s="3"/>
      <c r="I369" s="4"/>
    </row>
    <row r="370" ht="15.75" customHeight="1">
      <c r="C370" s="4"/>
      <c r="D370" s="4"/>
      <c r="H370" s="3"/>
      <c r="I370" s="4"/>
    </row>
    <row r="371" ht="15.75" customHeight="1">
      <c r="C371" s="4"/>
      <c r="D371" s="4"/>
      <c r="H371" s="3"/>
      <c r="I371" s="4"/>
    </row>
    <row r="372" ht="15.75" customHeight="1">
      <c r="C372" s="4"/>
      <c r="D372" s="4"/>
      <c r="H372" s="3"/>
      <c r="I372" s="4"/>
    </row>
    <row r="373" ht="15.75" customHeight="1">
      <c r="C373" s="4"/>
      <c r="D373" s="4"/>
      <c r="H373" s="3"/>
      <c r="I373" s="4"/>
    </row>
    <row r="374" ht="15.75" customHeight="1">
      <c r="C374" s="4"/>
      <c r="D374" s="4"/>
      <c r="H374" s="3"/>
      <c r="I374" s="4"/>
    </row>
    <row r="375" ht="15.75" customHeight="1">
      <c r="C375" s="4"/>
      <c r="D375" s="4"/>
      <c r="H375" s="3"/>
      <c r="I375" s="4"/>
    </row>
    <row r="376" ht="15.75" customHeight="1">
      <c r="C376" s="4"/>
      <c r="D376" s="4"/>
      <c r="H376" s="3"/>
      <c r="I376" s="4"/>
    </row>
    <row r="377" ht="15.75" customHeight="1">
      <c r="C377" s="4"/>
      <c r="D377" s="4"/>
      <c r="H377" s="3"/>
      <c r="I377" s="4"/>
    </row>
    <row r="378" ht="15.75" customHeight="1">
      <c r="C378" s="4"/>
      <c r="D378" s="4"/>
      <c r="H378" s="3"/>
      <c r="I378" s="4"/>
    </row>
    <row r="379" ht="15.75" customHeight="1">
      <c r="C379" s="4"/>
      <c r="D379" s="4"/>
      <c r="H379" s="3"/>
      <c r="I379" s="4"/>
    </row>
    <row r="380" ht="15.75" customHeight="1">
      <c r="C380" s="4"/>
      <c r="D380" s="4"/>
      <c r="H380" s="3"/>
      <c r="I380" s="4"/>
    </row>
    <row r="381" ht="15.75" customHeight="1">
      <c r="C381" s="4"/>
      <c r="D381" s="4"/>
      <c r="H381" s="3"/>
      <c r="I381" s="4"/>
    </row>
    <row r="382" ht="15.75" customHeight="1">
      <c r="C382" s="4"/>
      <c r="D382" s="4"/>
      <c r="H382" s="3"/>
      <c r="I382" s="4"/>
    </row>
    <row r="383" ht="15.75" customHeight="1">
      <c r="C383" s="4"/>
      <c r="D383" s="4"/>
      <c r="H383" s="3"/>
      <c r="I383" s="4"/>
    </row>
    <row r="384" ht="15.75" customHeight="1">
      <c r="C384" s="4"/>
      <c r="D384" s="4"/>
      <c r="H384" s="3"/>
      <c r="I384" s="4"/>
    </row>
    <row r="385" ht="15.75" customHeight="1">
      <c r="C385" s="4"/>
      <c r="D385" s="4"/>
      <c r="H385" s="3"/>
      <c r="I385" s="4"/>
    </row>
    <row r="386" ht="15.75" customHeight="1">
      <c r="C386" s="4"/>
      <c r="D386" s="4"/>
      <c r="H386" s="3"/>
      <c r="I386" s="4"/>
    </row>
    <row r="387" ht="15.75" customHeight="1">
      <c r="C387" s="4"/>
      <c r="D387" s="4"/>
      <c r="H387" s="3"/>
      <c r="I387" s="4"/>
    </row>
    <row r="388" ht="15.75" customHeight="1">
      <c r="C388" s="4"/>
      <c r="D388" s="4"/>
      <c r="H388" s="3"/>
      <c r="I388" s="4"/>
    </row>
    <row r="389" ht="15.75" customHeight="1">
      <c r="C389" s="4"/>
      <c r="D389" s="4"/>
      <c r="H389" s="3"/>
      <c r="I389" s="4"/>
    </row>
    <row r="390" ht="15.75" customHeight="1">
      <c r="C390" s="4"/>
      <c r="D390" s="4"/>
      <c r="H390" s="3"/>
      <c r="I390" s="4"/>
    </row>
    <row r="391" ht="15.75" customHeight="1">
      <c r="C391" s="4"/>
      <c r="D391" s="4"/>
      <c r="H391" s="3"/>
      <c r="I391" s="4"/>
    </row>
    <row r="392" ht="15.75" customHeight="1">
      <c r="C392" s="4"/>
      <c r="D392" s="4"/>
      <c r="H392" s="3"/>
      <c r="I392" s="4"/>
    </row>
    <row r="393" ht="15.75" customHeight="1">
      <c r="C393" s="4"/>
      <c r="D393" s="4"/>
      <c r="H393" s="3"/>
      <c r="I393" s="4"/>
    </row>
    <row r="394" ht="15.75" customHeight="1">
      <c r="C394" s="4"/>
      <c r="D394" s="4"/>
      <c r="H394" s="3"/>
      <c r="I394" s="4"/>
    </row>
    <row r="395" ht="15.75" customHeight="1">
      <c r="C395" s="4"/>
      <c r="D395" s="4"/>
      <c r="H395" s="3"/>
      <c r="I395" s="4"/>
    </row>
    <row r="396" ht="15.75" customHeight="1">
      <c r="C396" s="4"/>
      <c r="D396" s="4"/>
      <c r="H396" s="3"/>
      <c r="I396" s="4"/>
    </row>
    <row r="397" ht="15.75" customHeight="1">
      <c r="C397" s="4"/>
      <c r="D397" s="4"/>
      <c r="H397" s="3"/>
      <c r="I397" s="4"/>
    </row>
    <row r="398" ht="15.75" customHeight="1">
      <c r="C398" s="4"/>
      <c r="D398" s="4"/>
      <c r="H398" s="3"/>
      <c r="I398" s="4"/>
    </row>
    <row r="399" ht="15.75" customHeight="1">
      <c r="C399" s="4"/>
      <c r="D399" s="4"/>
      <c r="H399" s="3"/>
      <c r="I399" s="4"/>
    </row>
    <row r="400" ht="15.75" customHeight="1">
      <c r="C400" s="4"/>
      <c r="D400" s="4"/>
      <c r="H400" s="3"/>
      <c r="I400" s="4"/>
    </row>
    <row r="401" ht="15.75" customHeight="1">
      <c r="C401" s="4"/>
      <c r="D401" s="4"/>
      <c r="H401" s="3"/>
      <c r="I401" s="4"/>
    </row>
    <row r="402" ht="15.75" customHeight="1">
      <c r="C402" s="4"/>
      <c r="D402" s="4"/>
      <c r="H402" s="3"/>
      <c r="I402" s="4"/>
    </row>
    <row r="403" ht="15.75" customHeight="1">
      <c r="C403" s="4"/>
      <c r="D403" s="4"/>
      <c r="H403" s="3"/>
      <c r="I403" s="4"/>
    </row>
    <row r="404" ht="15.75" customHeight="1">
      <c r="C404" s="4"/>
      <c r="D404" s="4"/>
      <c r="H404" s="3"/>
      <c r="I404" s="4"/>
    </row>
    <row r="405" ht="15.75" customHeight="1">
      <c r="C405" s="4"/>
      <c r="D405" s="4"/>
      <c r="H405" s="3"/>
      <c r="I405" s="4"/>
    </row>
    <row r="406" ht="15.75" customHeight="1">
      <c r="C406" s="4"/>
      <c r="D406" s="4"/>
      <c r="H406" s="3"/>
      <c r="I406" s="4"/>
    </row>
    <row r="407" ht="15.75" customHeight="1">
      <c r="C407" s="4"/>
      <c r="D407" s="4"/>
      <c r="H407" s="3"/>
      <c r="I407" s="4"/>
    </row>
    <row r="408" ht="15.75" customHeight="1">
      <c r="C408" s="4"/>
      <c r="D408" s="4"/>
      <c r="H408" s="3"/>
      <c r="I408" s="4"/>
    </row>
    <row r="409" ht="15.75" customHeight="1">
      <c r="C409" s="4"/>
      <c r="D409" s="4"/>
      <c r="H409" s="3"/>
      <c r="I409" s="4"/>
    </row>
    <row r="410" ht="15.75" customHeight="1">
      <c r="C410" s="4"/>
      <c r="D410" s="4"/>
      <c r="H410" s="3"/>
      <c r="I410" s="4"/>
    </row>
    <row r="411" ht="15.75" customHeight="1">
      <c r="C411" s="4"/>
      <c r="D411" s="4"/>
      <c r="H411" s="3"/>
      <c r="I411" s="4"/>
    </row>
    <row r="412" ht="15.75" customHeight="1">
      <c r="C412" s="4"/>
      <c r="D412" s="4"/>
      <c r="H412" s="3"/>
      <c r="I412" s="4"/>
    </row>
    <row r="413" ht="15.75" customHeight="1">
      <c r="C413" s="4"/>
      <c r="D413" s="4"/>
      <c r="H413" s="3"/>
      <c r="I413" s="4"/>
    </row>
    <row r="414" ht="15.75" customHeight="1">
      <c r="C414" s="4"/>
      <c r="D414" s="4"/>
      <c r="H414" s="3"/>
      <c r="I414" s="4"/>
    </row>
    <row r="415" ht="15.75" customHeight="1">
      <c r="C415" s="4"/>
      <c r="D415" s="4"/>
      <c r="H415" s="3"/>
      <c r="I415" s="4"/>
    </row>
    <row r="416" ht="15.75" customHeight="1">
      <c r="C416" s="4"/>
      <c r="D416" s="4"/>
      <c r="H416" s="3"/>
      <c r="I416" s="4"/>
    </row>
    <row r="417" ht="15.75" customHeight="1">
      <c r="C417" s="4"/>
      <c r="D417" s="4"/>
      <c r="H417" s="3"/>
      <c r="I417" s="4"/>
    </row>
    <row r="418" ht="15.75" customHeight="1">
      <c r="C418" s="4"/>
      <c r="D418" s="4"/>
      <c r="H418" s="3"/>
      <c r="I418" s="4"/>
    </row>
    <row r="419" ht="15.75" customHeight="1">
      <c r="C419" s="4"/>
      <c r="D419" s="4"/>
      <c r="H419" s="3"/>
      <c r="I419" s="4"/>
    </row>
    <row r="420" ht="15.75" customHeight="1">
      <c r="C420" s="4"/>
      <c r="D420" s="4"/>
      <c r="H420" s="3"/>
      <c r="I420" s="4"/>
    </row>
    <row r="421" ht="15.75" customHeight="1">
      <c r="C421" s="4"/>
      <c r="D421" s="4"/>
      <c r="H421" s="3"/>
      <c r="I421" s="4"/>
    </row>
    <row r="422" ht="15.75" customHeight="1">
      <c r="C422" s="4"/>
      <c r="D422" s="4"/>
      <c r="H422" s="3"/>
      <c r="I422" s="4"/>
    </row>
    <row r="423" ht="15.75" customHeight="1">
      <c r="C423" s="4"/>
      <c r="D423" s="4"/>
      <c r="H423" s="3"/>
      <c r="I423" s="4"/>
    </row>
    <row r="424" ht="15.75" customHeight="1">
      <c r="C424" s="4"/>
      <c r="D424" s="4"/>
      <c r="H424" s="3"/>
      <c r="I424" s="4"/>
    </row>
    <row r="425" ht="15.75" customHeight="1">
      <c r="C425" s="4"/>
      <c r="D425" s="4"/>
      <c r="H425" s="3"/>
      <c r="I425" s="4"/>
    </row>
    <row r="426" ht="15.75" customHeight="1">
      <c r="C426" s="4"/>
      <c r="D426" s="4"/>
      <c r="H426" s="3"/>
      <c r="I426" s="4"/>
    </row>
    <row r="427" ht="15.75" customHeight="1">
      <c r="C427" s="4"/>
      <c r="D427" s="4"/>
      <c r="H427" s="3"/>
      <c r="I427" s="4"/>
    </row>
    <row r="428" ht="15.75" customHeight="1">
      <c r="C428" s="4"/>
      <c r="D428" s="4"/>
      <c r="H428" s="3"/>
      <c r="I428" s="4"/>
    </row>
    <row r="429" ht="15.75" customHeight="1">
      <c r="C429" s="4"/>
      <c r="D429" s="4"/>
      <c r="H429" s="3"/>
      <c r="I429" s="4"/>
    </row>
    <row r="430" ht="15.75" customHeight="1">
      <c r="C430" s="4"/>
      <c r="D430" s="4"/>
      <c r="H430" s="3"/>
      <c r="I430" s="4"/>
    </row>
    <row r="431" ht="15.75" customHeight="1">
      <c r="C431" s="4"/>
      <c r="D431" s="4"/>
      <c r="H431" s="3"/>
      <c r="I431" s="4"/>
    </row>
    <row r="432" ht="15.75" customHeight="1">
      <c r="C432" s="4"/>
      <c r="D432" s="4"/>
      <c r="H432" s="3"/>
      <c r="I432" s="4"/>
    </row>
    <row r="433" ht="15.75" customHeight="1">
      <c r="C433" s="4"/>
      <c r="D433" s="4"/>
      <c r="H433" s="3"/>
      <c r="I433" s="4"/>
    </row>
    <row r="434" ht="15.75" customHeight="1">
      <c r="C434" s="4"/>
      <c r="D434" s="4"/>
      <c r="H434" s="3"/>
      <c r="I434" s="4"/>
    </row>
    <row r="435" ht="15.75" customHeight="1">
      <c r="C435" s="4"/>
      <c r="D435" s="4"/>
      <c r="H435" s="3"/>
      <c r="I435" s="4"/>
    </row>
    <row r="436" ht="15.75" customHeight="1">
      <c r="C436" s="4"/>
      <c r="D436" s="4"/>
      <c r="H436" s="3"/>
      <c r="I436" s="4"/>
    </row>
    <row r="437" ht="15.75" customHeight="1">
      <c r="C437" s="4"/>
      <c r="D437" s="4"/>
      <c r="H437" s="3"/>
      <c r="I437" s="4"/>
    </row>
    <row r="438" ht="15.75" customHeight="1">
      <c r="C438" s="4"/>
      <c r="D438" s="4"/>
      <c r="H438" s="3"/>
      <c r="I438" s="4"/>
    </row>
    <row r="439" ht="15.75" customHeight="1">
      <c r="C439" s="4"/>
      <c r="D439" s="4"/>
      <c r="H439" s="3"/>
      <c r="I439" s="4"/>
    </row>
    <row r="440" ht="15.75" customHeight="1">
      <c r="C440" s="4"/>
      <c r="D440" s="4"/>
      <c r="H440" s="3"/>
      <c r="I440" s="4"/>
    </row>
    <row r="441" ht="15.75" customHeight="1">
      <c r="C441" s="4"/>
      <c r="D441" s="4"/>
      <c r="H441" s="3"/>
      <c r="I441" s="4"/>
    </row>
    <row r="442" ht="15.75" customHeight="1">
      <c r="C442" s="4"/>
      <c r="D442" s="4"/>
      <c r="H442" s="3"/>
      <c r="I442" s="4"/>
    </row>
    <row r="443" ht="15.75" customHeight="1">
      <c r="C443" s="4"/>
      <c r="D443" s="4"/>
      <c r="H443" s="3"/>
      <c r="I443" s="4"/>
    </row>
    <row r="444" ht="15.75" customHeight="1">
      <c r="C444" s="4"/>
      <c r="D444" s="4"/>
      <c r="H444" s="3"/>
      <c r="I444" s="4"/>
    </row>
    <row r="445" ht="15.75" customHeight="1">
      <c r="C445" s="4"/>
      <c r="D445" s="4"/>
      <c r="H445" s="3"/>
      <c r="I445" s="4"/>
    </row>
    <row r="446" ht="15.75" customHeight="1">
      <c r="C446" s="4"/>
      <c r="D446" s="4"/>
      <c r="H446" s="3"/>
      <c r="I446" s="4"/>
    </row>
    <row r="447" ht="15.75" customHeight="1">
      <c r="C447" s="4"/>
      <c r="D447" s="4"/>
      <c r="H447" s="3"/>
      <c r="I447" s="4"/>
    </row>
    <row r="448" ht="15.75" customHeight="1">
      <c r="C448" s="4"/>
      <c r="D448" s="4"/>
      <c r="H448" s="3"/>
      <c r="I448" s="4"/>
    </row>
    <row r="449" ht="15.75" customHeight="1">
      <c r="C449" s="4"/>
      <c r="D449" s="4"/>
      <c r="H449" s="3"/>
      <c r="I449" s="4"/>
    </row>
    <row r="450" ht="15.75" customHeight="1">
      <c r="C450" s="4"/>
      <c r="D450" s="4"/>
      <c r="H450" s="3"/>
      <c r="I450" s="4"/>
    </row>
    <row r="451" ht="15.75" customHeight="1">
      <c r="C451" s="4"/>
      <c r="D451" s="4"/>
      <c r="H451" s="3"/>
      <c r="I451" s="4"/>
    </row>
    <row r="452" ht="15.75" customHeight="1">
      <c r="C452" s="4"/>
      <c r="D452" s="4"/>
      <c r="H452" s="3"/>
      <c r="I452" s="4"/>
    </row>
    <row r="453" ht="15.75" customHeight="1">
      <c r="C453" s="4"/>
      <c r="D453" s="4"/>
      <c r="H453" s="3"/>
      <c r="I453" s="4"/>
    </row>
    <row r="454" ht="15.75" customHeight="1">
      <c r="C454" s="4"/>
      <c r="D454" s="4"/>
      <c r="H454" s="3"/>
      <c r="I454" s="4"/>
    </row>
    <row r="455" ht="15.75" customHeight="1">
      <c r="C455" s="4"/>
      <c r="D455" s="4"/>
      <c r="H455" s="3"/>
      <c r="I455" s="4"/>
    </row>
    <row r="456" ht="15.75" customHeight="1">
      <c r="C456" s="4"/>
      <c r="D456" s="4"/>
      <c r="H456" s="3"/>
      <c r="I456" s="4"/>
    </row>
    <row r="457" ht="15.75" customHeight="1">
      <c r="C457" s="4"/>
      <c r="D457" s="4"/>
      <c r="H457" s="3"/>
      <c r="I457" s="4"/>
    </row>
    <row r="458" ht="15.75" customHeight="1">
      <c r="C458" s="4"/>
      <c r="D458" s="4"/>
      <c r="H458" s="3"/>
      <c r="I458" s="4"/>
    </row>
    <row r="459" ht="15.75" customHeight="1">
      <c r="C459" s="4"/>
      <c r="D459" s="4"/>
      <c r="H459" s="3"/>
      <c r="I459" s="4"/>
    </row>
    <row r="460" ht="15.75" customHeight="1">
      <c r="C460" s="4"/>
      <c r="D460" s="4"/>
      <c r="H460" s="3"/>
      <c r="I460" s="4"/>
    </row>
    <row r="461" ht="15.75" customHeight="1">
      <c r="C461" s="4"/>
      <c r="D461" s="4"/>
      <c r="H461" s="3"/>
      <c r="I461" s="4"/>
    </row>
    <row r="462" ht="15.75" customHeight="1">
      <c r="C462" s="4"/>
      <c r="D462" s="4"/>
      <c r="H462" s="3"/>
      <c r="I462" s="4"/>
    </row>
    <row r="463" ht="15.75" customHeight="1">
      <c r="C463" s="4"/>
      <c r="D463" s="4"/>
      <c r="H463" s="3"/>
      <c r="I463" s="4"/>
    </row>
    <row r="464" ht="15.75" customHeight="1">
      <c r="C464" s="4"/>
      <c r="D464" s="4"/>
      <c r="H464" s="3"/>
      <c r="I464" s="4"/>
    </row>
    <row r="465" ht="15.75" customHeight="1">
      <c r="C465" s="4"/>
      <c r="D465" s="4"/>
      <c r="H465" s="3"/>
      <c r="I465" s="4"/>
    </row>
    <row r="466" ht="15.75" customHeight="1">
      <c r="C466" s="4"/>
      <c r="D466" s="4"/>
      <c r="H466" s="3"/>
      <c r="I466" s="4"/>
    </row>
    <row r="467" ht="15.75" customHeight="1">
      <c r="C467" s="4"/>
      <c r="D467" s="4"/>
      <c r="H467" s="3"/>
      <c r="I467" s="4"/>
    </row>
    <row r="468" ht="15.75" customHeight="1">
      <c r="C468" s="4"/>
      <c r="D468" s="4"/>
      <c r="H468" s="3"/>
      <c r="I468" s="4"/>
    </row>
    <row r="469" ht="15.75" customHeight="1">
      <c r="C469" s="4"/>
      <c r="D469" s="4"/>
      <c r="H469" s="3"/>
      <c r="I469" s="4"/>
    </row>
    <row r="470" ht="15.75" customHeight="1">
      <c r="C470" s="4"/>
      <c r="D470" s="4"/>
      <c r="H470" s="3"/>
      <c r="I470" s="4"/>
    </row>
    <row r="471" ht="15.75" customHeight="1">
      <c r="C471" s="4"/>
      <c r="D471" s="4"/>
      <c r="H471" s="3"/>
      <c r="I471" s="4"/>
    </row>
    <row r="472" ht="15.75" customHeight="1">
      <c r="C472" s="4"/>
      <c r="D472" s="4"/>
      <c r="H472" s="3"/>
      <c r="I472" s="4"/>
    </row>
    <row r="473" ht="15.75" customHeight="1">
      <c r="C473" s="4"/>
      <c r="D473" s="4"/>
      <c r="H473" s="3"/>
      <c r="I473" s="4"/>
    </row>
    <row r="474" ht="15.75" customHeight="1">
      <c r="C474" s="4"/>
      <c r="D474" s="4"/>
      <c r="H474" s="3"/>
      <c r="I474" s="4"/>
    </row>
    <row r="475" ht="15.75" customHeight="1">
      <c r="C475" s="4"/>
      <c r="D475" s="4"/>
      <c r="H475" s="3"/>
      <c r="I475" s="4"/>
    </row>
    <row r="476" ht="15.75" customHeight="1">
      <c r="C476" s="4"/>
      <c r="D476" s="4"/>
      <c r="H476" s="3"/>
      <c r="I476" s="4"/>
    </row>
    <row r="477" ht="15.75" customHeight="1">
      <c r="C477" s="4"/>
      <c r="D477" s="4"/>
      <c r="H477" s="3"/>
      <c r="I477" s="4"/>
    </row>
    <row r="478" ht="15.75" customHeight="1">
      <c r="C478" s="4"/>
      <c r="D478" s="4"/>
      <c r="H478" s="3"/>
      <c r="I478" s="4"/>
    </row>
    <row r="479" ht="15.75" customHeight="1">
      <c r="C479" s="4"/>
      <c r="D479" s="4"/>
      <c r="H479" s="3"/>
      <c r="I479" s="4"/>
    </row>
    <row r="480" ht="15.75" customHeight="1">
      <c r="C480" s="4"/>
      <c r="D480" s="4"/>
      <c r="H480" s="3"/>
      <c r="I480" s="4"/>
    </row>
    <row r="481" ht="15.75" customHeight="1">
      <c r="C481" s="4"/>
      <c r="D481" s="4"/>
      <c r="H481" s="3"/>
      <c r="I481" s="4"/>
    </row>
    <row r="482" ht="15.75" customHeight="1">
      <c r="C482" s="4"/>
      <c r="D482" s="4"/>
      <c r="H482" s="3"/>
      <c r="I482" s="4"/>
    </row>
    <row r="483" ht="15.75" customHeight="1">
      <c r="C483" s="4"/>
      <c r="D483" s="4"/>
      <c r="H483" s="3"/>
      <c r="I483" s="4"/>
    </row>
    <row r="484" ht="15.75" customHeight="1">
      <c r="C484" s="4"/>
      <c r="D484" s="4"/>
      <c r="H484" s="3"/>
      <c r="I484" s="4"/>
    </row>
    <row r="485" ht="15.75" customHeight="1">
      <c r="C485" s="4"/>
      <c r="D485" s="4"/>
      <c r="H485" s="3"/>
      <c r="I485" s="4"/>
    </row>
    <row r="486" ht="15.75" customHeight="1">
      <c r="C486" s="4"/>
      <c r="D486" s="4"/>
      <c r="H486" s="3"/>
      <c r="I486" s="4"/>
    </row>
    <row r="487" ht="15.75" customHeight="1">
      <c r="C487" s="4"/>
      <c r="D487" s="4"/>
      <c r="H487" s="3"/>
      <c r="I487" s="4"/>
    </row>
    <row r="488" ht="15.75" customHeight="1">
      <c r="C488" s="4"/>
      <c r="D488" s="4"/>
      <c r="H488" s="3"/>
      <c r="I488" s="4"/>
    </row>
    <row r="489" ht="15.75" customHeight="1">
      <c r="C489" s="4"/>
      <c r="D489" s="4"/>
      <c r="H489" s="3"/>
      <c r="I489" s="4"/>
    </row>
    <row r="490" ht="15.75" customHeight="1">
      <c r="C490" s="4"/>
      <c r="D490" s="4"/>
      <c r="H490" s="3"/>
      <c r="I490" s="4"/>
    </row>
    <row r="491" ht="15.75" customHeight="1">
      <c r="C491" s="4"/>
      <c r="D491" s="4"/>
      <c r="H491" s="3"/>
      <c r="I491" s="4"/>
    </row>
    <row r="492" ht="15.75" customHeight="1">
      <c r="C492" s="4"/>
      <c r="D492" s="4"/>
      <c r="H492" s="3"/>
      <c r="I492" s="4"/>
    </row>
    <row r="493" ht="15.75" customHeight="1">
      <c r="C493" s="4"/>
      <c r="D493" s="4"/>
      <c r="H493" s="3"/>
      <c r="I493" s="4"/>
    </row>
    <row r="494" ht="15.75" customHeight="1">
      <c r="C494" s="4"/>
      <c r="D494" s="4"/>
      <c r="H494" s="3"/>
      <c r="I494" s="4"/>
    </row>
    <row r="495" ht="15.75" customHeight="1">
      <c r="C495" s="4"/>
      <c r="D495" s="4"/>
      <c r="H495" s="3"/>
      <c r="I495" s="4"/>
    </row>
    <row r="496" ht="15.75" customHeight="1">
      <c r="C496" s="4"/>
      <c r="D496" s="4"/>
      <c r="H496" s="3"/>
      <c r="I496" s="4"/>
    </row>
    <row r="497" ht="15.75" customHeight="1">
      <c r="C497" s="4"/>
      <c r="D497" s="4"/>
      <c r="H497" s="3"/>
      <c r="I497" s="4"/>
    </row>
    <row r="498" ht="15.75" customHeight="1">
      <c r="C498" s="4"/>
      <c r="D498" s="4"/>
      <c r="H498" s="3"/>
      <c r="I498" s="4"/>
    </row>
    <row r="499" ht="15.75" customHeight="1">
      <c r="C499" s="4"/>
      <c r="D499" s="4"/>
      <c r="H499" s="3"/>
      <c r="I499" s="4"/>
    </row>
    <row r="500" ht="15.75" customHeight="1">
      <c r="C500" s="4"/>
      <c r="D500" s="4"/>
      <c r="H500" s="3"/>
      <c r="I500" s="4"/>
    </row>
    <row r="501" ht="15.75" customHeight="1">
      <c r="C501" s="4"/>
      <c r="D501" s="4"/>
      <c r="H501" s="3"/>
      <c r="I501" s="4"/>
    </row>
    <row r="502" ht="15.75" customHeight="1">
      <c r="C502" s="4"/>
      <c r="D502" s="4"/>
      <c r="H502" s="3"/>
      <c r="I502" s="4"/>
    </row>
    <row r="503" ht="15.75" customHeight="1">
      <c r="C503" s="4"/>
      <c r="D503" s="4"/>
      <c r="H503" s="3"/>
      <c r="I503" s="4"/>
    </row>
    <row r="504" ht="15.75" customHeight="1">
      <c r="C504" s="4"/>
      <c r="D504" s="4"/>
      <c r="H504" s="3"/>
      <c r="I504" s="4"/>
    </row>
    <row r="505" ht="15.75" customHeight="1">
      <c r="C505" s="4"/>
      <c r="D505" s="4"/>
      <c r="H505" s="3"/>
      <c r="I505" s="4"/>
    </row>
    <row r="506" ht="15.75" customHeight="1">
      <c r="C506" s="4"/>
      <c r="D506" s="4"/>
      <c r="H506" s="3"/>
      <c r="I506" s="4"/>
    </row>
    <row r="507" ht="15.75" customHeight="1">
      <c r="C507" s="4"/>
      <c r="D507" s="4"/>
      <c r="H507" s="3"/>
      <c r="I507" s="4"/>
    </row>
    <row r="508" ht="15.75" customHeight="1">
      <c r="C508" s="4"/>
      <c r="D508" s="4"/>
      <c r="H508" s="3"/>
      <c r="I508" s="4"/>
    </row>
    <row r="509" ht="15.75" customHeight="1">
      <c r="C509" s="4"/>
      <c r="D509" s="4"/>
      <c r="H509" s="3"/>
      <c r="I509" s="4"/>
    </row>
    <row r="510" ht="15.75" customHeight="1">
      <c r="C510" s="4"/>
      <c r="D510" s="4"/>
      <c r="H510" s="3"/>
      <c r="I510" s="4"/>
    </row>
    <row r="511" ht="15.75" customHeight="1">
      <c r="C511" s="4"/>
      <c r="D511" s="4"/>
      <c r="H511" s="3"/>
      <c r="I511" s="4"/>
    </row>
    <row r="512" ht="15.75" customHeight="1">
      <c r="C512" s="4"/>
      <c r="D512" s="4"/>
      <c r="H512" s="3"/>
      <c r="I512" s="4"/>
    </row>
    <row r="513" ht="15.75" customHeight="1">
      <c r="C513" s="4"/>
      <c r="D513" s="4"/>
      <c r="H513" s="3"/>
      <c r="I513" s="4"/>
    </row>
    <row r="514" ht="15.75" customHeight="1">
      <c r="C514" s="4"/>
      <c r="D514" s="4"/>
      <c r="H514" s="3"/>
      <c r="I514" s="4"/>
    </row>
    <row r="515" ht="15.75" customHeight="1">
      <c r="C515" s="4"/>
      <c r="D515" s="4"/>
      <c r="H515" s="3"/>
      <c r="I515" s="4"/>
    </row>
    <row r="516" ht="15.75" customHeight="1">
      <c r="C516" s="4"/>
      <c r="D516" s="4"/>
      <c r="H516" s="3"/>
      <c r="I516" s="4"/>
    </row>
    <row r="517" ht="15.75" customHeight="1">
      <c r="C517" s="4"/>
      <c r="D517" s="4"/>
      <c r="H517" s="3"/>
      <c r="I517" s="4"/>
    </row>
    <row r="518" ht="15.75" customHeight="1">
      <c r="C518" s="4"/>
      <c r="D518" s="4"/>
      <c r="H518" s="3"/>
      <c r="I518" s="4"/>
    </row>
    <row r="519" ht="15.75" customHeight="1">
      <c r="C519" s="4"/>
      <c r="D519" s="4"/>
      <c r="H519" s="3"/>
      <c r="I519" s="4"/>
    </row>
    <row r="520" ht="15.75" customHeight="1">
      <c r="C520" s="4"/>
      <c r="D520" s="4"/>
      <c r="H520" s="3"/>
      <c r="I520" s="4"/>
    </row>
    <row r="521" ht="15.75" customHeight="1">
      <c r="C521" s="4"/>
      <c r="D521" s="4"/>
      <c r="H521" s="3"/>
      <c r="I521" s="4"/>
    </row>
    <row r="522" ht="15.75" customHeight="1">
      <c r="C522" s="4"/>
      <c r="D522" s="4"/>
      <c r="H522" s="3"/>
      <c r="I522" s="4"/>
    </row>
    <row r="523" ht="15.75" customHeight="1">
      <c r="C523" s="4"/>
      <c r="D523" s="4"/>
      <c r="H523" s="3"/>
      <c r="I523" s="4"/>
    </row>
    <row r="524" ht="15.75" customHeight="1">
      <c r="C524" s="4"/>
      <c r="D524" s="4"/>
      <c r="H524" s="3"/>
      <c r="I524" s="4"/>
    </row>
    <row r="525" ht="15.75" customHeight="1">
      <c r="C525" s="4"/>
      <c r="D525" s="4"/>
      <c r="H525" s="3"/>
      <c r="I525" s="4"/>
    </row>
    <row r="526" ht="15.75" customHeight="1">
      <c r="C526" s="4"/>
      <c r="D526" s="4"/>
      <c r="H526" s="3"/>
      <c r="I526" s="4"/>
    </row>
    <row r="527" ht="15.75" customHeight="1">
      <c r="C527" s="4"/>
      <c r="D527" s="4"/>
      <c r="H527" s="3"/>
      <c r="I527" s="4"/>
    </row>
    <row r="528" ht="15.75" customHeight="1">
      <c r="C528" s="4"/>
      <c r="D528" s="4"/>
      <c r="H528" s="3"/>
      <c r="I528" s="4"/>
    </row>
    <row r="529" ht="15.75" customHeight="1">
      <c r="C529" s="4"/>
      <c r="D529" s="4"/>
      <c r="H529" s="3"/>
      <c r="I529" s="4"/>
    </row>
    <row r="530" ht="15.75" customHeight="1">
      <c r="C530" s="4"/>
      <c r="D530" s="4"/>
      <c r="H530" s="3"/>
      <c r="I530" s="4"/>
    </row>
    <row r="531" ht="15.75" customHeight="1">
      <c r="C531" s="4"/>
      <c r="D531" s="4"/>
      <c r="H531" s="3"/>
      <c r="I531" s="4"/>
    </row>
    <row r="532" ht="15.75" customHeight="1">
      <c r="C532" s="4"/>
      <c r="D532" s="4"/>
      <c r="H532" s="3"/>
      <c r="I532" s="4"/>
    </row>
    <row r="533" ht="15.75" customHeight="1">
      <c r="C533" s="4"/>
      <c r="D533" s="4"/>
      <c r="H533" s="3"/>
      <c r="I533" s="4"/>
    </row>
    <row r="534" ht="15.75" customHeight="1">
      <c r="C534" s="4"/>
      <c r="D534" s="4"/>
      <c r="H534" s="3"/>
      <c r="I534" s="4"/>
    </row>
    <row r="535" ht="15.75" customHeight="1">
      <c r="C535" s="4"/>
      <c r="D535" s="4"/>
      <c r="H535" s="3"/>
      <c r="I535" s="4"/>
    </row>
    <row r="536" ht="15.75" customHeight="1">
      <c r="C536" s="4"/>
      <c r="D536" s="4"/>
      <c r="H536" s="3"/>
      <c r="I536" s="4"/>
    </row>
    <row r="537" ht="15.75" customHeight="1">
      <c r="C537" s="4"/>
      <c r="D537" s="4"/>
      <c r="H537" s="3"/>
      <c r="I537" s="4"/>
    </row>
    <row r="538" ht="15.75" customHeight="1">
      <c r="C538" s="4"/>
      <c r="D538" s="4"/>
      <c r="H538" s="3"/>
      <c r="I538" s="4"/>
    </row>
    <row r="539" ht="15.75" customHeight="1">
      <c r="C539" s="4"/>
      <c r="D539" s="4"/>
      <c r="H539" s="3"/>
      <c r="I539" s="4"/>
    </row>
    <row r="540" ht="15.75" customHeight="1">
      <c r="C540" s="4"/>
      <c r="D540" s="4"/>
      <c r="H540" s="3"/>
      <c r="I540" s="4"/>
    </row>
    <row r="541" ht="15.75" customHeight="1">
      <c r="C541" s="4"/>
      <c r="D541" s="4"/>
      <c r="H541" s="3"/>
      <c r="I541" s="4"/>
    </row>
    <row r="542" ht="15.75" customHeight="1">
      <c r="C542" s="4"/>
      <c r="D542" s="4"/>
      <c r="H542" s="3"/>
      <c r="I542" s="4"/>
    </row>
    <row r="543" ht="15.75" customHeight="1">
      <c r="C543" s="4"/>
      <c r="D543" s="4"/>
      <c r="H543" s="3"/>
      <c r="I543" s="4"/>
    </row>
    <row r="544" ht="15.75" customHeight="1">
      <c r="C544" s="4"/>
      <c r="D544" s="4"/>
      <c r="H544" s="3"/>
      <c r="I544" s="4"/>
    </row>
    <row r="545" ht="15.75" customHeight="1">
      <c r="C545" s="4"/>
      <c r="D545" s="4"/>
      <c r="H545" s="3"/>
      <c r="I545" s="4"/>
    </row>
    <row r="546" ht="15.75" customHeight="1">
      <c r="C546" s="4"/>
      <c r="D546" s="4"/>
      <c r="H546" s="3"/>
      <c r="I546" s="4"/>
    </row>
    <row r="547" ht="15.75" customHeight="1">
      <c r="C547" s="4"/>
      <c r="D547" s="4"/>
      <c r="H547" s="3"/>
      <c r="I547" s="4"/>
    </row>
    <row r="548" ht="15.75" customHeight="1">
      <c r="C548" s="4"/>
      <c r="D548" s="4"/>
      <c r="H548" s="3"/>
      <c r="I548" s="4"/>
    </row>
    <row r="549" ht="15.75" customHeight="1">
      <c r="C549" s="4"/>
      <c r="D549" s="4"/>
      <c r="H549" s="3"/>
      <c r="I549" s="4"/>
    </row>
    <row r="550" ht="15.75" customHeight="1">
      <c r="C550" s="4"/>
      <c r="D550" s="4"/>
      <c r="H550" s="3"/>
      <c r="I550" s="4"/>
    </row>
    <row r="551" ht="15.75" customHeight="1">
      <c r="C551" s="4"/>
      <c r="D551" s="4"/>
      <c r="H551" s="3"/>
      <c r="I551" s="4"/>
    </row>
    <row r="552" ht="15.75" customHeight="1">
      <c r="C552" s="4"/>
      <c r="D552" s="4"/>
      <c r="H552" s="3"/>
      <c r="I552" s="4"/>
    </row>
    <row r="553" ht="15.75" customHeight="1">
      <c r="C553" s="4"/>
      <c r="D553" s="4"/>
      <c r="H553" s="3"/>
      <c r="I553" s="4"/>
    </row>
    <row r="554" ht="15.75" customHeight="1">
      <c r="C554" s="4"/>
      <c r="D554" s="4"/>
      <c r="H554" s="3"/>
      <c r="I554" s="4"/>
    </row>
    <row r="555" ht="15.75" customHeight="1">
      <c r="C555" s="4"/>
      <c r="D555" s="4"/>
      <c r="H555" s="3"/>
      <c r="I555" s="4"/>
    </row>
    <row r="556" ht="15.75" customHeight="1">
      <c r="C556" s="4"/>
      <c r="D556" s="4"/>
      <c r="H556" s="3"/>
      <c r="I556" s="4"/>
    </row>
    <row r="557" ht="15.75" customHeight="1">
      <c r="C557" s="4"/>
      <c r="D557" s="4"/>
      <c r="H557" s="3"/>
      <c r="I557" s="4"/>
    </row>
    <row r="558" ht="15.75" customHeight="1">
      <c r="C558" s="4"/>
      <c r="D558" s="4"/>
      <c r="H558" s="3"/>
      <c r="I558" s="4"/>
    </row>
    <row r="559" ht="15.75" customHeight="1">
      <c r="C559" s="4"/>
      <c r="D559" s="4"/>
      <c r="H559" s="3"/>
      <c r="I559" s="4"/>
    </row>
    <row r="560" ht="15.75" customHeight="1">
      <c r="C560" s="4"/>
      <c r="D560" s="4"/>
      <c r="H560" s="3"/>
      <c r="I560" s="4"/>
    </row>
  </sheetData>
  <mergeCells count="37">
    <mergeCell ref="A1:B1"/>
    <mergeCell ref="A3:A11"/>
    <mergeCell ref="B15:J15"/>
    <mergeCell ref="B16:G16"/>
    <mergeCell ref="H16:J16"/>
    <mergeCell ref="B40:J40"/>
    <mergeCell ref="H41:J41"/>
    <mergeCell ref="B41:G41"/>
    <mergeCell ref="B65:J65"/>
    <mergeCell ref="B66:G66"/>
    <mergeCell ref="H66:J66"/>
    <mergeCell ref="K68:K76"/>
    <mergeCell ref="K78:K89"/>
    <mergeCell ref="B107:J107"/>
    <mergeCell ref="B108:G108"/>
    <mergeCell ref="H108:J108"/>
    <mergeCell ref="K110:K119"/>
    <mergeCell ref="B138:J138"/>
    <mergeCell ref="B139:G139"/>
    <mergeCell ref="H139:J139"/>
    <mergeCell ref="K141:K151"/>
    <mergeCell ref="K153:K156"/>
    <mergeCell ref="K158:K163"/>
    <mergeCell ref="B213:J213"/>
    <mergeCell ref="B214:G214"/>
    <mergeCell ref="H214:J214"/>
    <mergeCell ref="K216:K229"/>
    <mergeCell ref="K232:K237"/>
    <mergeCell ref="K276:K291"/>
    <mergeCell ref="K337:K360"/>
    <mergeCell ref="K240:K250"/>
    <mergeCell ref="B273:J273"/>
    <mergeCell ref="B274:G274"/>
    <mergeCell ref="H274:J274"/>
    <mergeCell ref="B334:J334"/>
    <mergeCell ref="B335:G335"/>
    <mergeCell ref="H335:J335"/>
  </mergeCells>
  <hyperlinks>
    <hyperlink display="BID_BASE_CIA_END_MIP" location="'raw tables (SNIP)'!B15:J15" ref="B3"/>
    <hyperlink r:id="rId1" ref="C3"/>
    <hyperlink display=" https://docs.google.com/spreadsheets/d/1L2X8LZWSr9EseLdXPIwij-LkwwJieAxDWbdq3I1MYtM/edit?gid=287136599#gid=287136599" location="'raw tables (SNIP)'!A1" ref="D3"/>
    <hyperlink display="BID_BASE_CLA_INSTITUCIONES_SNIP_MIP" location="'raw tables (SNIP)'!B40:J40" ref="B4"/>
    <hyperlink r:id="rId2" ref="C4"/>
    <hyperlink display="BID_BASE_CRONOGRAMAS_PROYECTO_FISICO_MIP" location="'raw tables (SNIP)'!B65:J65" ref="B5"/>
    <hyperlink r:id="rId3" ref="C5"/>
    <hyperlink display="BID_BASE_FASES_MIP" location="'raw tables (SNIP)'!B107:J107" ref="B6"/>
    <hyperlink r:id="rId4" ref="C6"/>
    <hyperlink display="BID_BASE_FICHAS_PROYECTOS_MIP" location="'raw tables (SNIP)'!B138:J138" ref="B7"/>
    <hyperlink r:id="rId5" ref="C7"/>
    <hyperlink display="BID_BASE_PRESUPUESTO_MIP" location="'raw tables (SNIP)'!B213:J213" ref="B8"/>
    <hyperlink r:id="rId6" ref="C8"/>
    <hyperlink display="BID_BASE_PROEJE_FISICA_MIP" location="'raw tables (SNIP)'!B273:J273" ref="B9"/>
    <hyperlink r:id="rId7" ref="C9"/>
    <hyperlink display=" https://docs.google.com/spreadsheets/d/1L2X8LZWSr9EseLdXPIwij-LkwwJieAxDWbdq3I1MYtM/edit?gid=287136599#gid=287136605" location="null!A1" ref="D9"/>
    <hyperlink display="BID_BASE_UBICACIONES_GEOGRAFICAS_MIP" location="'raw tables (SNIP)'!B334:J334" ref="B10"/>
    <hyperlink r:id="rId8" ref="C10"/>
    <hyperlink display=" https://docs.google.com/spreadsheets/d/1L2X8LZWSr9EseLdXPIwij-LkwwJieAxDWbdq3I1MYtM/edit?gid=287136599#gid=287136606" location="null!A1" ref="D10"/>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4.5"/>
    <col customWidth="1" min="2" max="3" width="29.63"/>
    <col customWidth="1" min="4" max="4" width="74.13"/>
    <col customWidth="1" min="5" max="6" width="47.0"/>
  </cols>
  <sheetData>
    <row r="1" ht="15.75" customHeight="1">
      <c r="B1" s="4"/>
      <c r="C1" s="4"/>
      <c r="D1" s="3"/>
      <c r="E1" s="56"/>
      <c r="F1" s="56"/>
    </row>
    <row r="2" ht="15.75" customHeight="1">
      <c r="B2" s="6" t="s">
        <v>1</v>
      </c>
      <c r="C2" s="6" t="s">
        <v>2</v>
      </c>
      <c r="D2" s="7" t="s">
        <v>3</v>
      </c>
      <c r="E2" s="7"/>
      <c r="F2" s="56"/>
    </row>
    <row r="3" ht="15.75" customHeight="1">
      <c r="B3" s="57" t="s">
        <v>946</v>
      </c>
      <c r="C3" s="10" t="s">
        <v>947</v>
      </c>
      <c r="D3" s="11" t="s">
        <v>948</v>
      </c>
      <c r="E3" s="15"/>
      <c r="F3" s="56" t="s">
        <v>949</v>
      </c>
    </row>
    <row r="4" ht="15.75" customHeight="1">
      <c r="B4" s="57" t="s">
        <v>950</v>
      </c>
      <c r="C4" s="10" t="s">
        <v>951</v>
      </c>
      <c r="D4" s="11" t="s">
        <v>952</v>
      </c>
      <c r="E4" s="15"/>
      <c r="F4" s="56"/>
    </row>
    <row r="5" ht="15.75" customHeight="1">
      <c r="B5" s="57" t="s">
        <v>950</v>
      </c>
      <c r="C5" s="10" t="s">
        <v>953</v>
      </c>
      <c r="D5" s="11" t="s">
        <v>954</v>
      </c>
      <c r="E5" s="12"/>
      <c r="F5" s="56"/>
    </row>
    <row r="6" ht="15.75" customHeight="1">
      <c r="B6" s="4"/>
      <c r="C6" s="4"/>
      <c r="D6" s="3"/>
      <c r="E6" s="56"/>
      <c r="F6" s="56"/>
    </row>
    <row r="7" ht="15.75" customHeight="1">
      <c r="B7" s="4"/>
      <c r="C7" s="4"/>
      <c r="D7" s="3"/>
      <c r="E7" s="56"/>
      <c r="F7" s="56"/>
    </row>
    <row r="8" ht="27.0" customHeight="1">
      <c r="B8" s="58"/>
      <c r="C8" s="58" t="s">
        <v>955</v>
      </c>
    </row>
    <row r="9" ht="33.0" customHeight="1">
      <c r="B9" s="59"/>
      <c r="C9" s="59" t="s">
        <v>956</v>
      </c>
      <c r="E9" s="60" t="str">
        <f>IFERROR(__xludf.DUMMYFUNCTION("IF(ISBLANK(C9), """", GOOGLETRANSLATE(C9, ""es"", ""en""))"),"Detail of expense items and their classifiers.")</f>
        <v>Detail of expense items and their classifiers.</v>
      </c>
    </row>
    <row r="10" ht="15.75" customHeight="1">
      <c r="B10" s="61"/>
      <c r="C10" s="7" t="s">
        <v>957</v>
      </c>
      <c r="D10" s="62" t="s">
        <v>958</v>
      </c>
      <c r="E10" s="63" t="s">
        <v>959</v>
      </c>
      <c r="F10" s="63" t="s">
        <v>960</v>
      </c>
    </row>
    <row r="11" ht="15.75" customHeight="1">
      <c r="B11" s="4"/>
      <c r="C11" s="31" t="s">
        <v>961</v>
      </c>
      <c r="D11" s="32" t="s">
        <v>962</v>
      </c>
      <c r="E11" s="64" t="s">
        <v>963</v>
      </c>
      <c r="F11" s="65" t="str">
        <f>IFERROR(__xludf.DUMMYFUNCTION("IF(ISBLANK(E11), """", GOOGLETRANSLATE(E11, ""es"", ""en""))"),"Internal code identifying the expense item")</f>
        <v>Internal code identifying the expense item</v>
      </c>
    </row>
    <row r="12" ht="15.75" customHeight="1">
      <c r="B12" s="4"/>
      <c r="C12" s="31" t="s">
        <v>964</v>
      </c>
      <c r="D12" s="32">
        <v>2024.0</v>
      </c>
      <c r="E12" s="64" t="s">
        <v>965</v>
      </c>
      <c r="F12" s="65" t="str">
        <f>IFERROR(__xludf.DUMMYFUNCTION("IF(ISBLANK(E12), """", GOOGLETRANSLATE(E12, ""es"", ""en""))"),"The year to which the expense item corresponds. Each expense item is unique in each year")</f>
        <v>The year to which the expense item corresponds. Each expense item is unique in each year</v>
      </c>
    </row>
    <row r="13" ht="15.75" customHeight="1">
      <c r="B13" s="4"/>
      <c r="C13" s="31" t="s">
        <v>966</v>
      </c>
      <c r="D13" s="32" t="s">
        <v>967</v>
      </c>
      <c r="E13" s="64" t="s">
        <v>968</v>
      </c>
      <c r="F13" s="65" t="str">
        <f>IFERROR(__xludf.DUMMYFUNCTION("IF(ISBLANK(E13), """", GOOGLETRANSLATE(E13, ""es"", ""en""))"),"Identifier code of the institutional level to which the expense item is assigned")</f>
        <v>Identifier code of the institutional level to which the expense item is assigned</v>
      </c>
    </row>
    <row r="14" ht="15.75" customHeight="1">
      <c r="B14" s="4"/>
      <c r="C14" s="31" t="s">
        <v>969</v>
      </c>
      <c r="D14" s="32" t="s">
        <v>970</v>
      </c>
      <c r="E14" s="64" t="s">
        <v>971</v>
      </c>
      <c r="F14" s="65" t="str">
        <f>IFERROR(__xludf.DUMMYFUNCTION("IF(ISBLANK(E14), """", GOOGLETRANSLATE(E14, ""es"", ""en""))"),"Name or identification of the institutional level to which the expense item is assigned")</f>
        <v>Name or identification of the institutional level to which the expense item is assigned</v>
      </c>
    </row>
    <row r="15" ht="15.75" customHeight="1">
      <c r="B15" s="4"/>
      <c r="C15" s="31" t="s">
        <v>972</v>
      </c>
      <c r="D15" s="32">
        <v>201.0</v>
      </c>
      <c r="E15" s="64" t="s">
        <v>973</v>
      </c>
      <c r="F15" s="65" t="str">
        <f>IFERROR(__xludf.DUMMYFUNCTION("IF(ISBLANK(E15), """", GOOGLETRANSLATE(E15, ""es"", ""en""))"),"Identifier code of the highest level of hierarchy within the institutional level")</f>
        <v>Identifier code of the highest level of hierarchy within the institutional level</v>
      </c>
    </row>
    <row r="16" ht="15.75" customHeight="1">
      <c r="B16" s="4"/>
      <c r="C16" s="31" t="s">
        <v>974</v>
      </c>
      <c r="D16" s="32" t="s">
        <v>975</v>
      </c>
      <c r="E16" s="64" t="s">
        <v>976</v>
      </c>
      <c r="F16" s="65" t="str">
        <f>IFERROR(__xludf.DUMMYFUNCTION("IF(ISBLANK(E16), """", GOOGLETRANSLATE(E16, ""es"", ""en""))"),"Name or identification of the highest level of hierarchy within the institutional level")</f>
        <v>Name or identification of the highest level of hierarchy within the institutional level</v>
      </c>
    </row>
    <row r="17" ht="15.75" customHeight="1">
      <c r="B17" s="4"/>
      <c r="C17" s="31" t="s">
        <v>977</v>
      </c>
      <c r="D17" s="32">
        <v>1.0</v>
      </c>
      <c r="E17" s="64" t="s">
        <v>978</v>
      </c>
      <c r="F17" s="65" t="str">
        <f>IFERROR(__xludf.DUMMYFUNCTION("IF(ISBLANK(E17), """", GOOGLETRANSLATE(E17, ""es"", ""en""))"),"Identification code of the second level of hierarchy within the institutional level")</f>
        <v>Identification code of the second level of hierarchy within the institutional level</v>
      </c>
    </row>
    <row r="18" ht="15.75" customHeight="1">
      <c r="B18" s="4"/>
      <c r="C18" s="31" t="s">
        <v>979</v>
      </c>
      <c r="D18" s="32" t="s">
        <v>980</v>
      </c>
      <c r="E18" s="64" t="s">
        <v>981</v>
      </c>
      <c r="F18" s="65" t="str">
        <f>IFERROR(__xludf.DUMMYFUNCTION("IF(ISBLANK(E18), """", GOOGLETRANSLATE(E18, ""es"", ""en""))"),"Name or identification of the second level of hierarchy within the institutional level")</f>
        <v>Name or identification of the second level of hierarchy within the institutional level</v>
      </c>
    </row>
    <row r="19" ht="15.75" customHeight="1">
      <c r="B19" s="4"/>
      <c r="C19" s="31" t="s">
        <v>982</v>
      </c>
      <c r="D19" s="32">
        <v>9.0</v>
      </c>
      <c r="E19" s="64" t="s">
        <v>983</v>
      </c>
      <c r="F19" s="65" t="str">
        <f>IFERROR(__xludf.DUMMYFUNCTION("IF(ISBLANK(E19), """", GOOGLETRANSLATE(E19, ""es"", ""en""))"),"Identifier code of the Executing Unit assigned to the expense item.")</f>
        <v>Identifier code of the Executing Unit assigned to the expense item.</v>
      </c>
    </row>
    <row r="20" ht="15.75" customHeight="1">
      <c r="B20" s="4"/>
      <c r="C20" s="31" t="s">
        <v>984</v>
      </c>
      <c r="D20" s="32" t="s">
        <v>985</v>
      </c>
      <c r="E20" s="64" t="s">
        <v>986</v>
      </c>
      <c r="F20" s="65" t="str">
        <f>IFERROR(__xludf.DUMMYFUNCTION("IF(ISBLANK(E20), """", GOOGLETRANSLATE(E20, ""es"", ""en""))"),"Name or identification of the Executing Unit. Order the public sector institutions according to the institutional level to which they correspond. Defines budget items from the point of view of ""Who Spends"".")</f>
        <v>Name or identification of the Executing Unit. Order the public sector institutions according to the institutional level to which they correspond. Defines budget items from the point of view of "Who Spends".</v>
      </c>
    </row>
    <row r="21" ht="15.75" customHeight="1">
      <c r="B21" s="4"/>
      <c r="C21" s="31" t="s">
        <v>987</v>
      </c>
      <c r="D21" s="32" t="s">
        <v>988</v>
      </c>
      <c r="E21" s="64" t="s">
        <v>989</v>
      </c>
      <c r="F21" s="65" t="str">
        <f>IFERROR(__xludf.DUMMYFUNCTION("IF(ISBLANK(E21), """", GOOGLETRANSLATE(E21, ""es"", ""en""))"),"Complete description of the Executing Unit that includes the codes of the first and second institutional level. It organizes the public sector institutions according to the institutional level to which they correspond.")</f>
        <v>Complete description of the Executing Unit that includes the codes of the first and second institutional level. It organizes the public sector institutions according to the institutional level to which they correspond.</v>
      </c>
    </row>
    <row r="22" ht="15.75" customHeight="1">
      <c r="B22" s="4"/>
      <c r="C22" s="31" t="s">
        <v>990</v>
      </c>
      <c r="D22" s="32">
        <v>22.0</v>
      </c>
      <c r="E22" s="64" t="s">
        <v>991</v>
      </c>
      <c r="F22" s="65" t="str">
        <f>IFERROR(__xludf.DUMMYFUNCTION("IF(ISBLANK(E22), """", GOOGLETRANSLATE(E22, ""es"", ""en""))"),"Program identification code. It is a structure that allows you to identify a specific objective that you want to achieve.")</f>
        <v>Program identification code. It is a structure that allows you to identify a specific objective that you want to achieve.</v>
      </c>
    </row>
    <row r="23" ht="15.75" customHeight="1">
      <c r="B23" s="4"/>
      <c r="C23" s="31" t="s">
        <v>992</v>
      </c>
      <c r="D23" s="32" t="s">
        <v>993</v>
      </c>
      <c r="E23" s="64" t="s">
        <v>994</v>
      </c>
      <c r="F23" s="65" t="str">
        <f>IFERROR(__xludf.DUMMYFUNCTION("IF(ISBLANK(E23), """", GOOGLETRANSLATE(E23, ""es"", ""en""))"),"Name or identification of the program. It is a structure that allows you to identify a specific objective that you want to achieve.")</f>
        <v>Name or identification of the program. It is a structure that allows you to identify a specific objective that you want to achieve.</v>
      </c>
    </row>
    <row r="24" ht="15.75" customHeight="1">
      <c r="B24" s="4"/>
      <c r="C24" s="31" t="s">
        <v>995</v>
      </c>
      <c r="D24" s="32">
        <v>3.0</v>
      </c>
      <c r="E24" s="64" t="s">
        <v>996</v>
      </c>
      <c r="F24" s="65" t="str">
        <f>IFERROR(__xludf.DUMMYFUNCTION("IF(ISBLANK(E24), """", GOOGLETRANSLATE(E24, ""es"", ""en""))"),"Product identification code associated with the expense item. ")</f>
        <v>Product identification code associated with the expense item. </v>
      </c>
    </row>
    <row r="25" ht="15.75" customHeight="1">
      <c r="B25" s="4"/>
      <c r="C25" s="31" t="s">
        <v>997</v>
      </c>
      <c r="D25" s="32" t="s">
        <v>998</v>
      </c>
      <c r="E25" s="64" t="s">
        <v>999</v>
      </c>
      <c r="F25" s="65" t="str">
        <f>IFERROR(__xludf.DUMMYFUNCTION("IF(ISBLANK(E25), """", GOOGLETRANSLATE(E25, ""es"", ""en""))"),"Name or identification of the product associated with the expense item.")</f>
        <v>Name or identification of the product associated with the expense item.</v>
      </c>
    </row>
    <row r="26" ht="15.75" customHeight="1">
      <c r="B26" s="4"/>
      <c r="C26" s="31" t="s">
        <v>1000</v>
      </c>
      <c r="D26" s="32">
        <v>90.0</v>
      </c>
      <c r="E26" s="64" t="s">
        <v>1001</v>
      </c>
      <c r="F26" s="65" t="str">
        <f>IFERROR(__xludf.DUMMYFUNCTION("IF(ISBLANK(E26), """", GOOGLETRANSLATE(E26, ""es"", ""en""))"),"Identifier code of the project to which the expense item is assigned.")</f>
        <v>Identifier code of the project to which the expense item is assigned.</v>
      </c>
    </row>
    <row r="27" ht="15.75" customHeight="1">
      <c r="B27" s="4"/>
      <c r="C27" s="31" t="s">
        <v>1002</v>
      </c>
      <c r="D27" s="32" t="s">
        <v>1003</v>
      </c>
      <c r="E27" s="64" t="s">
        <v>1004</v>
      </c>
      <c r="F27" s="65" t="str">
        <f>IFERROR(__xludf.DUMMYFUNCTION("IF(ISBLANK(E27), """", GOOGLETRANSLATE(E27, ""es"", ""en""))"),"Name or description of the project to which the expense item is assigned.")</f>
        <v>Name or description of the project to which the expense item is assigned.</v>
      </c>
    </row>
    <row r="28" ht="15.75" customHeight="1">
      <c r="B28" s="4"/>
      <c r="C28" s="31" t="s">
        <v>1005</v>
      </c>
      <c r="D28" s="32">
        <v>52.0</v>
      </c>
      <c r="E28" s="64" t="s">
        <v>1006</v>
      </c>
      <c r="F28" s="65" t="str">
        <f>IFERROR(__xludf.DUMMYFUNCTION("IF(ISBLANK(E28), """", GOOGLETRANSLATE(E28, ""es"", ""en""))"),"Identification code of the activity or work associated with the expense item")</f>
        <v>Identification code of the activity or work associated with the expense item</v>
      </c>
    </row>
    <row r="29" ht="15.75" customHeight="1">
      <c r="B29" s="4"/>
      <c r="C29" s="31" t="s">
        <v>1007</v>
      </c>
      <c r="D29" s="32" t="s">
        <v>1008</v>
      </c>
      <c r="E29" s="64" t="s">
        <v>1009</v>
      </c>
      <c r="F29" s="65" t="str">
        <f>IFERROR(__xludf.DUMMYFUNCTION("IF(ISBLANK(E29), """", GOOGLETRANSLATE(E29, ""es"", ""en""))"),"Name or identification of the activity or work associated with the expense item. Identify a goal or objective to achieve.")</f>
        <v>Name or identification of the activity or work associated with the expense item. Identify a goal or objective to achieve.</v>
      </c>
    </row>
    <row r="30" ht="15.75" customHeight="1">
      <c r="B30" s="4"/>
      <c r="C30" s="31" t="s">
        <v>1010</v>
      </c>
      <c r="D30" s="32" t="s">
        <v>1011</v>
      </c>
      <c r="E30" s="64" t="s">
        <v>1012</v>
      </c>
      <c r="F30" s="65" t="str">
        <f>IFERROR(__xludf.DUMMYFUNCTION("IF(ISBLANK(E30), """", GOOGLETRANSLATE(E30, ""es"", ""en""))"),"Full name of the activity or work associated with the expense item that includes the codes at the Program / Product / Project / Activity level. Identify a goal or objective to achieve.")</f>
        <v>Full name of the activity or work associated with the expense item that includes the codes at the Program / Product / Project / Activity level. Identify a goal or objective to achieve.</v>
      </c>
    </row>
    <row r="31" ht="15.75" customHeight="1">
      <c r="B31" s="4"/>
      <c r="C31" s="31" t="s">
        <v>1013</v>
      </c>
      <c r="D31" s="32">
        <v>100.0</v>
      </c>
      <c r="E31" s="64" t="s">
        <v>1014</v>
      </c>
      <c r="F31" s="65" t="str">
        <f>IFERROR(__xludf.DUMMYFUNCTION("IF(ISBLANK(E31), """", GOOGLETRANSLATE(E31, ""es"", ""en""))"),"Identifier code of the financing organization associated with the expense item.")</f>
        <v>Identifier code of the financing organization associated with the expense item.</v>
      </c>
    </row>
    <row r="32" ht="15.75" customHeight="1">
      <c r="B32" s="4"/>
      <c r="C32" s="31" t="s">
        <v>1015</v>
      </c>
      <c r="D32" s="32" t="s">
        <v>1016</v>
      </c>
      <c r="E32" s="64" t="s">
        <v>1017</v>
      </c>
      <c r="F32" s="65" t="str">
        <f>IFERROR(__xludf.DUMMYFUNCTION("IF(ISBLANK(E32), """", GOOGLETRANSLATE(E32, ""es"", ""en""))"),"Name or identification of the national and international organizations that finance the budget of public sector institutions")</f>
        <v>Name or identification of the national and international organizations that finance the budget of public sector institutions</v>
      </c>
    </row>
    <row r="33" ht="15.75" customHeight="1">
      <c r="B33" s="4"/>
      <c r="C33" s="31" t="s">
        <v>1018</v>
      </c>
      <c r="D33" s="32">
        <v>10.0</v>
      </c>
      <c r="E33" s="64" t="s">
        <v>1019</v>
      </c>
      <c r="F33" s="65" t="str">
        <f>IFERROR(__xludf.DUMMYFUNCTION("IF(ISBLANK(E33), """", GOOGLETRANSLATE(E33, ""es"", ""en""))"),"Identifier code of the Financing Source associated with the expense item.")</f>
        <v>Identifier code of the Financing Source associated with the expense item.</v>
      </c>
    </row>
    <row r="34" ht="15.75" customHeight="1">
      <c r="B34" s="4"/>
      <c r="C34" s="31" t="s">
        <v>1020</v>
      </c>
      <c r="D34" s="32" t="s">
        <v>1021</v>
      </c>
      <c r="E34" s="64" t="s">
        <v>1022</v>
      </c>
      <c r="F34" s="65" t="str">
        <f>IFERROR(__xludf.DUMMYFUNCTION("IF(ISBLANK(E34), """", GOOGLETRANSLATE(E34, ""es"", ""en""))"),"Name or identification of the Financing Source associated with the expense item. Presents public resources according to the type of resource used for financing")</f>
        <v>Name or identification of the Financing Source associated with the expense item. Presents public resources according to the type of resource used for financing</v>
      </c>
    </row>
    <row r="35" ht="15.75" customHeight="1">
      <c r="B35" s="4"/>
      <c r="C35" s="31" t="s">
        <v>1023</v>
      </c>
      <c r="D35" s="32">
        <v>100.0</v>
      </c>
      <c r="E35" s="64" t="s">
        <v>1024</v>
      </c>
      <c r="F35" s="65" t="str">
        <f>IFERROR(__xludf.DUMMYFUNCTION("IF(ISBLANK(E35), """", GOOGLETRANSLATE(E35, ""es"", ""en""))"),"Identifier code of the specific source associated with the expense item.")</f>
        <v>Identifier code of the specific source associated with the expense item.</v>
      </c>
    </row>
    <row r="36" ht="15.75" customHeight="1">
      <c r="B36" s="4"/>
      <c r="C36" s="31" t="s">
        <v>1025</v>
      </c>
      <c r="D36" s="32" t="s">
        <v>1021</v>
      </c>
      <c r="E36" s="64" t="s">
        <v>1026</v>
      </c>
      <c r="F36" s="65" t="str">
        <f>IFERROR(__xludf.DUMMYFUNCTION("IF(ISBLANK(E36), """", GOOGLETRANSLATE(E36, ""es"", ""en""))"),"Name or identification of the specific source associated with the expense item.")</f>
        <v>Name or identification of the specific source associated with the expense item.</v>
      </c>
    </row>
    <row r="37" ht="15.75" customHeight="1">
      <c r="B37" s="4"/>
      <c r="C37" s="31" t="s">
        <v>1027</v>
      </c>
      <c r="D37" s="32">
        <v>4.0</v>
      </c>
      <c r="E37" s="64" t="s">
        <v>1028</v>
      </c>
      <c r="F37" s="65" t="str">
        <f>IFERROR(__xludf.DUMMYFUNCTION("IF(ISBLANK(E37), """", GOOGLETRANSLATE(E37, ""es"", ""en""))"),"Identifier code of the purpose associated with the expense item.")</f>
        <v>Identifier code of the purpose associated with the expense item.</v>
      </c>
    </row>
    <row r="38" ht="15.75" customHeight="1">
      <c r="B38" s="4"/>
      <c r="C38" s="31" t="s">
        <v>1029</v>
      </c>
      <c r="D38" s="32" t="s">
        <v>1030</v>
      </c>
      <c r="E38" s="64" t="s">
        <v>1031</v>
      </c>
      <c r="F38" s="65" t="str">
        <f>IFERROR(__xludf.DUMMYFUNCTION("IF(ISBLANK(E38), """", GOOGLETRANSLATE(E38, ""es"", ""en""))"),"Name or identification of the purpose associated with the expense item. First level of classification of the destination of resources.")</f>
        <v>Name or identification of the purpose associated with the expense item. First level of classification of the destination of resources.</v>
      </c>
    </row>
    <row r="39" ht="15.75" customHeight="1">
      <c r="B39" s="4"/>
      <c r="C39" s="31" t="s">
        <v>1032</v>
      </c>
      <c r="D39" s="66">
        <v>45355.0</v>
      </c>
      <c r="E39" s="64" t="s">
        <v>1033</v>
      </c>
      <c r="F39" s="65" t="str">
        <f>IFERROR(__xludf.DUMMYFUNCTION("IF(ISBLANK(E39), """", GOOGLETRANSLATE(E39, ""es"", ""en""))"),"Identifier code of the function associated with the expense item.")</f>
        <v>Identifier code of the function associated with the expense item.</v>
      </c>
    </row>
    <row r="40" ht="15.75" customHeight="1">
      <c r="B40" s="4"/>
      <c r="C40" s="31" t="s">
        <v>1034</v>
      </c>
      <c r="D40" s="32" t="s">
        <v>1035</v>
      </c>
      <c r="E40" s="64" t="s">
        <v>1036</v>
      </c>
      <c r="F40" s="65" t="str">
        <f>IFERROR(__xludf.DUMMYFUNCTION("IF(ISBLANK(E40), """", GOOGLETRANSLATE(E40, ""es"", ""en""))"),"Name or identification of the function associated with the expense item. Second level level of classification of the destination of resources.")</f>
        <v>Name or identification of the function associated with the expense item. Second level level of classification of the destination of resources.</v>
      </c>
    </row>
    <row r="41" ht="15.75" customHeight="1">
      <c r="B41" s="4"/>
      <c r="C41" s="31" t="s">
        <v>1037</v>
      </c>
      <c r="D41" s="53">
        <v>37319.0</v>
      </c>
      <c r="E41" s="64" t="s">
        <v>1038</v>
      </c>
      <c r="F41" s="65" t="str">
        <f>IFERROR(__xludf.DUMMYFUNCTION("IF(ISBLANK(E41), """", GOOGLETRANSLATE(E41, ""es"", ""en""))"),"Identifier code of the subfunction associated with the expense item.")</f>
        <v>Identifier code of the subfunction associated with the expense item.</v>
      </c>
    </row>
    <row r="42" ht="15.75" customHeight="1">
      <c r="B42" s="4"/>
      <c r="C42" s="31" t="s">
        <v>1039</v>
      </c>
      <c r="D42" s="32" t="s">
        <v>1040</v>
      </c>
      <c r="E42" s="64" t="s">
        <v>1041</v>
      </c>
      <c r="F42" s="65" t="str">
        <f>IFERROR(__xludf.DUMMYFUNCTION("IF(ISBLANK(E42), """", GOOGLETRANSLATE(E42, ""es"", ""en""))"),"Name or identification of the subfunction associated with the expense item. Third level of classification of the destination of resources.")</f>
        <v>Name or identification of the subfunction associated with the expense item. Third level of classification of the destination of resources.</v>
      </c>
    </row>
    <row r="43" ht="15.75" customHeight="1">
      <c r="B43" s="4"/>
      <c r="C43" s="31" t="s">
        <v>1042</v>
      </c>
      <c r="D43" s="32">
        <v>2.0</v>
      </c>
      <c r="E43" s="64" t="s">
        <v>1043</v>
      </c>
      <c r="F43" s="65" t="str">
        <f>IFERROR(__xludf.DUMMYFUNCTION("IF(ISBLANK(E43), """", GOOGLETRANSLATE(E43, ""es"", ""en""))"),"Identifier code of the type of expense item")</f>
        <v>Identifier code of the type of expense item</v>
      </c>
    </row>
    <row r="44" ht="15.75" customHeight="1">
      <c r="B44" s="4"/>
      <c r="C44" s="31" t="s">
        <v>1044</v>
      </c>
      <c r="D44" s="32" t="s">
        <v>1045</v>
      </c>
      <c r="E44" s="64" t="s">
        <v>1046</v>
      </c>
      <c r="F44" s="65" t="str">
        <f>IFERROR(__xludf.DUMMYFUNCTION("IF(ISBLANK(E44), """", GOOGLETRANSLATE(E44, ""es"", ""en""))"),"Name or identification of the type of expense item.")</f>
        <v>Name or identification of the type of expense item.</v>
      </c>
    </row>
    <row r="45" ht="15.75" customHeight="1">
      <c r="B45" s="4"/>
      <c r="C45" s="31" t="s">
        <v>1047</v>
      </c>
      <c r="D45" s="66">
        <v>45475.0</v>
      </c>
      <c r="E45" s="64" t="s">
        <v>1048</v>
      </c>
      <c r="F45" s="65" t="str">
        <f>IFERROR(__xludf.DUMMYFUNCTION("IF(ISBLANK(E45), """", GOOGLETRANSLATE(E45, ""es"", ""en""))"),"Identification code of the concept associated with the expense item.")</f>
        <v>Identification code of the concept associated with the expense item.</v>
      </c>
    </row>
    <row r="46" ht="15.75" customHeight="1">
      <c r="B46" s="4"/>
      <c r="C46" s="31" t="s">
        <v>1049</v>
      </c>
      <c r="D46" s="32" t="s">
        <v>1050</v>
      </c>
      <c r="E46" s="64" t="s">
        <v>1051</v>
      </c>
      <c r="F46" s="65" t="str">
        <f>IFERROR(__xludf.DUMMYFUNCTION("IF(ISBLANK(E46), """", GOOGLETRANSLATE(E46, ""es"", ""en""))"),"Name or identification of the concept associated with the expense item.  First level of organization according to the good or service that is acquired")</f>
        <v>Name or identification of the concept associated with the expense item.  First level of organization according to the good or service that is acquired</v>
      </c>
    </row>
    <row r="47" ht="15.75" customHeight="1">
      <c r="B47" s="4"/>
      <c r="C47" s="31" t="s">
        <v>1052</v>
      </c>
      <c r="D47" s="67">
        <v>37074.0</v>
      </c>
      <c r="E47" s="64" t="s">
        <v>1053</v>
      </c>
      <c r="F47" s="65" t="str">
        <f>IFERROR(__xludf.DUMMYFUNCTION("IF(ISBLANK(E47), """", GOOGLETRANSLATE(E47, ""es"", ""en""))"),"Account identification code associated with the expense item.")</f>
        <v>Account identification code associated with the expense item.</v>
      </c>
    </row>
    <row r="48" ht="15.75" customHeight="1">
      <c r="B48" s="4"/>
      <c r="C48" s="31" t="s">
        <v>1054</v>
      </c>
      <c r="D48" s="32" t="s">
        <v>1055</v>
      </c>
      <c r="E48" s="64" t="s">
        <v>1056</v>
      </c>
      <c r="F48" s="65" t="str">
        <f>IFERROR(__xludf.DUMMYFUNCTION("IF(ISBLANK(E48), """", GOOGLETRANSLATE(E48, ""es"", ""en""))"),"Name or identification of the account associated with the expense item.  Second level of organization according to the good or service that is acquired")</f>
        <v>Name or identification of the account associated with the expense item.  Second level of organization according to the good or service that is acquired</v>
      </c>
    </row>
    <row r="49" ht="15.75" customHeight="1">
      <c r="B49" s="4"/>
      <c r="C49" s="31" t="s">
        <v>1057</v>
      </c>
      <c r="D49" s="32" t="s">
        <v>1058</v>
      </c>
      <c r="E49" s="64" t="s">
        <v>1059</v>
      </c>
      <c r="F49" s="65" t="str">
        <f>IFERROR(__xludf.DUMMYFUNCTION("IF(ISBLANK(E49), """", GOOGLETRANSLATE(E49, ""es"", ""en""))"),"Subaccount identifier code associated with the expense item.")</f>
        <v>Subaccount identifier code associated with the expense item.</v>
      </c>
    </row>
    <row r="50" ht="15.75" customHeight="1">
      <c r="B50" s="4"/>
      <c r="C50" s="31" t="s">
        <v>1060</v>
      </c>
      <c r="D50" s="32" t="s">
        <v>1061</v>
      </c>
      <c r="E50" s="64" t="s">
        <v>1062</v>
      </c>
      <c r="F50" s="65" t="str">
        <f>IFERROR(__xludf.DUMMYFUNCTION("IF(ISBLANK(E50), """", GOOGLETRANSLATE(E50, ""es"", ""en""))"),"Name or identification of the subaccount associated with the expense item. Third level of organization according to the good or service that is acquired")</f>
        <v>Name or identification of the subaccount associated with the expense item. Third level of organization according to the good or service that is acquired</v>
      </c>
    </row>
    <row r="51" ht="15.75" customHeight="1">
      <c r="B51" s="4"/>
      <c r="C51" s="31" t="s">
        <v>1063</v>
      </c>
      <c r="D51" s="32" t="s">
        <v>1064</v>
      </c>
      <c r="E51" s="64" t="s">
        <v>1065</v>
      </c>
      <c r="F51" s="65" t="str">
        <f>IFERROR(__xludf.DUMMYFUNCTION("IF(ISBLANK(E51), """", GOOGLETRANSLATE(E51, ""es"", ""en""))"),"Identifier code of the auxiliary associated with the expense item.")</f>
        <v>Identifier code of the auxiliary associated with the expense item.</v>
      </c>
    </row>
    <row r="52" ht="15.75" customHeight="1">
      <c r="B52" s="4"/>
      <c r="C52" s="31" t="s">
        <v>1066</v>
      </c>
      <c r="D52" s="32" t="s">
        <v>1061</v>
      </c>
      <c r="E52" s="64" t="s">
        <v>1067</v>
      </c>
      <c r="F52" s="65" t="str">
        <f>IFERROR(__xludf.DUMMYFUNCTION("IF(ISBLANK(E52), """", GOOGLETRANSLATE(E52, ""es"", ""en""))"),"Name or identification of the assistant associated with the expense item.  Fourth level of organization according to the good or service that is acquired")</f>
        <v>Name or identification of the assistant associated with the expense item.  Fourth level of organization according to the good or service that is acquired</v>
      </c>
    </row>
    <row r="53" ht="15.75" customHeight="1">
      <c r="B53" s="4"/>
      <c r="C53" s="31" t="s">
        <v>1068</v>
      </c>
      <c r="D53" s="32">
        <v>2.0</v>
      </c>
      <c r="E53" s="64" t="s">
        <v>1069</v>
      </c>
      <c r="F53" s="65" t="str">
        <f>IFERROR(__xludf.DUMMYFUNCTION("IF(ISBLANK(E53), """", GOOGLETRANSLATE(E53, ""es"", ""en""))"),"Identifier code of the type of economic classification assigned to the expense item")</f>
        <v>Identifier code of the type of economic classification assigned to the expense item</v>
      </c>
    </row>
    <row r="54" ht="15.75" customHeight="1">
      <c r="B54" s="4"/>
      <c r="C54" s="31" t="s">
        <v>1070</v>
      </c>
      <c r="D54" s="32" t="s">
        <v>1045</v>
      </c>
      <c r="E54" s="64" t="s">
        <v>1071</v>
      </c>
      <c r="F54" s="65" t="str">
        <f>IFERROR(__xludf.DUMMYFUNCTION("IF(ISBLANK(E54), """", GOOGLETRANSLATE(E54, ""es"", ""en""))"),"Name or identification of the type of economic classification assigned to the expense item. It allows identifying the economic nature of the transactions carried out by the public sector, with the purpose of evaluating the impact and repercussions generat"&amp;"ed by fiscal actions.")</f>
        <v>Name or identification of the type of economic classification assigned to the expense item. It allows identifying the economic nature of the transactions carried out by the public sector, with the purpose of evaluating the impact and repercussions generated by fiscal actions.</v>
      </c>
    </row>
    <row r="55" ht="15.75" customHeight="1">
      <c r="B55" s="4"/>
      <c r="C55" s="31" t="s">
        <v>1072</v>
      </c>
      <c r="D55" s="66">
        <v>45324.0</v>
      </c>
      <c r="E55" s="64" t="s">
        <v>1073</v>
      </c>
      <c r="F55" s="65" t="str">
        <f>IFERROR(__xludf.DUMMYFUNCTION("IF(ISBLANK(E55), """", GOOGLETRANSLATE(E55, ""es"", ""en""))"),"Identifier code of the economic classification title assigned to the expense item")</f>
        <v>Identifier code of the economic classification title assigned to the expense item</v>
      </c>
    </row>
    <row r="56" ht="15.75" customHeight="1">
      <c r="B56" s="4"/>
      <c r="C56" s="31" t="s">
        <v>1074</v>
      </c>
      <c r="D56" s="32" t="s">
        <v>1075</v>
      </c>
      <c r="E56" s="64" t="s">
        <v>1076</v>
      </c>
      <c r="F56" s="65" t="str">
        <f>IFERROR(__xludf.DUMMYFUNCTION("IF(ISBLANK(E56), """", GOOGLETRANSLATE(E56, ""es"", ""en""))"),"Name or identification of the title (first level) of economic classification assigned to the expense item. It allows identifying the economic nature of the transactions carried out by the public sector, with the purpose of evaluating the impact and reperc"&amp;"ussions generated by fiscal actions.")</f>
        <v>Name or identification of the title (first level) of economic classification assigned to the expense item. It allows identifying the economic nature of the transactions carried out by the public sector, with the purpose of evaluating the impact and repercussions generated by fiscal actions.</v>
      </c>
    </row>
    <row r="57" ht="15.75" customHeight="1">
      <c r="B57" s="4"/>
      <c r="C57" s="31" t="s">
        <v>1077</v>
      </c>
      <c r="D57" s="67">
        <v>37289.0</v>
      </c>
      <c r="E57" s="64" t="s">
        <v>1078</v>
      </c>
      <c r="F57" s="65" t="str">
        <f>IFERROR(__xludf.DUMMYFUNCTION("IF(ISBLANK(E57), """", GOOGLETRANSLATE(E57, ""es"", ""en""))"),"Identifier code of the economic classification subtitle assigned to the expense item")</f>
        <v>Identifier code of the economic classification subtitle assigned to the expense item</v>
      </c>
    </row>
    <row r="58" ht="15.75" customHeight="1">
      <c r="B58" s="4"/>
      <c r="C58" s="31" t="s">
        <v>1079</v>
      </c>
      <c r="D58" s="32" t="s">
        <v>1080</v>
      </c>
      <c r="E58" s="64" t="s">
        <v>1081</v>
      </c>
      <c r="F58" s="65" t="str">
        <f>IFERROR(__xludf.DUMMYFUNCTION("IF(ISBLANK(E58), """", GOOGLETRANSLATE(E58, ""es"", ""en""))"),"Name or identification of the subtitle (second level) of economic classification assigned to the expense item. It allows identifying the economic nature of the transactions carried out by the public sector, with the purpose of evaluating the impact and re"&amp;"percussions generated by fiscal actions.")</f>
        <v>Name or identification of the subtitle (second level) of economic classification assigned to the expense item. It allows identifying the economic nature of the transactions carried out by the public sector, with the purpose of evaluating the impact and repercussions generated by fiscal actions.</v>
      </c>
    </row>
    <row r="59" ht="15.75" customHeight="1">
      <c r="B59" s="4"/>
      <c r="C59" s="31" t="s">
        <v>1082</v>
      </c>
      <c r="D59" s="32" t="s">
        <v>1083</v>
      </c>
      <c r="E59" s="64" t="s">
        <v>1084</v>
      </c>
      <c r="F59" s="65" t="str">
        <f>IFERROR(__xludf.DUMMYFUNCTION("IF(ISBLANK(E59), """", GOOGLETRANSLATE(E59, ""es"", ""en""))"),"Identifier code of the economic classification group assigned to the expense item")</f>
        <v>Identifier code of the economic classification group assigned to the expense item</v>
      </c>
    </row>
    <row r="60" ht="15.75" customHeight="1">
      <c r="B60" s="4"/>
      <c r="C60" s="31" t="s">
        <v>1085</v>
      </c>
      <c r="D60" s="32" t="s">
        <v>1086</v>
      </c>
      <c r="E60" s="64" t="s">
        <v>1087</v>
      </c>
      <c r="F60" s="65" t="str">
        <f>IFERROR(__xludf.DUMMYFUNCTION("IF(ISBLANK(E60), """", GOOGLETRANSLATE(E60, ""es"", ""en""))"),"Name or identification of the group (third level) of economic classification assigned to the expense item. It allows identifying the economic nature of the transactions carried out by the public sector, with the purpose of evaluating the impact and reperc"&amp;"ussions generated by fiscal actions.")</f>
        <v>Name or identification of the group (third level) of economic classification assigned to the expense item. It allows identifying the economic nature of the transactions carried out by the public sector, with the purpose of evaluating the impact and repercussions generated by fiscal actions.</v>
      </c>
    </row>
    <row r="61" ht="15.75" customHeight="1">
      <c r="B61" s="4"/>
      <c r="C61" s="31" t="s">
        <v>1088</v>
      </c>
      <c r="D61" s="32" t="s">
        <v>1089</v>
      </c>
      <c r="E61" s="64" t="s">
        <v>1090</v>
      </c>
      <c r="F61" s="65" t="str">
        <f>IFERROR(__xludf.DUMMYFUNCTION("IF(ISBLANK(E61), """", GOOGLETRANSLATE(E61, ""es"", ""en""))"),"Identifier code of the economic classification subgroup assigned to the expense item")</f>
        <v>Identifier code of the economic classification subgroup assigned to the expense item</v>
      </c>
    </row>
    <row r="62" ht="15.75" customHeight="1">
      <c r="B62" s="4"/>
      <c r="C62" s="31" t="s">
        <v>1091</v>
      </c>
      <c r="D62" s="32" t="s">
        <v>1061</v>
      </c>
      <c r="E62" s="64" t="s">
        <v>1092</v>
      </c>
      <c r="F62" s="65" t="str">
        <f>IFERROR(__xludf.DUMMYFUNCTION("IF(ISBLANK(E62), """", GOOGLETRANSLATE(E62, ""es"", ""en""))"),"Name or identification of the subgroup (fourth level) of economic classification assigned to the expense item. It allows identifying the economic nature of the transactions carried out by the public sector, with the purpose of evaluating the impact and re"&amp;"percussions generated by fiscal actions.")</f>
        <v>Name or identification of the subgroup (fourth level) of economic classification assigned to the expense item. It allows identifying the economic nature of the transactions carried out by the public sector, with the purpose of evaluating the impact and repercussions generated by fiscal actions.</v>
      </c>
    </row>
    <row r="63" ht="15.75" customHeight="1">
      <c r="B63" s="4"/>
      <c r="C63" s="31" t="s">
        <v>1093</v>
      </c>
      <c r="D63" s="32" t="s">
        <v>1094</v>
      </c>
      <c r="E63" s="64" t="s">
        <v>1095</v>
      </c>
      <c r="F63" s="65" t="str">
        <f>IFERROR(__xludf.DUMMYFUNCTION("IF(ISBLANK(E63), """", GOOGLETRANSLATE(E63, ""es"", ""en""))"),"Identifier code of the economic classification account assigned to the expense item")</f>
        <v>Identifier code of the economic classification account assigned to the expense item</v>
      </c>
    </row>
    <row r="64" ht="15.75" customHeight="1">
      <c r="B64" s="4"/>
      <c r="C64" s="31" t="s">
        <v>1096</v>
      </c>
      <c r="D64" s="32" t="s">
        <v>1094</v>
      </c>
      <c r="E64" s="64" t="s">
        <v>1097</v>
      </c>
      <c r="F64" s="65" t="str">
        <f>IFERROR(__xludf.DUMMYFUNCTION("IF(ISBLANK(E64), """", GOOGLETRANSLATE(E64, ""es"", ""en""))"),"Name or identification of the account (fifth level) of economic classification assigned to the expense item. It allows identifying the economic nature of the transactions carried out by the public sector, with the purpose of evaluating the impact and repe"&amp;"rcussions generated by fiscal actions.")</f>
        <v>Name or identification of the account (fifth level) of economic classification assigned to the expense item. It allows identifying the economic nature of the transactions carried out by the public sector, with the purpose of evaluating the impact and repercussions generated by fiscal actions.</v>
      </c>
    </row>
    <row r="65" ht="15.75" customHeight="1">
      <c r="B65" s="4"/>
      <c r="C65" s="31" t="s">
        <v>1098</v>
      </c>
      <c r="D65" s="32" t="s">
        <v>1094</v>
      </c>
      <c r="E65" s="64" t="s">
        <v>1099</v>
      </c>
      <c r="F65" s="65" t="str">
        <f>IFERROR(__xludf.DUMMYFUNCTION("IF(ISBLANK(E65), """", GOOGLETRANSLATE(E65, ""es"", ""en""))"),"Identifier code of the economic classification assistant assigned to the expense item")</f>
        <v>Identifier code of the economic classification assistant assigned to the expense item</v>
      </c>
    </row>
    <row r="66" ht="15.75" customHeight="1">
      <c r="B66" s="4"/>
      <c r="C66" s="31" t="s">
        <v>1100</v>
      </c>
      <c r="D66" s="32" t="s">
        <v>1094</v>
      </c>
      <c r="E66" s="64" t="s">
        <v>1101</v>
      </c>
      <c r="F66" s="65" t="str">
        <f>IFERROR(__xludf.DUMMYFUNCTION("IF(ISBLANK(E66), """", GOOGLETRANSLATE(E66, ""es"", ""en""))"),"Name or identification of the auxiliary (sixth level) of economic classification assigned to the expense item. It allows identifying the economic nature of the transactions carried out by the public sector, with the purpose of evaluating the impact and re"&amp;"percussions generated by fiscal actions.")</f>
        <v>Name or identification of the auxiliary (sixth level) of economic classification assigned to the expense item. It allows identifying the economic nature of the transactions carried out by the public sector, with the purpose of evaluating the impact and repercussions generated by fiscal actions.</v>
      </c>
    </row>
    <row r="67" ht="15.75" customHeight="1">
      <c r="B67" s="4"/>
      <c r="C67" s="31" t="s">
        <v>1102</v>
      </c>
      <c r="D67" s="32" t="s">
        <v>1094</v>
      </c>
      <c r="E67" s="64" t="s">
        <v>1103</v>
      </c>
      <c r="F67" s="65" t="str">
        <f>IFERROR(__xludf.DUMMYFUNCTION("IF(ISBLANK(E67), """", GOOGLETRANSLATE(E67, ""es"", ""en""))"),"Identifier code of the sub-auxiliary economic classification assigned to the expense item")</f>
        <v>Identifier code of the sub-auxiliary economic classification assigned to the expense item</v>
      </c>
    </row>
    <row r="68" ht="15.75" customHeight="1">
      <c r="B68" s="4"/>
      <c r="C68" s="31" t="s">
        <v>1104</v>
      </c>
      <c r="D68" s="32" t="s">
        <v>1094</v>
      </c>
      <c r="E68" s="64" t="s">
        <v>1105</v>
      </c>
      <c r="F68" s="65" t="str">
        <f>IFERROR(__xludf.DUMMYFUNCTION("IF(ISBLANK(E68), """", GOOGLETRANSLATE(E68, ""es"", ""en""))"),"Name or identification of the subauxiliary (seventh level) of economic classification assigned to the expense item. It allows identifying the economic nature of the transactions carried out by the public sector, with the purpose of evaluating the impact a"&amp;"nd repercussions generated by fiscal actions.")</f>
        <v>Name or identification of the subauxiliary (seventh level) of economic classification assigned to the expense item. It allows identifying the economic nature of the transactions carried out by the public sector, with the purpose of evaluating the impact and repercussions generated by fiscal actions.</v>
      </c>
    </row>
    <row r="69" ht="15.75" customHeight="1">
      <c r="B69" s="4"/>
      <c r="C69" s="31" t="s">
        <v>1106</v>
      </c>
      <c r="D69" s="32">
        <v>0.0</v>
      </c>
      <c r="E69" s="64" t="s">
        <v>1107</v>
      </c>
      <c r="F69" s="65" t="str">
        <f>IFERROR(__xludf.DUMMYFUNCTION("IF(ISBLANK(E69), """", GOOGLETRANSLATE(E69, ""es"", ""en""))"),"Identifier code of the institution receiving the resources.")</f>
        <v>Identifier code of the institution receiving the resources.</v>
      </c>
    </row>
    <row r="70" ht="15.75" customHeight="1">
      <c r="B70" s="4"/>
      <c r="C70" s="31" t="s">
        <v>1108</v>
      </c>
      <c r="D70" s="32" t="s">
        <v>1109</v>
      </c>
      <c r="E70" s="64" t="s">
        <v>1110</v>
      </c>
      <c r="F70" s="65" t="str">
        <f>IFERROR(__xludf.DUMMYFUNCTION("IF(ISBLANK(E70), """", GOOGLETRANSLATE(E70, ""es"", ""en""))"),"Name or identification of the institution receiving the resources.")</f>
        <v>Name or identification of the institution receiving the resources.</v>
      </c>
    </row>
    <row r="71" ht="15.75" customHeight="1">
      <c r="B71" s="4"/>
      <c r="C71" s="31" t="s">
        <v>1111</v>
      </c>
      <c r="D71" s="32" t="s">
        <v>66</v>
      </c>
      <c r="E71" s="64" t="s">
        <v>1112</v>
      </c>
      <c r="F71" s="65" t="str">
        <f>IFERROR(__xludf.DUMMYFUNCTION("IF(ISBLANK(E71), """", GOOGLETRANSLATE(E71, ""es"", ""en""))"),"Code of the Type of expense associated with the expense item.")</f>
        <v>Code of the Type of expense associated with the expense item.</v>
      </c>
    </row>
    <row r="72" ht="15.75" customHeight="1">
      <c r="B72" s="4"/>
      <c r="C72" s="31" t="s">
        <v>1113</v>
      </c>
      <c r="D72" s="32" t="s">
        <v>1114</v>
      </c>
      <c r="E72" s="64" t="s">
        <v>1115</v>
      </c>
      <c r="F72" s="65" t="str">
        <f>IFERROR(__xludf.DUMMYFUNCTION("IF(ISBLANK(E72), """", GOOGLETRANSLATE(E72, ""es"", ""en""))"),"Name of the type of expense associated with the expense item.")</f>
        <v>Name of the type of expense associated with the expense item.</v>
      </c>
    </row>
    <row r="73" ht="15.75" customHeight="1">
      <c r="B73" s="4"/>
      <c r="C73" s="31" t="s">
        <v>1116</v>
      </c>
      <c r="D73" s="32">
        <v>14676.0</v>
      </c>
      <c r="E73" s="64" t="s">
        <v>1117</v>
      </c>
      <c r="F73" s="65" t="str">
        <f>IFERROR(__xludf.DUMMYFUNCTION("IF(ISBLANK(E73), """", GOOGLETRANSLATE(E73, ""es"", ""en""))"),"Identifier code of the investment project in the SNIP (National Public Investment System)")</f>
        <v>Identifier code of the investment project in the SNIP (National Public Investment System)</v>
      </c>
    </row>
    <row r="74" ht="15.75" customHeight="1">
      <c r="B74" s="4"/>
      <c r="C74" s="31" t="s">
        <v>1118</v>
      </c>
      <c r="D74" s="32" t="s">
        <v>1003</v>
      </c>
      <c r="E74" s="64" t="s">
        <v>1119</v>
      </c>
      <c r="F74" s="65" t="str">
        <f>IFERROR(__xludf.DUMMYFUNCTION("IF(ISBLANK(E74), """", GOOGLETRANSLATE(E74, ""es"", ""en""))"),"Name of the investment project in the SNIP (Public Investment System)")</f>
        <v>Name of the investment project in the SNIP (Public Investment System)</v>
      </c>
    </row>
    <row r="75" ht="15.75" customHeight="1">
      <c r="B75" s="4"/>
      <c r="C75" s="31" t="s">
        <v>1120</v>
      </c>
      <c r="D75" s="32" t="s">
        <v>1121</v>
      </c>
      <c r="E75" s="64" t="s">
        <v>1122</v>
      </c>
      <c r="F75" s="65" t="str">
        <f>IFERROR(__xludf.DUMMYFUNCTION("IF(ISBLANK(E75), """", GOOGLETRANSLATE(E75, ""es"", ""en""))"),"Complete description of the investment project in the SNIP (Public Investment System) which includes some characteristics of the project")</f>
        <v>Complete description of the investment project in the SNIP (Public Investment System) which includes some characteristics of the project</v>
      </c>
    </row>
    <row r="76" ht="15.75" customHeight="1">
      <c r="B76" s="4"/>
      <c r="C76" s="31" t="s">
        <v>1123</v>
      </c>
      <c r="D76" s="32">
        <v>1.0</v>
      </c>
      <c r="E76" s="64" t="s">
        <v>1124</v>
      </c>
      <c r="F76" s="65" t="str">
        <f>IFERROR(__xludf.DUMMYFUNCTION("IF(ISBLANK(E76), """", GOOGLETRANSLATE(E76, ""es"", ""en""))"),"Identification code of the typology associated with the investment project.")</f>
        <v>Identification code of the typology associated with the investment project.</v>
      </c>
    </row>
    <row r="77" ht="15.75" customHeight="1">
      <c r="B77" s="4"/>
      <c r="C77" s="31" t="s">
        <v>1125</v>
      </c>
      <c r="D77" s="32" t="s">
        <v>1126</v>
      </c>
      <c r="E77" s="64" t="s">
        <v>1127</v>
      </c>
      <c r="F77" s="65" t="str">
        <f>IFERROR(__xludf.DUMMYFUNCTION("IF(ISBLANK(E77), """", GOOGLETRANSLATE(E77, ""es"", ""en""))"),"Name or identification of the typology associated with the investment project.")</f>
        <v>Name or identification of the typology associated with the investment project.</v>
      </c>
    </row>
    <row r="78" ht="15.75" customHeight="1">
      <c r="B78" s="4"/>
      <c r="C78" s="31" t="s">
        <v>1128</v>
      </c>
      <c r="D78" s="32" t="s">
        <v>66</v>
      </c>
      <c r="E78" s="64" t="s">
        <v>1129</v>
      </c>
      <c r="F78" s="65" t="str">
        <f>IFERROR(__xludf.DUMMYFUNCTION("IF(ISBLANK(E78), """", GOOGLETRANSLATE(E78, ""es"", ""en""))"),"Identifier code of the type of investment activity associated with the investment project.")</f>
        <v>Identifier code of the type of investment activity associated with the investment project.</v>
      </c>
    </row>
    <row r="79" ht="15.75" customHeight="1">
      <c r="B79" s="4"/>
      <c r="C79" s="31" t="s">
        <v>1130</v>
      </c>
      <c r="D79" s="32">
        <v>5.0</v>
      </c>
      <c r="E79" s="64" t="s">
        <v>1131</v>
      </c>
      <c r="F79" s="65" t="str">
        <f>IFERROR(__xludf.DUMMYFUNCTION("IF(ISBLANK(E79), """", GOOGLETRANSLATE(E79, ""es"", ""en""))"),"Identifier code of the Region associated with the investment project")</f>
        <v>Identifier code of the Region associated with the investment project</v>
      </c>
    </row>
    <row r="80" ht="15.75" customHeight="1">
      <c r="B80" s="4"/>
      <c r="C80" s="31" t="s">
        <v>1132</v>
      </c>
      <c r="D80" s="32" t="s">
        <v>1133</v>
      </c>
      <c r="E80" s="64" t="s">
        <v>1134</v>
      </c>
      <c r="F80" s="65" t="str">
        <f>IFERROR(__xludf.DUMMYFUNCTION("IF(ISBLANK(E80), """", GOOGLETRANSLATE(E80, ""es"", ""en""))"),"Name or identification of the Region associated with the investment project")</f>
        <v>Name or identification of the Region associated with the investment project</v>
      </c>
    </row>
    <row r="81" ht="15.75" customHeight="1">
      <c r="B81" s="4"/>
      <c r="C81" s="31" t="s">
        <v>1135</v>
      </c>
      <c r="D81" s="32">
        <v>21.0</v>
      </c>
      <c r="E81" s="64" t="s">
        <v>1136</v>
      </c>
      <c r="F81" s="65" t="str">
        <f>IFERROR(__xludf.DUMMYFUNCTION("IF(ISBLANK(E81), """", GOOGLETRANSLATE(E81, ""es"", ""en""))"),"Identifier code of the Province associated with the investment project")</f>
        <v>Identifier code of the Province associated with the investment project</v>
      </c>
    </row>
    <row r="82" ht="15.75" customHeight="1">
      <c r="B82" s="4"/>
      <c r="C82" s="31" t="s">
        <v>1137</v>
      </c>
      <c r="D82" s="32" t="s">
        <v>1138</v>
      </c>
      <c r="E82" s="64" t="s">
        <v>1139</v>
      </c>
      <c r="F82" s="65" t="str">
        <f>IFERROR(__xludf.DUMMYFUNCTION("IF(ISBLANK(E82), """", GOOGLETRANSLATE(E82, ""es"", ""en""))"),"Name or identification of the Province associated with the investment project")</f>
        <v>Name or identification of the Province associated with the investment project</v>
      </c>
    </row>
    <row r="83" ht="15.75" customHeight="1">
      <c r="B83" s="4"/>
      <c r="C83" s="31" t="s">
        <v>1140</v>
      </c>
      <c r="D83" s="32">
        <v>1.0</v>
      </c>
      <c r="E83" s="64" t="s">
        <v>1141</v>
      </c>
      <c r="F83" s="65" t="str">
        <f>IFERROR(__xludf.DUMMYFUNCTION("IF(ISBLANK(E83), """", GOOGLETRANSLATE(E83, ""es"", ""en""))"),"Identifier code of the municipality associated with the investment project")</f>
        <v>Identifier code of the municipality associated with the investment project</v>
      </c>
    </row>
    <row r="84" ht="15.75" customHeight="1">
      <c r="B84" s="4"/>
      <c r="C84" s="31" t="s">
        <v>1142</v>
      </c>
      <c r="D84" s="32" t="s">
        <v>1138</v>
      </c>
      <c r="E84" s="64" t="s">
        <v>1143</v>
      </c>
      <c r="F84" s="65" t="str">
        <f>IFERROR(__xludf.DUMMYFUNCTION("IF(ISBLANK(E84), """", GOOGLETRANSLATE(E84, ""es"", ""en""))"),"Name or identification of the municipality associated with the investment project")</f>
        <v>Name or identification of the municipality associated with the investment project</v>
      </c>
    </row>
    <row r="85" ht="15.75" customHeight="1">
      <c r="B85" s="4"/>
      <c r="C85" s="31" t="s">
        <v>1144</v>
      </c>
      <c r="D85" s="32" t="s">
        <v>1145</v>
      </c>
      <c r="E85" s="64" t="s">
        <v>1146</v>
      </c>
      <c r="F85" s="65" t="str">
        <f>IFERROR(__xludf.DUMMYFUNCTION("IF(ISBLANK(E85), """", GOOGLETRANSLATE(E85, ""es"", ""en""))"),"Description of the expense item")</f>
        <v>Description of the expense item</v>
      </c>
    </row>
    <row r="86" ht="15.75" customHeight="1">
      <c r="B86" s="4"/>
      <c r="C86" s="31" t="s">
        <v>1147</v>
      </c>
      <c r="D86" s="32" t="s">
        <v>1148</v>
      </c>
      <c r="E86" s="64" t="s">
        <v>1149</v>
      </c>
      <c r="F86" s="65" t="str">
        <f>IFERROR(__xludf.DUMMYFUNCTION("IF(ISBLANK(E86), """", GOOGLETRANSLATE(E86, ""es"", ""en""))"),"Initial amount related to the expense item")</f>
        <v>Initial amount related to the expense item</v>
      </c>
    </row>
    <row r="87" ht="15.75" customHeight="1">
      <c r="B87" s="4"/>
      <c r="C87" s="31" t="s">
        <v>1150</v>
      </c>
      <c r="D87" s="32" t="s">
        <v>194</v>
      </c>
      <c r="E87" s="64" t="s">
        <v>1151</v>
      </c>
      <c r="F87" s="65" t="str">
        <f>IFERROR(__xludf.DUMMYFUNCTION("IF(ISBLANK(E87), """", GOOGLETRANSLATE(E87, ""es"", ""en""))"),"Amount of modifications or adjustments related to the expense item.")</f>
        <v>Amount of modifications or adjustments related to the expense item.</v>
      </c>
    </row>
    <row r="88" ht="15.75" customHeight="1">
      <c r="B88" s="4"/>
      <c r="C88" s="31" t="s">
        <v>1152</v>
      </c>
      <c r="D88" s="32" t="s">
        <v>1148</v>
      </c>
      <c r="E88" s="64" t="s">
        <v>1153</v>
      </c>
      <c r="F88" s="65" t="str">
        <f>IFERROR(__xludf.DUMMYFUNCTION("IF(ISBLANK(E88), """", GOOGLETRANSLATE(E88, ""es"", ""en""))"),"Current amount related to the expense item.")</f>
        <v>Current amount related to the expense item.</v>
      </c>
    </row>
    <row r="89" ht="15.75" customHeight="1">
      <c r="B89" s="4"/>
      <c r="C89" s="4"/>
      <c r="D89" s="3"/>
      <c r="E89" s="56"/>
      <c r="F89" s="56"/>
    </row>
    <row r="90" ht="15.75" customHeight="1">
      <c r="B90" s="4"/>
      <c r="C90" s="4"/>
      <c r="D90" s="3"/>
      <c r="E90" s="56"/>
      <c r="F90" s="56"/>
    </row>
    <row r="91" ht="15.75" customHeight="1">
      <c r="B91" s="4"/>
      <c r="C91" s="4"/>
      <c r="D91" s="3"/>
      <c r="E91" s="56"/>
      <c r="F91" s="56"/>
    </row>
    <row r="92" ht="15.75" customHeight="1">
      <c r="B92" s="4"/>
      <c r="C92" s="4"/>
      <c r="D92" s="3"/>
      <c r="E92" s="56"/>
      <c r="F92" s="56"/>
    </row>
    <row r="93" ht="15.75" customHeight="1">
      <c r="B93" s="58"/>
      <c r="C93" s="58" t="s">
        <v>1154</v>
      </c>
    </row>
    <row r="94" ht="15.75" customHeight="1">
      <c r="B94" s="59"/>
      <c r="C94" s="59" t="s">
        <v>1155</v>
      </c>
      <c r="E94" s="60" t="str">
        <f>IFERROR(__xludf.DUMMYFUNCTION("IF(ISBLANK(C94), """", GOOGLETRANSLATE(C94, ""es"", ""en""))"),"Detail of preventive spending forms (Purchasing processes)")</f>
        <v>Detail of preventive spending forms (Purchasing processes)</v>
      </c>
    </row>
    <row r="95" ht="15.75" customHeight="1">
      <c r="B95" s="61"/>
      <c r="C95" s="7" t="s">
        <v>957</v>
      </c>
      <c r="D95" s="62" t="s">
        <v>958</v>
      </c>
      <c r="E95" s="63" t="s">
        <v>959</v>
      </c>
      <c r="F95" s="63" t="s">
        <v>960</v>
      </c>
    </row>
    <row r="96" ht="15.75" customHeight="1">
      <c r="B96" s="4"/>
      <c r="C96" s="31" t="s">
        <v>964</v>
      </c>
      <c r="D96" s="32">
        <v>2023.0</v>
      </c>
      <c r="E96" s="64" t="s">
        <v>1156</v>
      </c>
      <c r="F96" s="65" t="str">
        <f>IFERROR(__xludf.DUMMYFUNCTION("IF(ISBLANK(E96), """", GOOGLETRANSLATE(E96, ""es"", ""en""))"),"Preventive Expenditure Form Year")</f>
        <v>Preventive Expenditure Form Year</v>
      </c>
    </row>
    <row r="97" ht="15.75" customHeight="1">
      <c r="B97" s="4"/>
      <c r="C97" s="31" t="s">
        <v>1157</v>
      </c>
      <c r="D97" s="32" t="s">
        <v>1158</v>
      </c>
      <c r="E97" s="64" t="s">
        <v>1159</v>
      </c>
      <c r="F97" s="65" t="str">
        <f>IFERROR(__xludf.DUMMYFUNCTION("IF(ISBLANK(E97), """", GOOGLETRANSLATE(E97, ""es"", ""en""))"),"Unique identification code of the preventive expense form")</f>
        <v>Unique identification code of the preventive expense form</v>
      </c>
    </row>
    <row r="98" ht="15.75" customHeight="1">
      <c r="B98" s="4"/>
      <c r="C98" s="31" t="s">
        <v>1160</v>
      </c>
      <c r="D98" s="32" t="s">
        <v>1161</v>
      </c>
      <c r="E98" s="64" t="s">
        <v>1162</v>
      </c>
      <c r="F98" s="65" t="str">
        <f>IFERROR(__xludf.DUMMYFUNCTION("IF(ISBLANK(E98), """", GOOGLETRANSLATE(E98, ""es"", ""en""))"),"Preventive Expenditure Form Amount")</f>
        <v>Preventive Expenditure Form Amount</v>
      </c>
    </row>
    <row r="99" ht="15.75" customHeight="1">
      <c r="B99" s="4"/>
      <c r="C99" s="31" t="s">
        <v>1163</v>
      </c>
      <c r="D99" s="32" t="s">
        <v>1164</v>
      </c>
      <c r="E99" s="64" t="s">
        <v>1165</v>
      </c>
      <c r="F99" s="65" t="str">
        <f>IFERROR(__xludf.DUMMYFUNCTION("IF(ISBLANK(E99), """", GOOGLETRANSLATE(E99, ""es"", ""en""))"),"Preventive Expenditure Form Registration Date")</f>
        <v>Preventive Expenditure Form Registration Date</v>
      </c>
    </row>
    <row r="100" ht="15.75" customHeight="1">
      <c r="B100" s="4"/>
      <c r="C100" s="31" t="s">
        <v>1166</v>
      </c>
      <c r="D100" s="32">
        <v>22.0</v>
      </c>
      <c r="E100" s="64" t="s">
        <v>1167</v>
      </c>
      <c r="F100" s="65" t="str">
        <f>IFERROR(__xludf.DUMMYFUNCTION("IF(ISBLANK(E100), """", GOOGLETRANSLATE(E100, ""es"", ""en""))"),"Code of the procedure associated with the preventive expense form")</f>
        <v>Code of the procedure associated with the preventive expense form</v>
      </c>
    </row>
    <row r="101" ht="15.75" customHeight="1">
      <c r="B101" s="4"/>
      <c r="C101" s="31" t="s">
        <v>1168</v>
      </c>
      <c r="D101" s="32">
        <v>2.0</v>
      </c>
      <c r="E101" s="64" t="s">
        <v>1169</v>
      </c>
      <c r="F101" s="65" t="str">
        <f>IFERROR(__xludf.DUMMYFUNCTION("IF(ISBLANK(E101), """", GOOGLETRANSLATE(E101, ""es"", ""en""))"),"Procedure number associated with the preventive expense form")</f>
        <v>Procedure number associated with the preventive expense form</v>
      </c>
    </row>
    <row r="102" ht="15.75" customHeight="1">
      <c r="B102" s="4"/>
      <c r="C102" s="31" t="s">
        <v>1170</v>
      </c>
      <c r="D102" s="32" t="s">
        <v>1171</v>
      </c>
      <c r="E102" s="64" t="s">
        <v>1172</v>
      </c>
      <c r="F102" s="65" t="str">
        <f>IFERROR(__xludf.DUMMYFUNCTION("IF(ISBLANK(E102), """", GOOGLETRANSLATE(E102, ""es"", ""en""))"),"Purchasing process code associated with the preventive expense form")</f>
        <v>Purchasing process code associated with the preventive expense form</v>
      </c>
    </row>
    <row r="103" ht="15.75" customHeight="1">
      <c r="B103" s="4"/>
      <c r="C103" s="31" t="s">
        <v>1173</v>
      </c>
      <c r="D103" s="32" t="s">
        <v>1174</v>
      </c>
      <c r="E103" s="64" t="s">
        <v>1175</v>
      </c>
      <c r="F103" s="65" t="str">
        <f>IFERROR(__xludf.DUMMYFUNCTION("IF(ISBLANK(E103), """", GOOGLETRANSLATE(E103, ""es"", ""en""))"),"Identifier code of the purchase method associated with the purchase process.")</f>
        <v>Identifier code of the purchase method associated with the purchase process.</v>
      </c>
    </row>
    <row r="104" ht="15.75" customHeight="1">
      <c r="B104" s="4"/>
      <c r="C104" s="31" t="s">
        <v>1176</v>
      </c>
      <c r="D104" s="32" t="s">
        <v>1177</v>
      </c>
      <c r="E104" s="64" t="s">
        <v>1178</v>
      </c>
      <c r="F104" s="65" t="str">
        <f>IFERROR(__xludf.DUMMYFUNCTION("IF(ISBLANK(E104), """", GOOGLETRANSLATE(E104, ""es"", ""en""))"),"Name or identification of the purchase method associated with the purchase process.")</f>
        <v>Name or identification of the purchase method associated with the purchase process.</v>
      </c>
    </row>
    <row r="105" ht="15.75" customHeight="1">
      <c r="B105" s="4"/>
      <c r="C105" s="31" t="s">
        <v>1179</v>
      </c>
      <c r="D105" s="32" t="s">
        <v>1180</v>
      </c>
      <c r="E105" s="64" t="s">
        <v>1181</v>
      </c>
      <c r="F105" s="65" t="str">
        <f>IFERROR(__xludf.DUMMYFUNCTION("IF(ISBLANK(E105), """", GOOGLETRANSLATE(E105, ""es"", ""en""))"),"End date for receiving offers associated with the purchasing process.")</f>
        <v>End date for receiving offers associated with the purchasing process.</v>
      </c>
    </row>
    <row r="106" ht="15.75" customHeight="1">
      <c r="B106" s="4"/>
      <c r="C106" s="31" t="s">
        <v>1182</v>
      </c>
      <c r="D106" s="32" t="s">
        <v>1183</v>
      </c>
      <c r="E106" s="64" t="s">
        <v>1184</v>
      </c>
      <c r="F106" s="65" t="str">
        <f>IFERROR(__xludf.DUMMYFUNCTION("IF(ISBLANK(E106), """", GOOGLETRANSLATE(E106, ""es"", ""en""))"),"Complete description of the purchasing process with some characteristics")</f>
        <v>Complete description of the purchasing process with some characteristics</v>
      </c>
    </row>
    <row r="107" ht="15.75" customHeight="1">
      <c r="B107" s="4"/>
      <c r="C107" s="31" t="s">
        <v>1185</v>
      </c>
      <c r="D107" s="32" t="s">
        <v>1183</v>
      </c>
      <c r="E107" s="64" t="s">
        <v>1186</v>
      </c>
      <c r="F107" s="65" t="str">
        <f>IFERROR(__xludf.DUMMYFUNCTION("IF(ISBLANK(E107), """", GOOGLETRANSLATE(E107, ""es"", ""en""))"),"Name or identification of the procedure associated with the preventive expense form")</f>
        <v>Name or identification of the procedure associated with the preventive expense form</v>
      </c>
    </row>
    <row r="108" ht="15.75" customHeight="1">
      <c r="B108" s="4"/>
      <c r="C108" s="31" t="s">
        <v>1187</v>
      </c>
      <c r="D108" s="32">
        <v>3.0</v>
      </c>
      <c r="E108" s="64" t="s">
        <v>1188</v>
      </c>
      <c r="F108" s="65" t="str">
        <f>IFERROR(__xludf.DUMMYFUNCTION("IF(ISBLANK(E108), """", GOOGLETRANSLATE(E108, ""es"", ""en""))"),"State identification code associated with the purchasing process.")</f>
        <v>State identification code associated with the purchasing process.</v>
      </c>
    </row>
    <row r="109" ht="15.75" customHeight="1">
      <c r="B109" s="4"/>
      <c r="C109" s="31" t="s">
        <v>1189</v>
      </c>
      <c r="D109" s="32" t="s">
        <v>1190</v>
      </c>
      <c r="E109" s="64" t="s">
        <v>1191</v>
      </c>
      <c r="F109" s="65" t="str">
        <f>IFERROR(__xludf.DUMMYFUNCTION("IF(ISBLANK(E109), """", GOOGLETRANSLATE(E109, ""es"", ""en""))"),"Identification code of the type of award associated with the purchasing process.")</f>
        <v>Identification code of the type of award associated with the purchasing process.</v>
      </c>
    </row>
    <row r="110" ht="15.75" customHeight="1">
      <c r="B110" s="4"/>
      <c r="C110" s="31" t="s">
        <v>1192</v>
      </c>
      <c r="D110" s="32">
        <v>1.0</v>
      </c>
      <c r="E110" s="64" t="s">
        <v>1193</v>
      </c>
      <c r="F110" s="65" t="str">
        <f>IFERROR(__xludf.DUMMYFUNCTION("IF(ISBLANK(E110), """", GOOGLETRANSLATE(E110, ""es"", ""en""))"),"Currency identifier code")</f>
        <v>Currency identifier code</v>
      </c>
    </row>
    <row r="111" ht="15.75" customHeight="1">
      <c r="B111" s="4"/>
      <c r="C111" s="31" t="s">
        <v>1194</v>
      </c>
      <c r="D111" s="32" t="s">
        <v>1195</v>
      </c>
      <c r="E111" s="64" t="s">
        <v>1165</v>
      </c>
      <c r="F111" s="65" t="str">
        <f>IFERROR(__xludf.DUMMYFUNCTION("IF(ISBLANK(E111), """", GOOGLETRANSLATE(E111, ""es"", ""en""))"),"Preventive Expenditure Form Registration Date")</f>
        <v>Preventive Expenditure Form Registration Date</v>
      </c>
    </row>
    <row r="112" ht="15.75" customHeight="1">
      <c r="B112" s="4"/>
      <c r="C112" s="31" t="s">
        <v>1196</v>
      </c>
      <c r="D112" s="32" t="s">
        <v>1161</v>
      </c>
      <c r="E112" s="64" t="s">
        <v>1197</v>
      </c>
      <c r="F112" s="65" t="str">
        <f>IFERROR(__xludf.DUMMYFUNCTION("IF(ISBLANK(E112), """", GOOGLETRANSLATE(E112, ""es"", ""en""))"),"Estimated amount of the preventive expense form")</f>
        <v>Estimated amount of the preventive expense form</v>
      </c>
    </row>
    <row r="113" ht="15.75" customHeight="1">
      <c r="B113" s="4"/>
      <c r="C113" s="31" t="s">
        <v>1198</v>
      </c>
      <c r="D113" s="32" t="s">
        <v>1199</v>
      </c>
      <c r="E113" s="64" t="s">
        <v>1200</v>
      </c>
      <c r="F113" s="65" t="str">
        <f>IFERROR(__xludf.DUMMYFUNCTION("IF(ISBLANK(E113), """", GOOGLETRANSLATE(E113, ""es"", ""en""))"),"Document class identification code.")</f>
        <v>Document class identification code.</v>
      </c>
    </row>
    <row r="114" ht="15.75" customHeight="1">
      <c r="B114" s="4"/>
      <c r="C114" s="31" t="s">
        <v>1201</v>
      </c>
      <c r="D114" s="32">
        <v>70.0</v>
      </c>
      <c r="E114" s="64" t="s">
        <v>1202</v>
      </c>
      <c r="F114" s="65" t="str">
        <f>IFERROR(__xludf.DUMMYFUNCTION("IF(ISBLANK(E114), """", GOOGLETRANSLATE(E114, ""es"", ""en""))"),"Identifier code of the status of the purchasing process in the contracting portal.")</f>
        <v>Identifier code of the status of the purchasing process in the contracting portal.</v>
      </c>
    </row>
    <row r="115" ht="15.75" customHeight="1">
      <c r="B115" s="4"/>
      <c r="C115" s="4"/>
      <c r="D115" s="3"/>
      <c r="E115" s="56"/>
      <c r="F115" s="56"/>
    </row>
    <row r="116" ht="15.75" customHeight="1">
      <c r="B116" s="4"/>
      <c r="C116" s="4"/>
      <c r="D116" s="3"/>
      <c r="E116" s="56"/>
      <c r="F116" s="56"/>
    </row>
    <row r="117" ht="15.75" customHeight="1">
      <c r="B117" s="58"/>
      <c r="C117" s="58" t="s">
        <v>1203</v>
      </c>
    </row>
    <row r="118" ht="15.75" customHeight="1">
      <c r="B118" s="59"/>
      <c r="C118" s="59" t="s">
        <v>1204</v>
      </c>
      <c r="E118" s="60" t="str">
        <f>IFERROR(__xludf.DUMMYFUNCTION("IF(ISBLANK(C118), """", GOOGLETRANSLATE(C118, ""es"", ""en""))"),"Detail of commitment expense forms (Purchase contracts)")</f>
        <v>Detail of commitment expense forms (Purchase contracts)</v>
      </c>
    </row>
    <row r="119" ht="15.75" customHeight="1">
      <c r="B119" s="61"/>
      <c r="C119" s="7" t="s">
        <v>957</v>
      </c>
      <c r="D119" s="62" t="s">
        <v>958</v>
      </c>
      <c r="E119" s="63" t="s">
        <v>959</v>
      </c>
      <c r="F119" s="63" t="s">
        <v>960</v>
      </c>
    </row>
    <row r="120" ht="15.75" customHeight="1">
      <c r="B120" s="4"/>
      <c r="C120" s="31" t="s">
        <v>1205</v>
      </c>
      <c r="D120" s="32">
        <v>2023.0</v>
      </c>
      <c r="E120" s="64" t="s">
        <v>1206</v>
      </c>
      <c r="F120" s="65" t="str">
        <f>IFERROR(__xludf.DUMMYFUNCTION("IF(ISBLANK(E120), """", GOOGLETRANSLATE(E120, ""es"", ""en""))"),"Year associated with the commitment expense form")</f>
        <v>Year associated with the commitment expense form</v>
      </c>
    </row>
    <row r="121" ht="15.75" customHeight="1">
      <c r="B121" s="4"/>
      <c r="C121" s="31" t="s">
        <v>1157</v>
      </c>
      <c r="D121" s="32" t="s">
        <v>1207</v>
      </c>
      <c r="E121" s="64" t="s">
        <v>1208</v>
      </c>
      <c r="F121" s="65" t="str">
        <f>IFERROR(__xludf.DUMMYFUNCTION("IF(ISBLANK(E121), """", GOOGLETRANSLATE(E121, ""es"", ""en""))"),"Internal identification code of the preventive expense form associated with this commitment expense form")</f>
        <v>Internal identification code of the preventive expense form associated with this commitment expense form</v>
      </c>
    </row>
    <row r="122" ht="15.75" customHeight="1">
      <c r="B122" s="4"/>
      <c r="C122" s="31" t="s">
        <v>1160</v>
      </c>
      <c r="D122" s="32">
        <v>3.65E7</v>
      </c>
      <c r="E122" s="64" t="s">
        <v>1209</v>
      </c>
      <c r="F122" s="65" t="str">
        <f>IFERROR(__xludf.DUMMYFUNCTION("IF(ISBLANK(E122), """", GOOGLETRANSLATE(E122, ""es"", ""en""))"),"Preventive Spending Form Projected Amount")</f>
        <v>Preventive Spending Form Projected Amount</v>
      </c>
    </row>
    <row r="123" ht="15.75" customHeight="1">
      <c r="B123" s="4"/>
      <c r="C123" s="31" t="s">
        <v>1163</v>
      </c>
      <c r="D123" s="32" t="s">
        <v>1210</v>
      </c>
      <c r="E123" s="64" t="s">
        <v>1165</v>
      </c>
      <c r="F123" s="65" t="str">
        <f>IFERROR(__xludf.DUMMYFUNCTION("IF(ISBLANK(E123), """", GOOGLETRANSLATE(E123, ""es"", ""en""))"),"Preventive Expenditure Form Registration Date")</f>
        <v>Preventive Expenditure Form Registration Date</v>
      </c>
    </row>
    <row r="124" ht="15.75" customHeight="1">
      <c r="B124" s="4"/>
      <c r="C124" s="31" t="s">
        <v>1166</v>
      </c>
      <c r="D124" s="32">
        <v>121.0</v>
      </c>
      <c r="E124" s="64" t="s">
        <v>1167</v>
      </c>
      <c r="F124" s="65" t="str">
        <f>IFERROR(__xludf.DUMMYFUNCTION("IF(ISBLANK(E124), """", GOOGLETRANSLATE(E124, ""es"", ""en""))"),"Code of the procedure associated with the preventive expense form")</f>
        <v>Code of the procedure associated with the preventive expense form</v>
      </c>
    </row>
    <row r="125" ht="15.75" customHeight="1">
      <c r="B125" s="4"/>
      <c r="C125" s="31" t="s">
        <v>1168</v>
      </c>
      <c r="D125" s="32">
        <v>7.0</v>
      </c>
      <c r="E125" s="64" t="s">
        <v>1169</v>
      </c>
      <c r="F125" s="65" t="str">
        <f>IFERROR(__xludf.DUMMYFUNCTION("IF(ISBLANK(E125), """", GOOGLETRANSLATE(E125, ""es"", ""en""))"),"Procedure number associated with the preventive expense form")</f>
        <v>Procedure number associated with the preventive expense form</v>
      </c>
    </row>
    <row r="126" ht="15.75" customHeight="1">
      <c r="B126" s="4"/>
      <c r="C126" s="31" t="s">
        <v>1170</v>
      </c>
      <c r="D126" s="32" t="s">
        <v>1211</v>
      </c>
      <c r="E126" s="64" t="s">
        <v>1172</v>
      </c>
      <c r="F126" s="65" t="str">
        <f>IFERROR(__xludf.DUMMYFUNCTION("IF(ISBLANK(E126), """", GOOGLETRANSLATE(E126, ""es"", ""en""))"),"Purchasing process code associated with the preventive expense form")</f>
        <v>Purchasing process code associated with the preventive expense form</v>
      </c>
    </row>
    <row r="127" ht="15.75" customHeight="1">
      <c r="B127" s="4"/>
      <c r="C127" s="31" t="s">
        <v>1173</v>
      </c>
      <c r="D127" s="32" t="s">
        <v>1212</v>
      </c>
      <c r="E127" s="64" t="s">
        <v>1175</v>
      </c>
      <c r="F127" s="65" t="str">
        <f>IFERROR(__xludf.DUMMYFUNCTION("IF(ISBLANK(E127), """", GOOGLETRANSLATE(E127, ""es"", ""en""))"),"Identifier code of the purchase method associated with the purchase process.")</f>
        <v>Identifier code of the purchase method associated with the purchase process.</v>
      </c>
    </row>
    <row r="128" ht="15.75" customHeight="1">
      <c r="B128" s="4"/>
      <c r="C128" s="31" t="s">
        <v>1176</v>
      </c>
      <c r="D128" s="32" t="s">
        <v>1213</v>
      </c>
      <c r="E128" s="64" t="s">
        <v>1178</v>
      </c>
      <c r="F128" s="65" t="str">
        <f>IFERROR(__xludf.DUMMYFUNCTION("IF(ISBLANK(E128), """", GOOGLETRANSLATE(E128, ""es"", ""en""))"),"Name or identification of the purchase method associated with the purchase process.")</f>
        <v>Name or identification of the purchase method associated with the purchase process.</v>
      </c>
    </row>
    <row r="129" ht="15.75" customHeight="1">
      <c r="B129" s="4"/>
      <c r="C129" s="31" t="s">
        <v>1214</v>
      </c>
      <c r="D129" s="32" t="s">
        <v>1215</v>
      </c>
      <c r="E129" s="64" t="s">
        <v>1216</v>
      </c>
      <c r="F129" s="65" t="str">
        <f>IFERROR(__xludf.DUMMYFUNCTION("IF(ISBLANK(E129), """", GOOGLETRANSLATE(E129, ""es"", ""en""))"),"Internal identification code of the commitment expense form")</f>
        <v>Internal identification code of the commitment expense form</v>
      </c>
    </row>
    <row r="130" ht="15.75" customHeight="1">
      <c r="B130" s="4"/>
      <c r="C130" s="31" t="s">
        <v>1217</v>
      </c>
      <c r="D130" s="32" t="s">
        <v>1218</v>
      </c>
      <c r="E130" s="64" t="s">
        <v>1219</v>
      </c>
      <c r="F130" s="65" t="str">
        <f>IFERROR(__xludf.DUMMYFUNCTION("IF(ISBLANK(E130), """", GOOGLETRANSLATE(E130, ""es"", ""en""))"),"Projected Amount of Commitment Spending Form")</f>
        <v>Projected Amount of Commitment Spending Form</v>
      </c>
    </row>
    <row r="131" ht="15.75" customHeight="1">
      <c r="B131" s="4"/>
      <c r="C131" s="31" t="s">
        <v>1220</v>
      </c>
      <c r="D131" s="32" t="s">
        <v>1221</v>
      </c>
      <c r="E131" s="64" t="s">
        <v>1222</v>
      </c>
      <c r="F131" s="65" t="str">
        <f>IFERROR(__xludf.DUMMYFUNCTION("IF(ISBLANK(E131), """", GOOGLETRANSLATE(E131, ""es"", ""en""))"),"Commitment Expense Form Record Date")</f>
        <v>Commitment Expense Form Record Date</v>
      </c>
    </row>
    <row r="132" ht="15.75" customHeight="1">
      <c r="B132" s="4"/>
      <c r="C132" s="31" t="s">
        <v>1223</v>
      </c>
      <c r="D132" s="32" t="s">
        <v>1224</v>
      </c>
      <c r="E132" s="64" t="s">
        <v>1225</v>
      </c>
      <c r="F132" s="65" t="str">
        <f>IFERROR(__xludf.DUMMYFUNCTION("IF(ISBLANK(E132), """", GOOGLETRANSLATE(E132, ""es"", ""en""))"),"Contract ID associated with the commitment expense form")</f>
        <v>Contract ID associated with the commitment expense form</v>
      </c>
    </row>
    <row r="133" ht="15.75" customHeight="1">
      <c r="B133" s="4"/>
      <c r="C133" s="31" t="s">
        <v>1226</v>
      </c>
      <c r="D133" s="32">
        <v>2023.0</v>
      </c>
      <c r="E133" s="64" t="s">
        <v>1227</v>
      </c>
      <c r="F133" s="65" t="str">
        <f>IFERROR(__xludf.DUMMYFUNCTION("IF(ISBLANK(E133), """", GOOGLETRANSLATE(E133, ""es"", ""en""))"),"Year associated with the purchase contract.")</f>
        <v>Year associated with the purchase contract.</v>
      </c>
    </row>
    <row r="134" ht="15.75" customHeight="1">
      <c r="B134" s="4"/>
      <c r="C134" s="31" t="s">
        <v>1228</v>
      </c>
      <c r="D134" s="32">
        <v>9.0</v>
      </c>
      <c r="E134" s="64" t="s">
        <v>1229</v>
      </c>
      <c r="F134" s="65" t="str">
        <f>IFERROR(__xludf.DUMMYFUNCTION("IF(ISBLANK(E134), """", GOOGLETRANSLATE(E134, ""es"", ""en""))"),"Contract number associated with the commitment expense form")</f>
        <v>Contract number associated with the commitment expense form</v>
      </c>
    </row>
    <row r="135" ht="15.75" customHeight="1">
      <c r="B135" s="4"/>
      <c r="C135" s="31" t="s">
        <v>1230</v>
      </c>
      <c r="D135" s="32" t="s">
        <v>1231</v>
      </c>
      <c r="E135" s="64" t="s">
        <v>1232</v>
      </c>
      <c r="F135" s="65" t="str">
        <f>IFERROR(__xludf.DUMMYFUNCTION("IF(ISBLANK(E135), """", GOOGLETRANSLATE(E135, ""es"", ""en""))"),"Purchase contract code associated with the commitment expense form")</f>
        <v>Purchase contract code associated with the commitment expense form</v>
      </c>
    </row>
    <row r="136" ht="15.75" customHeight="1">
      <c r="B136" s="4"/>
      <c r="C136" s="31" t="s">
        <v>1233</v>
      </c>
      <c r="D136" s="32" t="s">
        <v>1234</v>
      </c>
      <c r="E136" s="64" t="s">
        <v>1235</v>
      </c>
      <c r="F136" s="65" t="str">
        <f>IFERROR(__xludf.DUMMYFUNCTION("IF(ISBLANK(E136), """", GOOGLETRANSLATE(E136, ""es"", ""en""))"),"Identification code of the type of purchase contract associated with the commitment form")</f>
        <v>Identification code of the type of purchase contract associated with the commitment form</v>
      </c>
    </row>
    <row r="137" ht="15.75" customHeight="1">
      <c r="B137" s="4"/>
      <c r="C137" s="31" t="s">
        <v>1236</v>
      </c>
      <c r="D137" s="32" t="s">
        <v>1237</v>
      </c>
      <c r="E137" s="64" t="s">
        <v>1238</v>
      </c>
      <c r="F137" s="65" t="str">
        <f>IFERROR(__xludf.DUMMYFUNCTION("IF(ISBLANK(E137), """", GOOGLETRANSLATE(E137, ""es"", ""en""))"),"Name of the type of purchase contract associated with the commitment expense form")</f>
        <v>Name of the type of purchase contract associated with the commitment expense form</v>
      </c>
    </row>
    <row r="138" ht="15.75" customHeight="1">
      <c r="B138" s="4"/>
      <c r="C138" s="31" t="s">
        <v>1239</v>
      </c>
      <c r="D138" s="32">
        <v>26.0</v>
      </c>
      <c r="E138" s="64" t="s">
        <v>1240</v>
      </c>
      <c r="F138" s="65" t="str">
        <f>IFERROR(__xludf.DUMMYFUNCTION("IF(ISBLANK(E138), """", GOOGLETRANSLATE(E138, ""es"", ""en""))"),"Identification code of the type of transaction associated with the commitment expense form")</f>
        <v>Identification code of the type of transaction associated with the commitment expense form</v>
      </c>
    </row>
    <row r="139" ht="15.75" customHeight="1">
      <c r="B139" s="4"/>
      <c r="C139" s="31" t="s">
        <v>1241</v>
      </c>
      <c r="D139" s="32" t="s">
        <v>1242</v>
      </c>
      <c r="E139" s="64" t="s">
        <v>1243</v>
      </c>
      <c r="F139" s="65" t="str">
        <f>IFERROR(__xludf.DUMMYFUNCTION("IF(ISBLANK(E139), """", GOOGLETRANSLATE(E139, ""es"", ""en""))"),"Name or ID of the transaction type associated with the commitment expense form")</f>
        <v>Name or ID of the transaction type associated with the commitment expense form</v>
      </c>
    </row>
    <row r="140" ht="15.75" customHeight="1">
      <c r="B140" s="4"/>
      <c r="C140" s="31" t="s">
        <v>1244</v>
      </c>
      <c r="D140" s="32" t="s">
        <v>422</v>
      </c>
      <c r="E140" s="64" t="s">
        <v>1245</v>
      </c>
      <c r="F140" s="65" t="str">
        <f>IFERROR(__xludf.DUMMYFUNCTION("IF(ISBLANK(E140), """", GOOGLETRANSLATE(E140, ""es"", ""en""))"),"Work type contract identifier code (YES / NO)")</f>
        <v>Work type contract identifier code (YES / NO)</v>
      </c>
    </row>
    <row r="141" ht="15.75" customHeight="1">
      <c r="B141" s="4"/>
      <c r="C141" s="31" t="s">
        <v>1246</v>
      </c>
      <c r="D141" s="32" t="s">
        <v>1247</v>
      </c>
      <c r="E141" s="64" t="s">
        <v>1248</v>
      </c>
      <c r="F141" s="65" t="str">
        <f>IFERROR(__xludf.DUMMYFUNCTION("IF(ISBLANK(E141), """", GOOGLETRANSLATE(E141, ""es"", ""en""))"),"Name or identification of the institution associated with the commitment expense form")</f>
        <v>Name or identification of the institution associated with the commitment expense form</v>
      </c>
    </row>
    <row r="142" ht="15.75" customHeight="1">
      <c r="B142" s="4"/>
      <c r="C142" s="31" t="s">
        <v>1249</v>
      </c>
      <c r="D142" s="32" t="s">
        <v>1212</v>
      </c>
      <c r="E142" s="64" t="s">
        <v>1250</v>
      </c>
      <c r="F142" s="65" t="str">
        <f>IFERROR(__xludf.DUMMYFUNCTION("IF(ISBLANK(E142), """", GOOGLETRANSLATE(E142, ""es"", ""en""))"),"Identification code of the procedure modality associated with the commitment expense form")</f>
        <v>Identification code of the procedure modality associated with the commitment expense form</v>
      </c>
    </row>
    <row r="143" ht="15.75" customHeight="1">
      <c r="B143" s="4"/>
      <c r="C143" s="31" t="s">
        <v>1251</v>
      </c>
      <c r="D143" s="32" t="s">
        <v>1252</v>
      </c>
      <c r="E143" s="64" t="s">
        <v>1253</v>
      </c>
      <c r="F143" s="65" t="str">
        <f>IFERROR(__xludf.DUMMYFUNCTION("IF(ISBLANK(E143), """", GOOGLETRANSLATE(E143, ""es"", ""en""))"),"Description of the purchase contract associated with the commitment expense form")</f>
        <v>Description of the purchase contract associated with the commitment expense form</v>
      </c>
    </row>
    <row r="144" ht="15.75" customHeight="1">
      <c r="B144" s="4"/>
      <c r="C144" s="31" t="s">
        <v>1182</v>
      </c>
      <c r="D144" s="32" t="s">
        <v>1252</v>
      </c>
      <c r="E144" s="64" t="s">
        <v>1254</v>
      </c>
      <c r="F144" s="65" t="str">
        <f>IFERROR(__xludf.DUMMYFUNCTION("IF(ISBLANK(E144), """", GOOGLETRANSLATE(E144, ""es"", ""en""))"),"Complete description of the purchase contract with some characteristics, associated with the commitment expense form")</f>
        <v>Complete description of the purchase contract with some characteristics, associated with the commitment expense form</v>
      </c>
    </row>
    <row r="145" ht="15.75" customHeight="1">
      <c r="B145" s="4"/>
      <c r="C145" s="31" t="s">
        <v>1255</v>
      </c>
      <c r="D145" s="32" t="s">
        <v>1256</v>
      </c>
      <c r="E145" s="64" t="s">
        <v>1257</v>
      </c>
      <c r="F145" s="65" t="str">
        <f>IFERROR(__xludf.DUMMYFUNCTION("IF(ISBLANK(E145), """", GOOGLETRANSLATE(E145, ""es"", ""en""))"),"Description of the legal identifier of the contract")</f>
        <v>Description of the legal identifier of the contract</v>
      </c>
    </row>
    <row r="146" ht="15.75" customHeight="1">
      <c r="B146" s="4"/>
      <c r="C146" s="31" t="s">
        <v>1258</v>
      </c>
      <c r="D146" s="32">
        <v>29360.0</v>
      </c>
      <c r="E146" s="64" t="s">
        <v>1259</v>
      </c>
      <c r="F146" s="65" t="str">
        <f>IFERROR(__xludf.DUMMYFUNCTION("IF(ISBLANK(E146), """", GOOGLETRANSLATE(E146, ""es"", ""en""))"),"Supplier identification code associated with the purchase contract.")</f>
        <v>Supplier identification code associated with the purchase contract.</v>
      </c>
    </row>
    <row r="147" ht="15.75" customHeight="1">
      <c r="B147" s="4"/>
      <c r="C147" s="31" t="s">
        <v>1260</v>
      </c>
      <c r="D147" s="32" t="s">
        <v>1234</v>
      </c>
      <c r="E147" s="64" t="s">
        <v>1261</v>
      </c>
      <c r="F147" s="65" t="str">
        <f>IFERROR(__xludf.DUMMYFUNCTION("IF(ISBLANK(E147), """", GOOGLETRANSLATE(E147, ""es"", ""en""))"),"Identifier code of the payment method associated with the purchase contract.")</f>
        <v>Identifier code of the payment method associated with the purchase contract.</v>
      </c>
    </row>
    <row r="148" ht="15.75" customHeight="1">
      <c r="B148" s="4"/>
      <c r="C148" s="31" t="s">
        <v>1192</v>
      </c>
      <c r="D148" s="32">
        <v>1.0</v>
      </c>
      <c r="E148" s="64" t="s">
        <v>1262</v>
      </c>
      <c r="F148" s="65" t="str">
        <f>IFERROR(__xludf.DUMMYFUNCTION("IF(ISBLANK(E148), """", GOOGLETRANSLATE(E148, ""es"", ""en""))"),"Identifier code of the currency associated with the purchase contract")</f>
        <v>Identifier code of the currency associated with the purchase contract</v>
      </c>
    </row>
    <row r="149" ht="15.75" customHeight="1">
      <c r="B149" s="4"/>
      <c r="C149" s="31" t="s">
        <v>1263</v>
      </c>
      <c r="D149" s="32" t="s">
        <v>1264</v>
      </c>
      <c r="E149" s="64" t="s">
        <v>1265</v>
      </c>
      <c r="F149" s="65" t="str">
        <f>IFERROR(__xludf.DUMMYFUNCTION("IF(ISBLANK(E149), """", GOOGLETRANSLATE(E149, ""es"", ""en""))"),"Start date of the contract associated with the commitment expense form")</f>
        <v>Start date of the contract associated with the commitment expense form</v>
      </c>
    </row>
    <row r="150" ht="15.75" customHeight="1">
      <c r="B150" s="4"/>
      <c r="C150" s="31" t="s">
        <v>1266</v>
      </c>
      <c r="D150" s="32" t="s">
        <v>1094</v>
      </c>
      <c r="E150" s="64" t="s">
        <v>1267</v>
      </c>
      <c r="F150" s="65" t="str">
        <f>IFERROR(__xludf.DUMMYFUNCTION("IF(ISBLANK(E150), """", GOOGLETRANSLATE(E150, ""es"", ""en""))"),"End date of the contract associated with the commitment expense form")</f>
        <v>End date of the contract associated with the commitment expense form</v>
      </c>
    </row>
    <row r="151" ht="15.75" customHeight="1">
      <c r="B151" s="4"/>
      <c r="C151" s="31" t="s">
        <v>1268</v>
      </c>
      <c r="D151" s="32" t="s">
        <v>422</v>
      </c>
      <c r="E151" s="64" t="s">
        <v>1269</v>
      </c>
      <c r="F151" s="65" t="str">
        <f>IFERROR(__xludf.DUMMYFUNCTION("IF(ISBLANK(E151), """", GOOGLETRANSLATE(E151, ""es"", ""en""))"),"Multi-year contract identifier (YES / NO)")</f>
        <v>Multi-year contract identifier (YES / NO)</v>
      </c>
    </row>
    <row r="152" ht="15.75" customHeight="1">
      <c r="B152" s="4"/>
      <c r="C152" s="31" t="s">
        <v>1194</v>
      </c>
      <c r="D152" s="32" t="s">
        <v>1270</v>
      </c>
      <c r="E152" s="64" t="s">
        <v>1222</v>
      </c>
      <c r="F152" s="65" t="str">
        <f>IFERROR(__xludf.DUMMYFUNCTION("IF(ISBLANK(E152), """", GOOGLETRANSLATE(E152, ""es"", ""en""))"),"Commitment Expense Form Record Date")</f>
        <v>Commitment Expense Form Record Date</v>
      </c>
    </row>
    <row r="153" ht="15.75" customHeight="1">
      <c r="B153" s="4"/>
      <c r="C153" s="31" t="s">
        <v>1271</v>
      </c>
      <c r="D153" s="32" t="s">
        <v>1264</v>
      </c>
      <c r="E153" s="64" t="s">
        <v>1272</v>
      </c>
      <c r="F153" s="65" t="str">
        <f>IFERROR(__xludf.DUMMYFUNCTION("IF(ISBLANK(E153), """", GOOGLETRANSLATE(E153, ""es"", ""en""))"),"Commitment Expense Form Approval Date")</f>
        <v>Commitment Expense Form Approval Date</v>
      </c>
    </row>
    <row r="154" ht="15.75" customHeight="1">
      <c r="B154" s="4"/>
      <c r="C154" s="31" t="s">
        <v>1273</v>
      </c>
      <c r="D154" s="32" t="s">
        <v>1094</v>
      </c>
      <c r="E154" s="64" t="s">
        <v>1274</v>
      </c>
      <c r="F154" s="65" t="str">
        <f>IFERROR(__xludf.DUMMYFUNCTION("IF(ISBLANK(E154), """", GOOGLETRANSLATE(E154, ""es"", ""en""))"),"Commitment Expense Form Override Date")</f>
        <v>Commitment Expense Form Override Date</v>
      </c>
    </row>
    <row r="155" ht="15.75" customHeight="1">
      <c r="B155" s="4"/>
      <c r="C155" s="31" t="s">
        <v>1275</v>
      </c>
      <c r="D155" s="32" t="s">
        <v>1094</v>
      </c>
      <c r="E155" s="64" t="s">
        <v>1276</v>
      </c>
      <c r="F155" s="65" t="str">
        <f>IFERROR(__xludf.DUMMYFUNCTION("IF(ISBLANK(E155), """", GOOGLETRANSLATE(E155, ""es"", ""en""))"),"Commitment Expense Form Rejection Date")</f>
        <v>Commitment Expense Form Rejection Date</v>
      </c>
    </row>
    <row r="156" ht="15.75" customHeight="1">
      <c r="B156" s="4"/>
      <c r="C156" s="31" t="s">
        <v>1277</v>
      </c>
      <c r="D156" s="32" t="s">
        <v>1094</v>
      </c>
      <c r="E156" s="64" t="s">
        <v>1278</v>
      </c>
      <c r="F156" s="65" t="str">
        <f>IFERROR(__xludf.DUMMYFUNCTION("IF(ISBLANK(E156), """", GOOGLETRANSLATE(E156, ""es"", ""en""))"),"Commitment Expenditure Form Compliance Date")</f>
        <v>Commitment Expenditure Form Compliance Date</v>
      </c>
    </row>
    <row r="157" ht="15.75" customHeight="1">
      <c r="B157" s="4"/>
      <c r="C157" s="31" t="s">
        <v>1279</v>
      </c>
      <c r="D157" s="32" t="s">
        <v>1280</v>
      </c>
      <c r="E157" s="64" t="s">
        <v>1281</v>
      </c>
      <c r="F157" s="65" t="str">
        <f>IFERROR(__xludf.DUMMYFUNCTION("IF(ISBLANK(E157), """", GOOGLETRANSLATE(E157, ""es"", ""en""))"),"Commitment Expense Form Total Amount")</f>
        <v>Commitment Expense Form Total Amount</v>
      </c>
    </row>
    <row r="158" ht="15.75" customHeight="1">
      <c r="B158" s="4"/>
      <c r="C158" s="31" t="s">
        <v>1282</v>
      </c>
      <c r="D158" s="32" t="s">
        <v>1280</v>
      </c>
      <c r="E158" s="64" t="s">
        <v>1283</v>
      </c>
      <c r="F158" s="65" t="str">
        <f>IFERROR(__xludf.DUMMYFUNCTION("IF(ISBLANK(E158), """", GOOGLETRANSLATE(E158, ""es"", ""en""))"),"Original total amount of the commitment expense form")</f>
        <v>Original total amount of the commitment expense form</v>
      </c>
    </row>
    <row r="159" ht="15.75" customHeight="1">
      <c r="B159" s="4"/>
      <c r="C159" s="31" t="s">
        <v>1284</v>
      </c>
      <c r="D159" s="32" t="s">
        <v>1264</v>
      </c>
      <c r="E159" s="64" t="s">
        <v>1285</v>
      </c>
      <c r="F159" s="65" t="str">
        <f>IFERROR(__xludf.DUMMYFUNCTION("IF(ISBLANK(E159), """", GOOGLETRANSLATE(E159, ""es"", ""en""))"),"Date of formalization of the associated contract associated with the commitment expense form")</f>
        <v>Date of formalization of the associated contract associated with the commitment expense form</v>
      </c>
    </row>
    <row r="160" ht="15.75" customHeight="1">
      <c r="B160" s="4"/>
      <c r="C160" s="4"/>
      <c r="D160" s="3"/>
      <c r="E160" s="56"/>
      <c r="F160" s="56"/>
    </row>
    <row r="161" ht="15.75" customHeight="1">
      <c r="B161" s="4"/>
      <c r="C161" s="4"/>
      <c r="D161" s="3"/>
      <c r="E161" s="56"/>
      <c r="F161" s="56"/>
    </row>
    <row r="162" ht="15.75" customHeight="1">
      <c r="B162" s="4"/>
      <c r="C162" s="4"/>
      <c r="D162" s="3"/>
      <c r="E162" s="56"/>
      <c r="F162" s="56"/>
    </row>
    <row r="163" ht="15.75" customHeight="1">
      <c r="B163" s="4"/>
      <c r="C163" s="4"/>
      <c r="D163" s="3"/>
      <c r="E163" s="56"/>
      <c r="F163" s="56"/>
    </row>
    <row r="164" ht="15.75" customHeight="1">
      <c r="B164" s="4"/>
      <c r="C164" s="4"/>
      <c r="D164" s="3"/>
      <c r="E164" s="56"/>
      <c r="F164" s="56"/>
    </row>
    <row r="165" ht="15.75" customHeight="1">
      <c r="B165" s="4"/>
      <c r="C165" s="4"/>
      <c r="D165" s="3"/>
      <c r="E165" s="56"/>
      <c r="F165" s="56"/>
    </row>
    <row r="166" ht="15.75" customHeight="1">
      <c r="B166" s="4"/>
      <c r="C166" s="4"/>
      <c r="D166" s="3"/>
      <c r="E166" s="56"/>
      <c r="F166" s="56"/>
    </row>
    <row r="167" ht="15.75" customHeight="1">
      <c r="B167" s="4"/>
      <c r="C167" s="4"/>
      <c r="D167" s="3"/>
      <c r="E167" s="56"/>
      <c r="F167" s="56"/>
    </row>
    <row r="168" ht="15.75" customHeight="1">
      <c r="B168" s="4"/>
      <c r="C168" s="4"/>
      <c r="D168" s="3"/>
      <c r="E168" s="56"/>
      <c r="F168" s="56"/>
    </row>
    <row r="169" ht="15.75" customHeight="1">
      <c r="B169" s="4"/>
      <c r="C169" s="4"/>
      <c r="D169" s="3"/>
      <c r="E169" s="56"/>
      <c r="F169" s="56"/>
    </row>
    <row r="170" ht="15.75" customHeight="1">
      <c r="B170" s="4"/>
      <c r="C170" s="4"/>
      <c r="D170" s="3"/>
      <c r="E170" s="56"/>
      <c r="F170" s="56"/>
    </row>
    <row r="171" ht="15.75" customHeight="1">
      <c r="B171" s="4"/>
      <c r="C171" s="4"/>
      <c r="D171" s="3"/>
      <c r="E171" s="56"/>
      <c r="F171" s="56"/>
    </row>
    <row r="172" ht="15.75" customHeight="1">
      <c r="B172" s="4"/>
      <c r="C172" s="4"/>
      <c r="D172" s="3"/>
      <c r="E172" s="56"/>
      <c r="F172" s="56"/>
    </row>
    <row r="173" ht="15.75" customHeight="1">
      <c r="B173" s="4"/>
      <c r="C173" s="4"/>
      <c r="D173" s="3"/>
      <c r="E173" s="56"/>
      <c r="F173" s="56"/>
    </row>
    <row r="174" ht="15.75" customHeight="1">
      <c r="B174" s="4"/>
      <c r="C174" s="4"/>
      <c r="D174" s="3"/>
      <c r="E174" s="56"/>
      <c r="F174" s="56"/>
    </row>
    <row r="175" ht="15.75" customHeight="1">
      <c r="B175" s="4"/>
      <c r="C175" s="4"/>
      <c r="D175" s="3"/>
      <c r="E175" s="56"/>
      <c r="F175" s="56"/>
    </row>
    <row r="176" ht="15.75" customHeight="1">
      <c r="B176" s="4"/>
      <c r="C176" s="4"/>
      <c r="D176" s="3"/>
      <c r="E176" s="56"/>
      <c r="F176" s="56"/>
    </row>
    <row r="177" ht="15.75" customHeight="1">
      <c r="B177" s="4"/>
      <c r="C177" s="4"/>
      <c r="D177" s="3"/>
      <c r="E177" s="56"/>
      <c r="F177" s="56"/>
    </row>
    <row r="178" ht="15.75" customHeight="1">
      <c r="B178" s="4"/>
      <c r="C178" s="4"/>
      <c r="D178" s="3"/>
      <c r="E178" s="56"/>
      <c r="F178" s="56"/>
    </row>
    <row r="179" ht="15.75" customHeight="1">
      <c r="B179" s="4"/>
      <c r="C179" s="4"/>
      <c r="D179" s="3"/>
      <c r="E179" s="56"/>
      <c r="F179" s="56"/>
    </row>
    <row r="180" ht="15.75" customHeight="1">
      <c r="B180" s="4"/>
      <c r="C180" s="4"/>
      <c r="D180" s="3"/>
      <c r="E180" s="56"/>
      <c r="F180" s="56"/>
    </row>
    <row r="181" ht="15.75" customHeight="1">
      <c r="B181" s="4"/>
      <c r="C181" s="4"/>
      <c r="D181" s="3"/>
      <c r="E181" s="56"/>
      <c r="F181" s="56"/>
    </row>
    <row r="182" ht="15.75" customHeight="1">
      <c r="B182" s="4"/>
      <c r="C182" s="4"/>
      <c r="D182" s="3"/>
      <c r="E182" s="56"/>
      <c r="F182" s="56"/>
    </row>
    <row r="183" ht="15.75" customHeight="1">
      <c r="B183" s="4"/>
      <c r="C183" s="4"/>
      <c r="D183" s="3"/>
      <c r="E183" s="56"/>
      <c r="F183" s="56"/>
    </row>
    <row r="184" ht="15.75" customHeight="1">
      <c r="B184" s="4"/>
      <c r="C184" s="4"/>
      <c r="D184" s="3"/>
      <c r="E184" s="56"/>
      <c r="F184" s="56"/>
    </row>
    <row r="185" ht="15.75" customHeight="1">
      <c r="B185" s="4"/>
      <c r="C185" s="4"/>
      <c r="D185" s="3"/>
      <c r="E185" s="56"/>
      <c r="F185" s="56"/>
    </row>
    <row r="186" ht="15.75" customHeight="1">
      <c r="B186" s="4"/>
      <c r="C186" s="4"/>
      <c r="D186" s="3"/>
      <c r="E186" s="56"/>
      <c r="F186" s="56"/>
    </row>
    <row r="187" ht="15.75" customHeight="1">
      <c r="B187" s="4"/>
      <c r="C187" s="4"/>
      <c r="D187" s="3"/>
      <c r="E187" s="56"/>
      <c r="F187" s="56"/>
    </row>
    <row r="188" ht="15.75" customHeight="1">
      <c r="B188" s="4"/>
      <c r="C188" s="4"/>
      <c r="D188" s="3"/>
      <c r="E188" s="56"/>
      <c r="F188" s="56"/>
    </row>
    <row r="189" ht="15.75" customHeight="1">
      <c r="B189" s="4"/>
      <c r="C189" s="4"/>
      <c r="D189" s="3"/>
      <c r="E189" s="56"/>
      <c r="F189" s="56"/>
    </row>
    <row r="190" ht="15.75" customHeight="1">
      <c r="B190" s="4"/>
      <c r="C190" s="4"/>
      <c r="D190" s="3"/>
      <c r="E190" s="56"/>
      <c r="F190" s="56"/>
    </row>
    <row r="191" ht="15.75" customHeight="1">
      <c r="B191" s="4"/>
      <c r="C191" s="4"/>
      <c r="D191" s="3"/>
      <c r="E191" s="56"/>
      <c r="F191" s="56"/>
    </row>
    <row r="192" ht="15.75" customHeight="1">
      <c r="B192" s="4"/>
      <c r="C192" s="4"/>
      <c r="D192" s="3"/>
      <c r="E192" s="56"/>
      <c r="F192" s="56"/>
    </row>
    <row r="193" ht="15.75" customHeight="1">
      <c r="B193" s="4"/>
      <c r="C193" s="4"/>
      <c r="D193" s="3"/>
      <c r="E193" s="56"/>
      <c r="F193" s="56"/>
    </row>
    <row r="194" ht="15.75" customHeight="1">
      <c r="B194" s="4"/>
      <c r="C194" s="4"/>
      <c r="D194" s="3"/>
      <c r="E194" s="56"/>
      <c r="F194" s="56"/>
    </row>
    <row r="195" ht="15.75" customHeight="1">
      <c r="B195" s="4"/>
      <c r="C195" s="4"/>
      <c r="D195" s="3"/>
      <c r="E195" s="56"/>
      <c r="F195" s="56"/>
    </row>
    <row r="196" ht="15.75" customHeight="1">
      <c r="B196" s="4"/>
      <c r="C196" s="4"/>
      <c r="D196" s="3"/>
      <c r="E196" s="56"/>
      <c r="F196" s="56"/>
    </row>
    <row r="197" ht="15.75" customHeight="1">
      <c r="B197" s="4"/>
      <c r="C197" s="4"/>
      <c r="D197" s="3"/>
      <c r="E197" s="56"/>
      <c r="F197" s="56"/>
    </row>
    <row r="198" ht="15.75" customHeight="1">
      <c r="B198" s="4"/>
      <c r="C198" s="4"/>
      <c r="D198" s="3"/>
      <c r="E198" s="56"/>
      <c r="F198" s="56"/>
    </row>
    <row r="199" ht="15.75" customHeight="1">
      <c r="B199" s="4"/>
      <c r="C199" s="4"/>
      <c r="D199" s="3"/>
      <c r="E199" s="56"/>
      <c r="F199" s="56"/>
    </row>
    <row r="200" ht="15.75" customHeight="1">
      <c r="B200" s="4"/>
      <c r="C200" s="4"/>
      <c r="D200" s="3"/>
      <c r="E200" s="56"/>
      <c r="F200" s="56"/>
    </row>
    <row r="201" ht="15.75" customHeight="1">
      <c r="B201" s="4"/>
      <c r="C201" s="4"/>
      <c r="D201" s="3"/>
      <c r="E201" s="56"/>
      <c r="F201" s="56"/>
    </row>
    <row r="202" ht="15.75" customHeight="1">
      <c r="B202" s="4"/>
      <c r="C202" s="4"/>
      <c r="D202" s="3"/>
      <c r="E202" s="56"/>
      <c r="F202" s="56"/>
    </row>
    <row r="203" ht="15.75" customHeight="1">
      <c r="B203" s="4"/>
      <c r="C203" s="4"/>
      <c r="D203" s="3"/>
      <c r="E203" s="56"/>
      <c r="F203" s="56"/>
    </row>
    <row r="204" ht="15.75" customHeight="1">
      <c r="B204" s="4"/>
      <c r="C204" s="4"/>
      <c r="D204" s="3"/>
      <c r="E204" s="56"/>
      <c r="F204" s="56"/>
    </row>
    <row r="205" ht="15.75" customHeight="1">
      <c r="B205" s="4"/>
      <c r="C205" s="4"/>
      <c r="D205" s="3"/>
      <c r="E205" s="56"/>
      <c r="F205" s="56"/>
    </row>
    <row r="206" ht="15.75" customHeight="1">
      <c r="B206" s="4"/>
      <c r="C206" s="4"/>
      <c r="D206" s="3"/>
      <c r="E206" s="56"/>
      <c r="F206" s="56"/>
    </row>
    <row r="207" ht="15.75" customHeight="1">
      <c r="B207" s="4"/>
      <c r="C207" s="4"/>
      <c r="D207" s="3"/>
      <c r="E207" s="56"/>
      <c r="F207" s="56"/>
    </row>
    <row r="208" ht="15.75" customHeight="1">
      <c r="B208" s="4"/>
      <c r="C208" s="4"/>
      <c r="D208" s="3"/>
      <c r="E208" s="56"/>
      <c r="F208" s="56"/>
    </row>
    <row r="209" ht="15.75" customHeight="1">
      <c r="B209" s="4"/>
      <c r="C209" s="4"/>
      <c r="D209" s="3"/>
      <c r="E209" s="56"/>
      <c r="F209" s="56"/>
    </row>
    <row r="210" ht="15.75" customHeight="1">
      <c r="B210" s="4"/>
      <c r="C210" s="4"/>
      <c r="D210" s="3"/>
      <c r="E210" s="56"/>
      <c r="F210" s="56"/>
    </row>
    <row r="211" ht="15.75" customHeight="1">
      <c r="B211" s="4"/>
      <c r="C211" s="4"/>
      <c r="D211" s="3"/>
      <c r="E211" s="56"/>
      <c r="F211" s="56"/>
    </row>
    <row r="212" ht="15.75" customHeight="1">
      <c r="B212" s="4"/>
      <c r="C212" s="4"/>
      <c r="D212" s="3"/>
      <c r="E212" s="56"/>
      <c r="F212" s="56"/>
    </row>
    <row r="213" ht="15.75" customHeight="1">
      <c r="B213" s="4"/>
      <c r="C213" s="4"/>
      <c r="D213" s="3"/>
      <c r="E213" s="56"/>
      <c r="F213" s="56"/>
    </row>
    <row r="214" ht="15.75" customHeight="1">
      <c r="B214" s="4"/>
      <c r="C214" s="4"/>
      <c r="D214" s="3"/>
      <c r="E214" s="56"/>
      <c r="F214" s="56"/>
    </row>
    <row r="215" ht="15.75" customHeight="1">
      <c r="B215" s="4"/>
      <c r="C215" s="4"/>
      <c r="D215" s="3"/>
      <c r="E215" s="56"/>
      <c r="F215" s="56"/>
    </row>
    <row r="216" ht="15.75" customHeight="1">
      <c r="B216" s="4"/>
      <c r="C216" s="4"/>
      <c r="D216" s="3"/>
      <c r="E216" s="56"/>
      <c r="F216" s="56"/>
    </row>
    <row r="217" ht="15.75" customHeight="1">
      <c r="B217" s="4"/>
      <c r="C217" s="4"/>
      <c r="D217" s="3"/>
      <c r="E217" s="56"/>
      <c r="F217" s="56"/>
    </row>
    <row r="218" ht="15.75" customHeight="1">
      <c r="B218" s="4"/>
      <c r="C218" s="4"/>
      <c r="D218" s="3"/>
      <c r="E218" s="56"/>
      <c r="F218" s="56"/>
    </row>
    <row r="219" ht="15.75" customHeight="1">
      <c r="B219" s="4"/>
      <c r="C219" s="4"/>
      <c r="D219" s="3"/>
      <c r="E219" s="56"/>
      <c r="F219" s="56"/>
    </row>
    <row r="220" ht="15.75" customHeight="1">
      <c r="B220" s="4"/>
      <c r="C220" s="4"/>
      <c r="D220" s="3"/>
      <c r="E220" s="56"/>
      <c r="F220" s="56"/>
    </row>
    <row r="221" ht="15.75" customHeight="1">
      <c r="B221" s="4"/>
      <c r="C221" s="4"/>
      <c r="D221" s="3"/>
      <c r="E221" s="56"/>
      <c r="F221" s="56"/>
    </row>
    <row r="222" ht="15.75" customHeight="1">
      <c r="B222" s="4"/>
      <c r="C222" s="4"/>
      <c r="D222" s="3"/>
      <c r="E222" s="56"/>
      <c r="F222" s="56"/>
    </row>
    <row r="223" ht="15.75" customHeight="1">
      <c r="B223" s="4"/>
      <c r="C223" s="4"/>
      <c r="D223" s="3"/>
      <c r="E223" s="56"/>
      <c r="F223" s="56"/>
    </row>
    <row r="224" ht="15.75" customHeight="1">
      <c r="B224" s="4"/>
      <c r="C224" s="4"/>
      <c r="D224" s="3"/>
      <c r="E224" s="56"/>
      <c r="F224" s="56"/>
    </row>
    <row r="225" ht="15.75" customHeight="1">
      <c r="B225" s="4"/>
      <c r="C225" s="4"/>
      <c r="D225" s="3"/>
      <c r="E225" s="56"/>
      <c r="F225" s="56"/>
    </row>
    <row r="226" ht="15.75" customHeight="1">
      <c r="B226" s="4"/>
      <c r="C226" s="4"/>
      <c r="D226" s="3"/>
      <c r="E226" s="56"/>
      <c r="F226" s="56"/>
    </row>
    <row r="227" ht="15.75" customHeight="1">
      <c r="B227" s="4"/>
      <c r="C227" s="4"/>
      <c r="D227" s="3"/>
      <c r="E227" s="56"/>
      <c r="F227" s="56"/>
    </row>
    <row r="228" ht="15.75" customHeight="1">
      <c r="B228" s="4"/>
      <c r="C228" s="4"/>
      <c r="D228" s="3"/>
      <c r="E228" s="56"/>
      <c r="F228" s="56"/>
    </row>
    <row r="229" ht="15.75" customHeight="1">
      <c r="B229" s="4"/>
      <c r="C229" s="4"/>
      <c r="D229" s="3"/>
      <c r="E229" s="56"/>
      <c r="F229" s="56"/>
    </row>
    <row r="230" ht="15.75" customHeight="1">
      <c r="B230" s="4"/>
      <c r="C230" s="4"/>
      <c r="D230" s="3"/>
      <c r="E230" s="56"/>
      <c r="F230" s="56"/>
    </row>
    <row r="231" ht="15.75" customHeight="1">
      <c r="B231" s="4"/>
      <c r="C231" s="4"/>
      <c r="D231" s="3"/>
      <c r="E231" s="56"/>
      <c r="F231" s="56"/>
    </row>
    <row r="232" ht="15.75" customHeight="1">
      <c r="B232" s="4"/>
      <c r="C232" s="4"/>
      <c r="D232" s="3"/>
      <c r="E232" s="56"/>
      <c r="F232" s="56"/>
    </row>
    <row r="233" ht="15.75" customHeight="1">
      <c r="B233" s="4"/>
      <c r="C233" s="4"/>
      <c r="D233" s="3"/>
      <c r="E233" s="56"/>
      <c r="F233" s="56"/>
    </row>
    <row r="234" ht="15.75" customHeight="1">
      <c r="B234" s="4"/>
      <c r="C234" s="4"/>
      <c r="D234" s="3"/>
      <c r="E234" s="56"/>
      <c r="F234" s="56"/>
    </row>
    <row r="235" ht="15.75" customHeight="1">
      <c r="B235" s="4"/>
      <c r="C235" s="4"/>
      <c r="D235" s="3"/>
      <c r="E235" s="56"/>
      <c r="F235" s="56"/>
    </row>
    <row r="236" ht="15.75" customHeight="1">
      <c r="B236" s="4"/>
      <c r="C236" s="4"/>
      <c r="D236" s="3"/>
      <c r="E236" s="56"/>
      <c r="F236" s="56"/>
    </row>
    <row r="237" ht="15.75" customHeight="1">
      <c r="B237" s="4"/>
      <c r="C237" s="4"/>
      <c r="D237" s="3"/>
      <c r="E237" s="56"/>
      <c r="F237" s="56"/>
    </row>
    <row r="238" ht="15.75" customHeight="1">
      <c r="B238" s="4"/>
      <c r="C238" s="4"/>
      <c r="D238" s="3"/>
      <c r="E238" s="56"/>
      <c r="F238" s="56"/>
    </row>
    <row r="239" ht="15.75" customHeight="1">
      <c r="B239" s="4"/>
      <c r="C239" s="4"/>
      <c r="D239" s="3"/>
      <c r="E239" s="56"/>
      <c r="F239" s="56"/>
    </row>
    <row r="240" ht="15.75" customHeight="1">
      <c r="B240" s="4"/>
      <c r="C240" s="4"/>
      <c r="D240" s="3"/>
      <c r="E240" s="56"/>
      <c r="F240" s="56"/>
    </row>
    <row r="241" ht="15.75" customHeight="1">
      <c r="B241" s="4"/>
      <c r="C241" s="4"/>
      <c r="D241" s="3"/>
      <c r="E241" s="56"/>
      <c r="F241" s="56"/>
    </row>
    <row r="242" ht="15.75" customHeight="1">
      <c r="B242" s="4"/>
      <c r="C242" s="4"/>
      <c r="D242" s="3"/>
      <c r="E242" s="56"/>
      <c r="F242" s="56"/>
    </row>
    <row r="243" ht="15.75" customHeight="1">
      <c r="B243" s="4"/>
      <c r="C243" s="4"/>
      <c r="D243" s="3"/>
      <c r="E243" s="56"/>
      <c r="F243" s="56"/>
    </row>
    <row r="244" ht="15.75" customHeight="1">
      <c r="B244" s="4"/>
      <c r="C244" s="4"/>
      <c r="D244" s="3"/>
      <c r="E244" s="56"/>
      <c r="F244" s="56"/>
    </row>
    <row r="245" ht="15.75" customHeight="1">
      <c r="B245" s="4"/>
      <c r="C245" s="4"/>
      <c r="D245" s="3"/>
      <c r="E245" s="56"/>
      <c r="F245" s="56"/>
    </row>
    <row r="246" ht="15.75" customHeight="1">
      <c r="B246" s="4"/>
      <c r="C246" s="4"/>
      <c r="D246" s="3"/>
      <c r="E246" s="56"/>
      <c r="F246" s="56"/>
    </row>
    <row r="247" ht="15.75" customHeight="1">
      <c r="B247" s="4"/>
      <c r="C247" s="4"/>
      <c r="D247" s="3"/>
      <c r="E247" s="56"/>
      <c r="F247" s="56"/>
    </row>
    <row r="248" ht="15.75" customHeight="1">
      <c r="B248" s="4"/>
      <c r="C248" s="4"/>
      <c r="D248" s="3"/>
      <c r="E248" s="56"/>
      <c r="F248" s="56"/>
    </row>
    <row r="249" ht="15.75" customHeight="1">
      <c r="B249" s="4"/>
      <c r="C249" s="4"/>
      <c r="D249" s="3"/>
      <c r="E249" s="56"/>
      <c r="F249" s="56"/>
    </row>
    <row r="250" ht="15.75" customHeight="1">
      <c r="B250" s="4"/>
      <c r="C250" s="4"/>
      <c r="D250" s="3"/>
      <c r="E250" s="56"/>
      <c r="F250" s="56"/>
    </row>
    <row r="251" ht="15.75" customHeight="1">
      <c r="B251" s="4"/>
      <c r="C251" s="4"/>
      <c r="D251" s="3"/>
      <c r="E251" s="56"/>
      <c r="F251" s="56"/>
    </row>
    <row r="252" ht="15.75" customHeight="1">
      <c r="B252" s="4"/>
      <c r="C252" s="4"/>
      <c r="D252" s="3"/>
      <c r="E252" s="56"/>
      <c r="F252" s="56"/>
    </row>
    <row r="253" ht="15.75" customHeight="1">
      <c r="B253" s="4"/>
      <c r="C253" s="4"/>
      <c r="D253" s="3"/>
      <c r="E253" s="56"/>
      <c r="F253" s="56"/>
    </row>
    <row r="254" ht="15.75" customHeight="1">
      <c r="B254" s="4"/>
      <c r="C254" s="4"/>
      <c r="D254" s="3"/>
      <c r="E254" s="56"/>
      <c r="F254" s="56"/>
    </row>
    <row r="255" ht="15.75" customHeight="1">
      <c r="B255" s="4"/>
      <c r="C255" s="4"/>
      <c r="D255" s="3"/>
      <c r="E255" s="56"/>
      <c r="F255" s="56"/>
    </row>
    <row r="256" ht="15.75" customHeight="1">
      <c r="B256" s="4"/>
      <c r="C256" s="4"/>
      <c r="D256" s="3"/>
      <c r="E256" s="56"/>
      <c r="F256" s="56"/>
    </row>
    <row r="257" ht="15.75" customHeight="1">
      <c r="B257" s="4"/>
      <c r="C257" s="4"/>
      <c r="D257" s="3"/>
      <c r="E257" s="56"/>
      <c r="F257" s="56"/>
    </row>
    <row r="258" ht="15.75" customHeight="1">
      <c r="B258" s="4"/>
      <c r="C258" s="4"/>
      <c r="D258" s="3"/>
      <c r="E258" s="56"/>
      <c r="F258" s="56"/>
    </row>
    <row r="259" ht="15.75" customHeight="1">
      <c r="B259" s="4"/>
      <c r="C259" s="4"/>
      <c r="D259" s="3"/>
      <c r="E259" s="56"/>
      <c r="F259" s="56"/>
    </row>
    <row r="260" ht="15.75" customHeight="1">
      <c r="B260" s="4"/>
      <c r="C260" s="4"/>
      <c r="D260" s="3"/>
      <c r="E260" s="56"/>
      <c r="F260" s="56"/>
    </row>
    <row r="261" ht="15.75" customHeight="1">
      <c r="B261" s="4"/>
      <c r="C261" s="4"/>
      <c r="D261" s="3"/>
      <c r="E261" s="56"/>
      <c r="F261" s="56"/>
    </row>
    <row r="262" ht="15.75" customHeight="1">
      <c r="B262" s="4"/>
      <c r="C262" s="4"/>
      <c r="D262" s="3"/>
      <c r="E262" s="56"/>
      <c r="F262" s="56"/>
    </row>
    <row r="263" ht="15.75" customHeight="1">
      <c r="B263" s="4"/>
      <c r="C263" s="4"/>
      <c r="D263" s="3"/>
      <c r="E263" s="56"/>
      <c r="F263" s="56"/>
    </row>
    <row r="264" ht="15.75" customHeight="1">
      <c r="B264" s="4"/>
      <c r="C264" s="4"/>
      <c r="D264" s="3"/>
      <c r="E264" s="56"/>
      <c r="F264" s="56"/>
    </row>
    <row r="265" ht="15.75" customHeight="1">
      <c r="B265" s="4"/>
      <c r="C265" s="4"/>
      <c r="D265" s="3"/>
      <c r="E265" s="56"/>
      <c r="F265" s="56"/>
    </row>
    <row r="266" ht="15.75" customHeight="1">
      <c r="B266" s="4"/>
      <c r="C266" s="4"/>
      <c r="D266" s="3"/>
      <c r="E266" s="56"/>
      <c r="F266" s="56"/>
    </row>
    <row r="267" ht="15.75" customHeight="1">
      <c r="B267" s="4"/>
      <c r="C267" s="4"/>
      <c r="D267" s="3"/>
      <c r="E267" s="56"/>
      <c r="F267" s="56"/>
    </row>
    <row r="268" ht="15.75" customHeight="1">
      <c r="B268" s="4"/>
      <c r="C268" s="4"/>
      <c r="D268" s="3"/>
      <c r="E268" s="56"/>
      <c r="F268" s="56"/>
    </row>
    <row r="269" ht="15.75" customHeight="1">
      <c r="B269" s="4"/>
      <c r="C269" s="4"/>
      <c r="D269" s="3"/>
      <c r="E269" s="56"/>
      <c r="F269" s="56"/>
    </row>
    <row r="270" ht="15.75" customHeight="1">
      <c r="B270" s="4"/>
      <c r="C270" s="4"/>
      <c r="D270" s="3"/>
      <c r="E270" s="56"/>
      <c r="F270" s="56"/>
    </row>
    <row r="271" ht="15.75" customHeight="1">
      <c r="B271" s="4"/>
      <c r="C271" s="4"/>
      <c r="D271" s="3"/>
      <c r="E271" s="56"/>
      <c r="F271" s="56"/>
    </row>
    <row r="272" ht="15.75" customHeight="1">
      <c r="B272" s="4"/>
      <c r="C272" s="4"/>
      <c r="D272" s="3"/>
      <c r="E272" s="56"/>
      <c r="F272" s="56"/>
    </row>
    <row r="273" ht="15.75" customHeight="1">
      <c r="B273" s="4"/>
      <c r="C273" s="4"/>
      <c r="D273" s="3"/>
      <c r="E273" s="56"/>
      <c r="F273" s="56"/>
    </row>
    <row r="274" ht="15.75" customHeight="1">
      <c r="B274" s="4"/>
      <c r="C274" s="4"/>
      <c r="D274" s="3"/>
      <c r="E274" s="56"/>
      <c r="F274" s="56"/>
    </row>
    <row r="275" ht="15.75" customHeight="1">
      <c r="B275" s="4"/>
      <c r="C275" s="4"/>
      <c r="D275" s="3"/>
      <c r="E275" s="56"/>
      <c r="F275" s="56"/>
    </row>
    <row r="276" ht="15.75" customHeight="1">
      <c r="B276" s="4"/>
      <c r="C276" s="4"/>
      <c r="D276" s="3"/>
      <c r="E276" s="56"/>
      <c r="F276" s="56"/>
    </row>
    <row r="277" ht="15.75" customHeight="1">
      <c r="B277" s="4"/>
      <c r="C277" s="4"/>
      <c r="D277" s="3"/>
      <c r="E277" s="56"/>
      <c r="F277" s="56"/>
    </row>
    <row r="278" ht="15.75" customHeight="1">
      <c r="B278" s="4"/>
      <c r="C278" s="4"/>
      <c r="D278" s="3"/>
      <c r="E278" s="56"/>
      <c r="F278" s="56"/>
    </row>
    <row r="279" ht="15.75" customHeight="1">
      <c r="B279" s="4"/>
      <c r="C279" s="4"/>
      <c r="D279" s="3"/>
      <c r="E279" s="56"/>
      <c r="F279" s="56"/>
    </row>
    <row r="280" ht="15.75" customHeight="1">
      <c r="B280" s="4"/>
      <c r="C280" s="4"/>
      <c r="D280" s="3"/>
      <c r="E280" s="56"/>
      <c r="F280" s="56"/>
    </row>
    <row r="281" ht="15.75" customHeight="1">
      <c r="B281" s="4"/>
      <c r="C281" s="4"/>
      <c r="D281" s="3"/>
      <c r="E281" s="56"/>
      <c r="F281" s="56"/>
    </row>
    <row r="282" ht="15.75" customHeight="1">
      <c r="B282" s="4"/>
      <c r="C282" s="4"/>
      <c r="D282" s="3"/>
      <c r="E282" s="56"/>
      <c r="F282" s="56"/>
    </row>
    <row r="283" ht="15.75" customHeight="1">
      <c r="B283" s="4"/>
      <c r="C283" s="4"/>
      <c r="D283" s="3"/>
      <c r="E283" s="56"/>
      <c r="F283" s="56"/>
    </row>
    <row r="284" ht="15.75" customHeight="1">
      <c r="B284" s="4"/>
      <c r="C284" s="4"/>
      <c r="D284" s="3"/>
      <c r="E284" s="56"/>
      <c r="F284" s="56"/>
    </row>
    <row r="285" ht="15.75" customHeight="1">
      <c r="B285" s="4"/>
      <c r="C285" s="4"/>
      <c r="D285" s="3"/>
      <c r="E285" s="56"/>
      <c r="F285" s="56"/>
    </row>
    <row r="286" ht="15.75" customHeight="1">
      <c r="B286" s="4"/>
      <c r="C286" s="4"/>
      <c r="D286" s="3"/>
      <c r="E286" s="56"/>
      <c r="F286" s="56"/>
    </row>
    <row r="287" ht="15.75" customHeight="1">
      <c r="B287" s="4"/>
      <c r="C287" s="4"/>
      <c r="D287" s="3"/>
      <c r="E287" s="56"/>
      <c r="F287" s="56"/>
    </row>
    <row r="288" ht="15.75" customHeight="1">
      <c r="B288" s="4"/>
      <c r="C288" s="4"/>
      <c r="D288" s="3"/>
      <c r="E288" s="56"/>
      <c r="F288" s="56"/>
    </row>
    <row r="289" ht="15.75" customHeight="1">
      <c r="B289" s="4"/>
      <c r="C289" s="4"/>
      <c r="D289" s="3"/>
      <c r="E289" s="56"/>
      <c r="F289" s="56"/>
    </row>
    <row r="290" ht="15.75" customHeight="1">
      <c r="B290" s="4"/>
      <c r="C290" s="4"/>
      <c r="D290" s="3"/>
      <c r="E290" s="56"/>
      <c r="F290" s="56"/>
    </row>
    <row r="291" ht="15.75" customHeight="1">
      <c r="B291" s="4"/>
      <c r="C291" s="4"/>
      <c r="D291" s="3"/>
      <c r="E291" s="56"/>
      <c r="F291" s="56"/>
    </row>
    <row r="292" ht="15.75" customHeight="1">
      <c r="B292" s="4"/>
      <c r="C292" s="4"/>
      <c r="D292" s="3"/>
      <c r="E292" s="56"/>
      <c r="F292" s="56"/>
    </row>
    <row r="293" ht="15.75" customHeight="1">
      <c r="B293" s="4"/>
      <c r="C293" s="4"/>
      <c r="D293" s="3"/>
      <c r="E293" s="56"/>
      <c r="F293" s="56"/>
    </row>
    <row r="294" ht="15.75" customHeight="1">
      <c r="B294" s="4"/>
      <c r="C294" s="4"/>
      <c r="D294" s="3"/>
      <c r="E294" s="56"/>
      <c r="F294" s="56"/>
    </row>
    <row r="295" ht="15.75" customHeight="1">
      <c r="B295" s="4"/>
      <c r="C295" s="4"/>
      <c r="D295" s="3"/>
      <c r="E295" s="56"/>
      <c r="F295" s="56"/>
    </row>
    <row r="296" ht="15.75" customHeight="1">
      <c r="B296" s="4"/>
      <c r="C296" s="4"/>
      <c r="D296" s="3"/>
      <c r="E296" s="56"/>
      <c r="F296" s="56"/>
    </row>
    <row r="297" ht="15.75" customHeight="1">
      <c r="B297" s="4"/>
      <c r="C297" s="4"/>
      <c r="D297" s="3"/>
      <c r="E297" s="56"/>
      <c r="F297" s="56"/>
    </row>
    <row r="298" ht="15.75" customHeight="1">
      <c r="B298" s="4"/>
      <c r="C298" s="4"/>
      <c r="D298" s="3"/>
      <c r="E298" s="56"/>
      <c r="F298" s="56"/>
    </row>
    <row r="299" ht="15.75" customHeight="1">
      <c r="B299" s="4"/>
      <c r="C299" s="4"/>
      <c r="D299" s="3"/>
      <c r="E299" s="56"/>
      <c r="F299" s="56"/>
    </row>
    <row r="300" ht="15.75" customHeight="1">
      <c r="B300" s="4"/>
      <c r="C300" s="4"/>
      <c r="D300" s="3"/>
      <c r="E300" s="56"/>
      <c r="F300" s="56"/>
    </row>
    <row r="301" ht="15.75" customHeight="1">
      <c r="B301" s="4"/>
      <c r="C301" s="4"/>
      <c r="D301" s="3"/>
      <c r="E301" s="56"/>
      <c r="F301" s="56"/>
    </row>
    <row r="302" ht="15.75" customHeight="1">
      <c r="B302" s="4"/>
      <c r="C302" s="4"/>
      <c r="D302" s="3"/>
      <c r="E302" s="56"/>
      <c r="F302" s="56"/>
    </row>
    <row r="303" ht="15.75" customHeight="1">
      <c r="B303" s="4"/>
      <c r="C303" s="4"/>
      <c r="D303" s="3"/>
      <c r="E303" s="56"/>
      <c r="F303" s="56"/>
    </row>
    <row r="304" ht="15.75" customHeight="1">
      <c r="B304" s="4"/>
      <c r="C304" s="4"/>
      <c r="D304" s="3"/>
      <c r="E304" s="56"/>
      <c r="F304" s="56"/>
    </row>
    <row r="305" ht="15.75" customHeight="1">
      <c r="B305" s="4"/>
      <c r="C305" s="4"/>
      <c r="D305" s="3"/>
      <c r="E305" s="56"/>
      <c r="F305" s="56"/>
    </row>
    <row r="306" ht="15.75" customHeight="1">
      <c r="B306" s="4"/>
      <c r="C306" s="4"/>
      <c r="D306" s="3"/>
      <c r="E306" s="56"/>
      <c r="F306" s="56"/>
    </row>
    <row r="307" ht="15.75" customHeight="1">
      <c r="B307" s="4"/>
      <c r="C307" s="4"/>
      <c r="D307" s="3"/>
      <c r="E307" s="56"/>
      <c r="F307" s="56"/>
    </row>
    <row r="308" ht="15.75" customHeight="1">
      <c r="B308" s="4"/>
      <c r="C308" s="4"/>
      <c r="D308" s="3"/>
      <c r="E308" s="56"/>
      <c r="F308" s="56"/>
    </row>
    <row r="309" ht="15.75" customHeight="1">
      <c r="B309" s="4"/>
      <c r="C309" s="4"/>
      <c r="D309" s="3"/>
      <c r="E309" s="56"/>
      <c r="F309" s="56"/>
    </row>
    <row r="310" ht="15.75" customHeight="1">
      <c r="B310" s="4"/>
      <c r="C310" s="4"/>
      <c r="D310" s="3"/>
      <c r="E310" s="56"/>
      <c r="F310" s="56"/>
    </row>
    <row r="311" ht="15.75" customHeight="1">
      <c r="B311" s="4"/>
      <c r="C311" s="4"/>
      <c r="D311" s="3"/>
      <c r="E311" s="56"/>
      <c r="F311" s="56"/>
    </row>
    <row r="312" ht="15.75" customHeight="1">
      <c r="B312" s="4"/>
      <c r="C312" s="4"/>
      <c r="D312" s="3"/>
      <c r="E312" s="56"/>
      <c r="F312" s="56"/>
    </row>
    <row r="313" ht="15.75" customHeight="1">
      <c r="B313" s="4"/>
      <c r="C313" s="4"/>
      <c r="D313" s="3"/>
      <c r="E313" s="56"/>
      <c r="F313" s="56"/>
    </row>
    <row r="314" ht="15.75" customHeight="1">
      <c r="B314" s="4"/>
      <c r="C314" s="4"/>
      <c r="D314" s="3"/>
      <c r="E314" s="56"/>
      <c r="F314" s="56"/>
    </row>
    <row r="315" ht="15.75" customHeight="1">
      <c r="B315" s="4"/>
      <c r="C315" s="4"/>
      <c r="D315" s="3"/>
      <c r="E315" s="56"/>
      <c r="F315" s="56"/>
    </row>
    <row r="316" ht="15.75" customHeight="1">
      <c r="B316" s="4"/>
      <c r="C316" s="4"/>
      <c r="D316" s="3"/>
      <c r="E316" s="56"/>
      <c r="F316" s="56"/>
    </row>
    <row r="317" ht="15.75" customHeight="1">
      <c r="B317" s="4"/>
      <c r="C317" s="4"/>
      <c r="D317" s="3"/>
      <c r="E317" s="56"/>
      <c r="F317" s="56"/>
    </row>
    <row r="318" ht="15.75" customHeight="1">
      <c r="B318" s="4"/>
      <c r="C318" s="4"/>
      <c r="D318" s="3"/>
      <c r="E318" s="56"/>
      <c r="F318" s="56"/>
    </row>
    <row r="319" ht="15.75" customHeight="1">
      <c r="B319" s="4"/>
      <c r="C319" s="4"/>
      <c r="D319" s="3"/>
      <c r="E319" s="56"/>
      <c r="F319" s="56"/>
    </row>
    <row r="320" ht="15.75" customHeight="1">
      <c r="B320" s="4"/>
      <c r="C320" s="4"/>
      <c r="D320" s="3"/>
      <c r="E320" s="56"/>
      <c r="F320" s="56"/>
    </row>
    <row r="321" ht="15.75" customHeight="1">
      <c r="B321" s="4"/>
      <c r="C321" s="4"/>
      <c r="D321" s="3"/>
      <c r="E321" s="56"/>
      <c r="F321" s="56"/>
    </row>
    <row r="322" ht="15.75" customHeight="1">
      <c r="B322" s="4"/>
      <c r="C322" s="4"/>
      <c r="D322" s="3"/>
      <c r="E322" s="56"/>
      <c r="F322" s="56"/>
    </row>
    <row r="323" ht="15.75" customHeight="1">
      <c r="B323" s="4"/>
      <c r="C323" s="4"/>
      <c r="D323" s="3"/>
      <c r="E323" s="56"/>
      <c r="F323" s="56"/>
    </row>
    <row r="324" ht="15.75" customHeight="1">
      <c r="B324" s="4"/>
      <c r="C324" s="4"/>
      <c r="D324" s="3"/>
      <c r="E324" s="56"/>
      <c r="F324" s="56"/>
    </row>
    <row r="325" ht="15.75" customHeight="1">
      <c r="B325" s="4"/>
      <c r="C325" s="4"/>
      <c r="D325" s="3"/>
      <c r="E325" s="56"/>
      <c r="F325" s="56"/>
    </row>
    <row r="326" ht="15.75" customHeight="1">
      <c r="B326" s="4"/>
      <c r="C326" s="4"/>
      <c r="D326" s="3"/>
      <c r="E326" s="56"/>
      <c r="F326" s="56"/>
    </row>
    <row r="327" ht="15.75" customHeight="1">
      <c r="B327" s="4"/>
      <c r="C327" s="4"/>
      <c r="D327" s="3"/>
      <c r="E327" s="56"/>
      <c r="F327" s="56"/>
    </row>
    <row r="328" ht="15.75" customHeight="1">
      <c r="B328" s="4"/>
      <c r="C328" s="4"/>
      <c r="D328" s="3"/>
      <c r="E328" s="56"/>
      <c r="F328" s="56"/>
    </row>
    <row r="329" ht="15.75" customHeight="1">
      <c r="B329" s="4"/>
      <c r="C329" s="4"/>
      <c r="D329" s="3"/>
      <c r="E329" s="56"/>
      <c r="F329" s="56"/>
    </row>
    <row r="330" ht="15.75" customHeight="1">
      <c r="B330" s="4"/>
      <c r="C330" s="4"/>
      <c r="D330" s="3"/>
      <c r="E330" s="56"/>
      <c r="F330" s="56"/>
    </row>
    <row r="331" ht="15.75" customHeight="1">
      <c r="B331" s="4"/>
      <c r="C331" s="4"/>
      <c r="D331" s="3"/>
      <c r="E331" s="56"/>
      <c r="F331" s="56"/>
    </row>
    <row r="332" ht="15.75" customHeight="1">
      <c r="B332" s="4"/>
      <c r="C332" s="4"/>
      <c r="D332" s="3"/>
      <c r="E332" s="56"/>
      <c r="F332" s="56"/>
    </row>
    <row r="333" ht="15.75" customHeight="1">
      <c r="B333" s="4"/>
      <c r="C333" s="4"/>
      <c r="D333" s="3"/>
      <c r="E333" s="56"/>
      <c r="F333" s="56"/>
    </row>
    <row r="334" ht="15.75" customHeight="1">
      <c r="B334" s="4"/>
      <c r="C334" s="4"/>
      <c r="D334" s="3"/>
      <c r="E334" s="56"/>
      <c r="F334" s="56"/>
    </row>
    <row r="335" ht="15.75" customHeight="1">
      <c r="B335" s="4"/>
      <c r="C335" s="4"/>
      <c r="D335" s="3"/>
      <c r="E335" s="56"/>
      <c r="F335" s="56"/>
    </row>
    <row r="336" ht="15.75" customHeight="1">
      <c r="B336" s="4"/>
      <c r="C336" s="4"/>
      <c r="D336" s="3"/>
      <c r="E336" s="56"/>
      <c r="F336" s="56"/>
    </row>
    <row r="337" ht="15.75" customHeight="1">
      <c r="B337" s="4"/>
      <c r="C337" s="4"/>
      <c r="D337" s="3"/>
      <c r="E337" s="56"/>
      <c r="F337" s="56"/>
    </row>
    <row r="338" ht="15.75" customHeight="1">
      <c r="B338" s="4"/>
      <c r="C338" s="4"/>
      <c r="D338" s="3"/>
      <c r="E338" s="56"/>
      <c r="F338" s="56"/>
    </row>
    <row r="339" ht="15.75" customHeight="1">
      <c r="B339" s="4"/>
      <c r="C339" s="4"/>
      <c r="D339" s="3"/>
      <c r="E339" s="56"/>
      <c r="F339" s="56"/>
    </row>
    <row r="340" ht="15.75" customHeight="1">
      <c r="B340" s="4"/>
      <c r="C340" s="4"/>
      <c r="D340" s="3"/>
      <c r="E340" s="56"/>
      <c r="F340" s="56"/>
    </row>
    <row r="341" ht="15.75" customHeight="1">
      <c r="B341" s="4"/>
      <c r="C341" s="4"/>
      <c r="D341" s="3"/>
      <c r="E341" s="56"/>
      <c r="F341" s="56"/>
    </row>
    <row r="342" ht="15.75" customHeight="1">
      <c r="B342" s="4"/>
      <c r="C342" s="4"/>
      <c r="D342" s="3"/>
      <c r="E342" s="56"/>
      <c r="F342" s="56"/>
    </row>
    <row r="343" ht="15.75" customHeight="1">
      <c r="B343" s="4"/>
      <c r="C343" s="4"/>
      <c r="D343" s="3"/>
      <c r="E343" s="56"/>
      <c r="F343" s="56"/>
    </row>
    <row r="344" ht="15.75" customHeight="1">
      <c r="B344" s="4"/>
      <c r="C344" s="4"/>
      <c r="D344" s="3"/>
      <c r="E344" s="56"/>
      <c r="F344" s="56"/>
    </row>
    <row r="345" ht="15.75" customHeight="1">
      <c r="B345" s="4"/>
      <c r="C345" s="4"/>
      <c r="D345" s="3"/>
      <c r="E345" s="56"/>
      <c r="F345" s="56"/>
    </row>
    <row r="346" ht="15.75" customHeight="1">
      <c r="B346" s="4"/>
      <c r="C346" s="4"/>
      <c r="D346" s="3"/>
      <c r="E346" s="56"/>
      <c r="F346" s="56"/>
    </row>
    <row r="347" ht="15.75" customHeight="1">
      <c r="B347" s="4"/>
      <c r="C347" s="4"/>
      <c r="D347" s="3"/>
      <c r="E347" s="56"/>
      <c r="F347" s="56"/>
    </row>
    <row r="348" ht="15.75" customHeight="1">
      <c r="B348" s="4"/>
      <c r="C348" s="4"/>
      <c r="D348" s="3"/>
      <c r="E348" s="56"/>
      <c r="F348" s="56"/>
    </row>
    <row r="349" ht="15.75" customHeight="1">
      <c r="B349" s="4"/>
      <c r="C349" s="4"/>
      <c r="D349" s="3"/>
      <c r="E349" s="56"/>
      <c r="F349" s="56"/>
    </row>
    <row r="350" ht="15.75" customHeight="1">
      <c r="B350" s="4"/>
      <c r="C350" s="4"/>
      <c r="D350" s="3"/>
      <c r="E350" s="56"/>
      <c r="F350" s="56"/>
    </row>
    <row r="351" ht="15.75" customHeight="1">
      <c r="B351" s="4"/>
      <c r="C351" s="4"/>
      <c r="D351" s="3"/>
      <c r="E351" s="56"/>
      <c r="F351" s="56"/>
    </row>
    <row r="352" ht="15.75" customHeight="1">
      <c r="B352" s="4"/>
      <c r="C352" s="4"/>
      <c r="D352" s="3"/>
      <c r="E352" s="56"/>
      <c r="F352" s="56"/>
    </row>
    <row r="353" ht="15.75" customHeight="1">
      <c r="B353" s="4"/>
      <c r="C353" s="4"/>
      <c r="D353" s="3"/>
      <c r="E353" s="56"/>
      <c r="F353" s="56"/>
    </row>
    <row r="354" ht="15.75" customHeight="1">
      <c r="B354" s="4"/>
      <c r="C354" s="4"/>
      <c r="D354" s="3"/>
      <c r="E354" s="56"/>
      <c r="F354" s="56"/>
    </row>
    <row r="355" ht="15.75" customHeight="1">
      <c r="B355" s="4"/>
      <c r="C355" s="4"/>
      <c r="D355" s="3"/>
      <c r="E355" s="56"/>
      <c r="F355" s="56"/>
    </row>
    <row r="356" ht="15.75" customHeight="1">
      <c r="B356" s="4"/>
      <c r="C356" s="4"/>
      <c r="D356" s="3"/>
      <c r="E356" s="56"/>
      <c r="F356" s="56"/>
    </row>
    <row r="357" ht="15.75" customHeight="1">
      <c r="B357" s="4"/>
      <c r="C357" s="4"/>
      <c r="D357" s="3"/>
      <c r="E357" s="56"/>
      <c r="F357" s="56"/>
    </row>
    <row r="358" ht="15.75" customHeight="1">
      <c r="B358" s="4"/>
      <c r="C358" s="4"/>
      <c r="D358" s="3"/>
      <c r="E358" s="56"/>
      <c r="F358" s="56"/>
    </row>
    <row r="359" ht="15.75" customHeight="1">
      <c r="B359" s="4"/>
      <c r="C359" s="4"/>
      <c r="D359" s="3"/>
      <c r="E359" s="56"/>
      <c r="F359" s="56"/>
    </row>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118:D118"/>
    <mergeCell ref="E118:F118"/>
    <mergeCell ref="C8:F8"/>
    <mergeCell ref="C9:D9"/>
    <mergeCell ref="E9:F9"/>
    <mergeCell ref="C93:F93"/>
    <mergeCell ref="C94:D94"/>
    <mergeCell ref="E94:F94"/>
    <mergeCell ref="C117:F117"/>
  </mergeCells>
  <hyperlinks>
    <hyperlink display="PARTIDAS_DE_GASTO" location="'raw data metabase (Ministry of '!C8:F8" ref="C3"/>
    <hyperlink r:id="rId1" ref="D3"/>
    <hyperlink display="PROCESOS_DE_COMPRA" location="'raw data metabase (Ministry of '!C93:F93" ref="C4"/>
    <hyperlink r:id="rId2" ref="D4"/>
    <hyperlink display="CONTRATOS_DE_COMPRA" location="'raw data metabase (Ministry of '!C117:F117" ref="C5"/>
    <hyperlink r:id="rId3" ref="D5"/>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0"/>
  <cols>
    <col customWidth="1" min="1" max="1" width="4.5"/>
    <col customWidth="1" min="2" max="2" width="40.38"/>
    <col customWidth="1" min="3" max="3" width="15.63"/>
    <col customWidth="1" min="4" max="4" width="30.0"/>
    <col customWidth="1" min="5" max="5" width="12.38"/>
    <col customWidth="1" min="6" max="6" width="44.63"/>
    <col customWidth="1" min="7" max="7" width="28.5"/>
    <col customWidth="1" min="8" max="8" width="13.13"/>
    <col customWidth="1" min="9" max="9" width="31.38"/>
    <col customWidth="1" min="10" max="10" width="31.75"/>
    <col customWidth="1" min="11" max="11" width="21.25"/>
    <col customWidth="1" min="12" max="12" width="41.63"/>
    <col customWidth="1" min="13" max="14" width="73.0"/>
  </cols>
  <sheetData>
    <row r="1" ht="15.75" customHeight="1">
      <c r="B1" s="68"/>
      <c r="C1" s="68"/>
      <c r="D1" s="68"/>
      <c r="E1" s="68"/>
      <c r="F1" s="69"/>
      <c r="G1" s="70"/>
      <c r="H1" s="70"/>
      <c r="I1" s="70"/>
      <c r="J1" s="71" t="s">
        <v>1286</v>
      </c>
      <c r="K1" s="20"/>
      <c r="L1" s="20"/>
      <c r="M1" s="20"/>
      <c r="N1" s="22"/>
    </row>
    <row r="2" ht="15.75" customHeight="1">
      <c r="B2" s="72" t="s">
        <v>1287</v>
      </c>
      <c r="C2" s="72" t="s">
        <v>1288</v>
      </c>
      <c r="D2" s="72" t="s">
        <v>1289</v>
      </c>
      <c r="E2" s="72" t="s">
        <v>1290</v>
      </c>
      <c r="F2" s="73" t="s">
        <v>1291</v>
      </c>
      <c r="G2" s="74" t="s">
        <v>1287</v>
      </c>
      <c r="H2" s="74" t="s">
        <v>1288</v>
      </c>
      <c r="I2" s="74" t="s">
        <v>1289</v>
      </c>
      <c r="J2" s="75" t="s">
        <v>1291</v>
      </c>
      <c r="K2" s="75" t="s">
        <v>1292</v>
      </c>
      <c r="L2" s="75" t="s">
        <v>40</v>
      </c>
      <c r="M2" s="76" t="s">
        <v>1293</v>
      </c>
      <c r="N2" s="76" t="s">
        <v>1294</v>
      </c>
    </row>
    <row r="3" ht="15.75" customHeight="1">
      <c r="B3" s="77" t="s">
        <v>1295</v>
      </c>
      <c r="C3" s="77" t="s">
        <v>1296</v>
      </c>
      <c r="D3" s="77" t="s">
        <v>1297</v>
      </c>
      <c r="E3" s="77" t="s">
        <v>60</v>
      </c>
      <c r="F3" s="31"/>
      <c r="G3" s="77" t="s">
        <v>1298</v>
      </c>
      <c r="H3" s="77" t="s">
        <v>1299</v>
      </c>
      <c r="I3" s="77" t="s">
        <v>1297</v>
      </c>
      <c r="J3" s="30"/>
      <c r="K3" s="77" t="s">
        <v>1297</v>
      </c>
      <c r="L3" s="78">
        <v>10.0</v>
      </c>
      <c r="M3" s="79" t="s">
        <v>1300</v>
      </c>
      <c r="N3" s="80" t="str">
        <f>IFERROR(__xludf.DUMMYFUNCTION("IF(ISBLANK(M3), """", GOOGLETRANSLATE(M3, ""es"", ""en""))"),"Project identification code within MapaInversiones")</f>
        <v>Project identification code within MapaInversiones</v>
      </c>
    </row>
    <row r="4" ht="15.75" customHeight="1">
      <c r="B4" s="77"/>
      <c r="C4" s="77"/>
      <c r="D4" s="77"/>
      <c r="E4" s="77"/>
      <c r="F4" s="31"/>
      <c r="G4" s="77" t="s">
        <v>1295</v>
      </c>
      <c r="H4" s="77" t="s">
        <v>1296</v>
      </c>
      <c r="I4" s="77" t="s">
        <v>1301</v>
      </c>
      <c r="J4" s="30"/>
      <c r="K4" s="77" t="s">
        <v>1302</v>
      </c>
      <c r="L4" s="78">
        <v>11327.0</v>
      </c>
      <c r="M4" s="81" t="s">
        <v>1303</v>
      </c>
      <c r="N4" s="80" t="str">
        <f>IFERROR(__xludf.DUMMYFUNCTION("IF(ISBLANK(M4), """", GOOGLETRANSLATE(M4, ""es"", ""en""))"),"Project identifier code within the project bank is the unique identifier of the Investment project in (SNIP System)")</f>
        <v>Project identifier code within the project bank is the unique identifier of the Investment project in (SNIP System)</v>
      </c>
    </row>
    <row r="5" ht="15.75" customHeight="1">
      <c r="B5" s="77" t="s">
        <v>1304</v>
      </c>
      <c r="C5" s="77" t="s">
        <v>1296</v>
      </c>
      <c r="D5" s="77" t="s">
        <v>1305</v>
      </c>
      <c r="E5" s="77" t="s">
        <v>60</v>
      </c>
      <c r="F5" s="31"/>
      <c r="G5" s="77" t="s">
        <v>1298</v>
      </c>
      <c r="H5" s="77" t="s">
        <v>1299</v>
      </c>
      <c r="I5" s="77" t="s">
        <v>1306</v>
      </c>
      <c r="J5" s="30"/>
      <c r="K5" s="77" t="s">
        <v>1306</v>
      </c>
      <c r="L5" s="78">
        <v>2012.0</v>
      </c>
      <c r="M5" s="82" t="s">
        <v>1307</v>
      </c>
      <c r="N5" s="80" t="str">
        <f>IFERROR(__xludf.DUMMYFUNCTION("IF(ISBLANK(M5), """", GOOGLETRANSLATE(M5, ""es"", ""en""))"),"Project start year")</f>
        <v>Project start year</v>
      </c>
    </row>
    <row r="6" ht="15.75" customHeight="1">
      <c r="B6" s="77" t="s">
        <v>1304</v>
      </c>
      <c r="C6" s="77" t="s">
        <v>1296</v>
      </c>
      <c r="D6" s="77" t="s">
        <v>1305</v>
      </c>
      <c r="E6" s="77" t="s">
        <v>60</v>
      </c>
      <c r="F6" s="31"/>
      <c r="G6" s="77" t="s">
        <v>1298</v>
      </c>
      <c r="H6" s="77" t="s">
        <v>1299</v>
      </c>
      <c r="I6" s="77" t="s">
        <v>1308</v>
      </c>
      <c r="J6" s="30"/>
      <c r="K6" s="77" t="s">
        <v>1308</v>
      </c>
      <c r="L6" s="78">
        <v>2021.0</v>
      </c>
      <c r="M6" s="82" t="s">
        <v>1309</v>
      </c>
      <c r="N6" s="80" t="str">
        <f>IFERROR(__xludf.DUMMYFUNCTION("IF(ISBLANK(M6), """", GOOGLETRANSLATE(M6, ""es"", ""en""))"),"Final year of the project")</f>
        <v>Final year of the project</v>
      </c>
    </row>
    <row r="7" ht="15.75" customHeight="1">
      <c r="B7" s="77" t="s">
        <v>1295</v>
      </c>
      <c r="C7" s="77" t="s">
        <v>1296</v>
      </c>
      <c r="D7" s="83" t="s">
        <v>1310</v>
      </c>
      <c r="E7" s="83" t="s">
        <v>1311</v>
      </c>
      <c r="F7" s="31" t="s">
        <v>1312</v>
      </c>
      <c r="G7" s="77" t="s">
        <v>1298</v>
      </c>
      <c r="H7" s="77" t="s">
        <v>1299</v>
      </c>
      <c r="I7" s="83" t="s">
        <v>1310</v>
      </c>
      <c r="J7" s="30" t="s">
        <v>1313</v>
      </c>
      <c r="K7" s="77" t="s">
        <v>1310</v>
      </c>
      <c r="L7" s="78" t="s">
        <v>408</v>
      </c>
      <c r="M7" s="82" t="s">
        <v>1314</v>
      </c>
      <c r="N7" s="80" t="str">
        <f>IFERROR(__xludf.DUMMYFUNCTION("IF(ISBLANK(M7), """", GOOGLETRANSLATE(M7, ""es"", ""en""))"),"Full name of the investment project in the public investment system (SNIP)")</f>
        <v>Full name of the investment project in the public investment system (SNIP)</v>
      </c>
    </row>
    <row r="8" ht="15.75" customHeight="1">
      <c r="B8" s="77" t="s">
        <v>1295</v>
      </c>
      <c r="C8" s="77" t="s">
        <v>1296</v>
      </c>
      <c r="D8" s="77" t="s">
        <v>1315</v>
      </c>
      <c r="E8" s="77" t="s">
        <v>1316</v>
      </c>
      <c r="F8" s="31" t="s">
        <v>1317</v>
      </c>
      <c r="G8" s="77" t="s">
        <v>1298</v>
      </c>
      <c r="H8" s="77" t="s">
        <v>1299</v>
      </c>
      <c r="I8" s="83" t="s">
        <v>1318</v>
      </c>
      <c r="J8" s="30" t="s">
        <v>1319</v>
      </c>
      <c r="K8" s="77" t="s">
        <v>1320</v>
      </c>
      <c r="L8" s="78">
        <v>10.0</v>
      </c>
      <c r="M8" s="82" t="s">
        <v>1321</v>
      </c>
      <c r="N8" s="80" t="str">
        <f>IFERROR(__xludf.DUMMYFUNCTION("IF(ISBLANK(M8), """", GOOGLETRANSLATE(M8, ""es"", ""en""))"),"Project duration in years")</f>
        <v>Project duration in years</v>
      </c>
    </row>
    <row r="9" ht="15.75" customHeight="1">
      <c r="B9" s="77"/>
      <c r="C9" s="77"/>
      <c r="D9" s="77"/>
      <c r="E9" s="77"/>
      <c r="F9" s="31"/>
      <c r="G9" s="77" t="s">
        <v>54</v>
      </c>
      <c r="H9" s="77" t="s">
        <v>1296</v>
      </c>
      <c r="I9" s="77" t="s">
        <v>1322</v>
      </c>
      <c r="J9" s="30" t="s">
        <v>1323</v>
      </c>
      <c r="K9" s="77" t="s">
        <v>1324</v>
      </c>
      <c r="L9" s="78" t="s">
        <v>1325</v>
      </c>
      <c r="M9" s="82" t="s">
        <v>1326</v>
      </c>
      <c r="N9" s="80" t="str">
        <f>IFERROR(__xludf.DUMMYFUNCTION("IF(ISBLANK(M9), """", GOOGLETRANSLATE(M9, ""es"", ""en""))"),"Current stage of the project. Execution, Programming")</f>
        <v>Current stage of the project. Execution, Programming</v>
      </c>
    </row>
    <row r="10" ht="15.75" customHeight="1">
      <c r="B10" s="77" t="s">
        <v>1295</v>
      </c>
      <c r="C10" s="77" t="s">
        <v>1296</v>
      </c>
      <c r="D10" s="77" t="s">
        <v>1327</v>
      </c>
      <c r="E10" s="77" t="s">
        <v>1328</v>
      </c>
      <c r="F10" s="31"/>
      <c r="G10" s="77" t="s">
        <v>1298</v>
      </c>
      <c r="H10" s="77" t="s">
        <v>1299</v>
      </c>
      <c r="I10" s="77" t="s">
        <v>1327</v>
      </c>
      <c r="J10" s="30"/>
      <c r="K10" s="77" t="s">
        <v>1329</v>
      </c>
      <c r="L10" s="78" t="s">
        <v>411</v>
      </c>
      <c r="M10" s="82" t="s">
        <v>1330</v>
      </c>
      <c r="N10" s="80" t="str">
        <f>IFERROR(__xludf.DUMMYFUNCTION("IF(ISBLANK(M10), """", GOOGLETRANSLATE(M10, ""es"", ""en""))"),"Estimated cost of the project in $RD")</f>
        <v>Estimated cost of the project in $RD</v>
      </c>
    </row>
    <row r="11" ht="15.75" customHeight="1">
      <c r="B11" s="77" t="s">
        <v>1331</v>
      </c>
      <c r="C11" s="77" t="s">
        <v>1296</v>
      </c>
      <c r="D11" s="77" t="s">
        <v>1332</v>
      </c>
      <c r="E11" s="77" t="s">
        <v>60</v>
      </c>
      <c r="F11" s="31" t="s">
        <v>1333</v>
      </c>
      <c r="G11" s="77" t="s">
        <v>1298</v>
      </c>
      <c r="H11" s="77" t="s">
        <v>1299</v>
      </c>
      <c r="I11" s="77" t="s">
        <v>1334</v>
      </c>
      <c r="J11" s="30"/>
      <c r="K11" s="77" t="s">
        <v>1335</v>
      </c>
      <c r="L11" s="78" t="s">
        <v>1336</v>
      </c>
      <c r="M11" s="82" t="s">
        <v>1337</v>
      </c>
      <c r="N11" s="80" t="str">
        <f>IFERROR(__xludf.DUMMYFUNCTION("IF(ISBLANK(M11), """", GOOGLETRANSLATE(M11, ""es"", ""en""))"),"Type of project scope. E.g. National, Departmental or Municipal")</f>
        <v>Type of project scope. E.g. National, Departmental or Municipal</v>
      </c>
    </row>
    <row r="12" ht="15.75" customHeight="1">
      <c r="B12" s="77"/>
      <c r="C12" s="77"/>
      <c r="D12" s="77"/>
      <c r="E12" s="77"/>
      <c r="F12" s="31"/>
      <c r="G12" s="77" t="s">
        <v>1338</v>
      </c>
      <c r="H12" s="77" t="s">
        <v>1296</v>
      </c>
      <c r="I12" s="83" t="s">
        <v>1339</v>
      </c>
      <c r="J12" s="30" t="s">
        <v>1340</v>
      </c>
      <c r="K12" s="77" t="s">
        <v>1341</v>
      </c>
      <c r="L12" s="78" t="s">
        <v>1342</v>
      </c>
      <c r="M12" s="81" t="s">
        <v>1343</v>
      </c>
      <c r="N12" s="80" t="str">
        <f>IFERROR(__xludf.DUMMYFUNCTION("IF(ISBLANK(M12), """", GOOGLETRANSLATE(M12, ""es"", ""en""))"),"Name of the sector to which the investment project belongs. E.g. Education, Health, Transportation, The sectors in the Dominican Republic are equivalent to the functions ")</f>
        <v>Name of the sector to which the investment project belongs. E.g. Education, Health, Transportation, The sectors in the Dominican Republic are equivalent to the functions </v>
      </c>
    </row>
    <row r="13" ht="15.75" customHeight="1">
      <c r="B13" s="77" t="s">
        <v>1295</v>
      </c>
      <c r="C13" s="77" t="s">
        <v>1296</v>
      </c>
      <c r="D13" s="77" t="s">
        <v>1344</v>
      </c>
      <c r="E13" s="77" t="s">
        <v>1345</v>
      </c>
      <c r="F13" s="31"/>
      <c r="G13" s="77" t="s">
        <v>1298</v>
      </c>
      <c r="H13" s="77" t="s">
        <v>1299</v>
      </c>
      <c r="I13" s="77" t="s">
        <v>1346</v>
      </c>
      <c r="J13" s="30"/>
      <c r="K13" s="77" t="s">
        <v>1347</v>
      </c>
      <c r="L13" s="78" t="s">
        <v>1348</v>
      </c>
      <c r="M13" s="82" t="s">
        <v>1349</v>
      </c>
      <c r="N13" s="80" t="str">
        <f>IFERROR(__xludf.DUMMYFUNCTION("IF(ISBLANK(M13), """", GOOGLETRANSLATE(M13, ""es"", ""en""))"),"Percentage of financial progress of the project")</f>
        <v>Percentage of financial progress of the project</v>
      </c>
    </row>
    <row r="14" ht="15.75" customHeight="1">
      <c r="B14" s="77"/>
      <c r="C14" s="77"/>
      <c r="D14" s="77"/>
      <c r="E14" s="77"/>
      <c r="F14" s="31"/>
      <c r="G14" s="77" t="s">
        <v>1350</v>
      </c>
      <c r="H14" s="77" t="s">
        <v>1296</v>
      </c>
      <c r="I14" s="83" t="s">
        <v>1351</v>
      </c>
      <c r="J14" s="30" t="s">
        <v>1352</v>
      </c>
      <c r="K14" s="77" t="s">
        <v>1353</v>
      </c>
      <c r="L14" s="78" t="s">
        <v>1354</v>
      </c>
      <c r="M14" s="82" t="s">
        <v>1355</v>
      </c>
      <c r="N14" s="80" t="str">
        <f>IFERROR(__xludf.DUMMYFUNCTION("IF(ISBLANK(M14), """", GOOGLETRANSLATE(M14, ""es"", ""en""))"),"Name of the product associated with the project")</f>
        <v>Name of the product associated with the project</v>
      </c>
    </row>
    <row r="15" ht="15.75" customHeight="1">
      <c r="B15" s="77"/>
      <c r="C15" s="77"/>
      <c r="D15" s="77"/>
      <c r="E15" s="77"/>
      <c r="F15" s="31"/>
      <c r="G15" s="77" t="s">
        <v>1356</v>
      </c>
      <c r="H15" s="77" t="s">
        <v>1296</v>
      </c>
      <c r="I15" s="83" t="s">
        <v>1357</v>
      </c>
      <c r="J15" s="30" t="s">
        <v>1358</v>
      </c>
      <c r="K15" s="77" t="s">
        <v>166</v>
      </c>
      <c r="L15" s="78">
        <v>4.0</v>
      </c>
      <c r="M15" s="82" t="s">
        <v>1359</v>
      </c>
      <c r="N15" s="80" t="str">
        <f>IFERROR(__xludf.DUMMYFUNCTION("IF(ISBLANK(M15), """", GOOGLETRANSLATE(M15, ""es"", ""en""))"),"Product goal associated with the project")</f>
        <v>Product goal associated with the project</v>
      </c>
    </row>
    <row r="16" ht="15.75" customHeight="1">
      <c r="B16" s="77"/>
      <c r="C16" s="77"/>
      <c r="D16" s="77"/>
      <c r="E16" s="77"/>
      <c r="F16" s="31"/>
      <c r="G16" s="77" t="s">
        <v>1356</v>
      </c>
      <c r="H16" s="77" t="s">
        <v>1296</v>
      </c>
      <c r="I16" s="83" t="s">
        <v>1360</v>
      </c>
      <c r="J16" s="30" t="s">
        <v>1361</v>
      </c>
      <c r="K16" s="77" t="s">
        <v>675</v>
      </c>
      <c r="L16" s="78">
        <v>3.0</v>
      </c>
      <c r="M16" s="82" t="s">
        <v>1362</v>
      </c>
      <c r="N16" s="80" t="str">
        <f>IFERROR(__xludf.DUMMYFUNCTION("IF(ISBLANK(M16), """", GOOGLETRANSLATE(M16, ""es"", ""en""))"),"Executed value of the product associated with the project")</f>
        <v>Executed value of the product associated with the project</v>
      </c>
    </row>
    <row r="17" ht="15.75" customHeight="1">
      <c r="B17" s="77"/>
      <c r="C17" s="77"/>
      <c r="D17" s="77"/>
      <c r="E17" s="77"/>
      <c r="F17" s="31"/>
      <c r="G17" s="77" t="s">
        <v>1350</v>
      </c>
      <c r="H17" s="77" t="s">
        <v>1296</v>
      </c>
      <c r="I17" s="77" t="s">
        <v>1363</v>
      </c>
      <c r="J17" s="30"/>
      <c r="K17" s="77" t="s">
        <v>1364</v>
      </c>
      <c r="L17" s="78" t="s">
        <v>1365</v>
      </c>
      <c r="M17" s="82" t="s">
        <v>1366</v>
      </c>
      <c r="N17" s="80" t="str">
        <f>IFERROR(__xludf.DUMMYFUNCTION("IF(ISBLANK(M17), """", GOOGLETRANSLATE(M17, ""es"", ""en""))"),"Unit of measurement of the product associated with the project")</f>
        <v>Unit of measurement of the product associated with the project</v>
      </c>
    </row>
    <row r="18" ht="15.75" customHeight="1">
      <c r="B18" s="77"/>
      <c r="C18" s="77"/>
      <c r="D18" s="77"/>
      <c r="E18" s="77"/>
      <c r="F18" s="31"/>
      <c r="G18" s="77" t="s">
        <v>1367</v>
      </c>
      <c r="H18" s="77" t="s">
        <v>1296</v>
      </c>
      <c r="I18" s="83" t="s">
        <v>1368</v>
      </c>
      <c r="J18" s="30" t="s">
        <v>1369</v>
      </c>
      <c r="K18" s="77" t="s">
        <v>1370</v>
      </c>
      <c r="L18" s="78" t="s">
        <v>189</v>
      </c>
      <c r="M18" s="84" t="s">
        <v>1371</v>
      </c>
      <c r="N18" s="80" t="str">
        <f>IFERROR(__xludf.DUMMYFUNCTION("IF(ISBLANK(M18), """", GOOGLETRANSLATE(M18, ""es"", ""en""))"),"Name of the phase in which the project is located (Ex: Pre-investment, Investment)")</f>
        <v>Name of the phase in which the project is located (Ex: Pre-investment, Investment)</v>
      </c>
    </row>
    <row r="19" ht="15.75" customHeight="1">
      <c r="B19" s="77" t="s">
        <v>1372</v>
      </c>
      <c r="C19" s="77" t="s">
        <v>1296</v>
      </c>
      <c r="D19" s="77" t="s">
        <v>1373</v>
      </c>
      <c r="E19" s="77" t="s">
        <v>1374</v>
      </c>
      <c r="F19" s="31" t="s">
        <v>1375</v>
      </c>
      <c r="G19" s="77" t="s">
        <v>1298</v>
      </c>
      <c r="H19" s="77" t="s">
        <v>1299</v>
      </c>
      <c r="I19" s="83" t="s">
        <v>1376</v>
      </c>
      <c r="J19" s="30" t="s">
        <v>1377</v>
      </c>
      <c r="K19" s="77" t="s">
        <v>1378</v>
      </c>
      <c r="L19" s="78" t="s">
        <v>145</v>
      </c>
      <c r="M19" s="85" t="s">
        <v>1379</v>
      </c>
      <c r="N19" s="80" t="str">
        <f>IFERROR(__xludf.DUMMYFUNCTION("IF(ISBLANK(M19), """", GOOGLETRANSLATE(M19, ""es"", ""en""))"),"Corresponds to the primary executor of the project")</f>
        <v>Corresponds to the primary executor of the project</v>
      </c>
    </row>
    <row r="20" ht="15.75" customHeight="1">
      <c r="B20" s="77" t="s">
        <v>1380</v>
      </c>
      <c r="C20" s="77" t="s">
        <v>1296</v>
      </c>
      <c r="D20" s="77" t="s">
        <v>1381</v>
      </c>
      <c r="E20" s="77" t="s">
        <v>1374</v>
      </c>
      <c r="F20" s="31"/>
      <c r="G20" s="77" t="s">
        <v>1382</v>
      </c>
      <c r="H20" s="77" t="s">
        <v>1299</v>
      </c>
      <c r="I20" s="83" t="s">
        <v>1383</v>
      </c>
      <c r="J20" s="30" t="s">
        <v>1384</v>
      </c>
      <c r="K20" s="77" t="s">
        <v>1385</v>
      </c>
      <c r="L20" s="78" t="s">
        <v>1021</v>
      </c>
      <c r="M20" s="86" t="s">
        <v>1386</v>
      </c>
      <c r="N20" s="80" t="str">
        <f>IFERROR(__xludf.DUMMYFUNCTION("IF(ISBLANK(M20), """", GOOGLETRANSLATE(M20, ""es"", ""en""))"),"Name of the project financing source ")</f>
        <v>Name of the project financing source </v>
      </c>
    </row>
    <row r="21" ht="15.75" customHeight="1">
      <c r="B21" s="77" t="s">
        <v>1380</v>
      </c>
      <c r="C21" s="77" t="s">
        <v>1296</v>
      </c>
      <c r="D21" s="77" t="s">
        <v>1387</v>
      </c>
      <c r="E21" s="77" t="s">
        <v>1374</v>
      </c>
      <c r="F21" s="31"/>
      <c r="G21" s="77" t="s">
        <v>1382</v>
      </c>
      <c r="H21" s="77" t="s">
        <v>1299</v>
      </c>
      <c r="I21" s="83" t="s">
        <v>1388</v>
      </c>
      <c r="J21" s="30" t="s">
        <v>1389</v>
      </c>
      <c r="K21" s="77" t="s">
        <v>1390</v>
      </c>
      <c r="L21" s="78" t="s">
        <v>1391</v>
      </c>
      <c r="M21" s="86" t="s">
        <v>1392</v>
      </c>
      <c r="N21" s="80" t="str">
        <f>IFERROR(__xludf.DUMMYFUNCTION("IF(ISBLANK(M21), """", GOOGLETRANSLATE(M21, ""es"", ""en""))"),"Name of the project financing organization")</f>
        <v>Name of the project financing organization</v>
      </c>
    </row>
    <row r="22" ht="15.75" customHeight="1">
      <c r="B22" s="77" t="s">
        <v>1393</v>
      </c>
      <c r="C22" s="77" t="s">
        <v>1296</v>
      </c>
      <c r="D22" s="83" t="s">
        <v>1394</v>
      </c>
      <c r="E22" s="83" t="s">
        <v>1328</v>
      </c>
      <c r="F22" s="31" t="s">
        <v>1395</v>
      </c>
      <c r="G22" s="77" t="s">
        <v>1382</v>
      </c>
      <c r="H22" s="77" t="s">
        <v>1299</v>
      </c>
      <c r="I22" s="77" t="s">
        <v>1394</v>
      </c>
      <c r="J22" s="30"/>
      <c r="K22" s="77" t="s">
        <v>1396</v>
      </c>
      <c r="L22" s="78" t="s">
        <v>194</v>
      </c>
      <c r="M22" s="85" t="s">
        <v>1397</v>
      </c>
      <c r="N22" s="80" t="str">
        <f>IFERROR(__xludf.DUMMYFUNCTION("IF(ISBLANK(M22), """", GOOGLETRANSLATE(M22, ""es"", ""en""))"),"Programmed value of the financing source associated with the project")</f>
        <v>Programmed value of the financing source associated with the project</v>
      </c>
    </row>
    <row r="23" ht="15.75" customHeight="1">
      <c r="B23" s="77" t="s">
        <v>1393</v>
      </c>
      <c r="C23" s="77" t="s">
        <v>1296</v>
      </c>
      <c r="D23" s="83" t="s">
        <v>1398</v>
      </c>
      <c r="E23" s="83" t="s">
        <v>1328</v>
      </c>
      <c r="F23" s="31" t="s">
        <v>1399</v>
      </c>
      <c r="G23" s="77" t="s">
        <v>1382</v>
      </c>
      <c r="H23" s="77" t="s">
        <v>1299</v>
      </c>
      <c r="I23" s="77" t="s">
        <v>1398</v>
      </c>
      <c r="J23" s="30"/>
      <c r="K23" s="77" t="s">
        <v>1400</v>
      </c>
      <c r="L23" s="78" t="s">
        <v>194</v>
      </c>
      <c r="M23" s="86" t="s">
        <v>1401</v>
      </c>
      <c r="N23" s="80" t="str">
        <f>IFERROR(__xludf.DUMMYFUNCTION("IF(ISBLANK(M23), """", GOOGLETRANSLATE(M23, ""es"", ""en""))"),"Executed value of the financing source associated with the project")</f>
        <v>Executed value of the financing source associated with the project</v>
      </c>
    </row>
    <row r="24" ht="15.75" customHeight="1">
      <c r="B24" s="77" t="s">
        <v>1393</v>
      </c>
      <c r="C24" s="77" t="s">
        <v>1296</v>
      </c>
      <c r="D24" s="77" t="s">
        <v>1402</v>
      </c>
      <c r="E24" s="77" t="s">
        <v>60</v>
      </c>
      <c r="F24" s="31"/>
      <c r="G24" s="77" t="s">
        <v>1382</v>
      </c>
      <c r="H24" s="77" t="s">
        <v>1299</v>
      </c>
      <c r="I24" s="77" t="s">
        <v>1402</v>
      </c>
      <c r="J24" s="30"/>
      <c r="K24" s="77" t="s">
        <v>1403</v>
      </c>
      <c r="L24" s="78">
        <v>2016.0</v>
      </c>
      <c r="M24" s="82" t="s">
        <v>1404</v>
      </c>
      <c r="N24" s="80" t="str">
        <f>IFERROR(__xludf.DUMMYFUNCTION("IF(ISBLANK(M24), """", GOOGLETRANSLATE(M24, ""es"", ""en""))"),"Year of project execution")</f>
        <v>Year of project execution</v>
      </c>
    </row>
    <row r="25" ht="15.75" customHeight="1">
      <c r="B25" s="77"/>
      <c r="C25" s="77"/>
      <c r="D25" s="77"/>
      <c r="E25" s="77"/>
      <c r="F25" s="31"/>
      <c r="G25" s="77" t="s">
        <v>1405</v>
      </c>
      <c r="H25" s="77" t="s">
        <v>1296</v>
      </c>
      <c r="I25" s="77" t="s">
        <v>1406</v>
      </c>
      <c r="J25" s="30"/>
      <c r="K25" s="77" t="s">
        <v>1406</v>
      </c>
      <c r="L25" s="78" t="s">
        <v>1407</v>
      </c>
      <c r="M25" s="85" t="s">
        <v>1408</v>
      </c>
      <c r="N25" s="80" t="str">
        <f>IFERROR(__xludf.DUMMYFUNCTION("IF(ISBLANK(M25), """", GOOGLETRANSLATE(M25, ""es"", ""en""))"),"Name of the region where the project is located")</f>
        <v>Name of the region where the project is located</v>
      </c>
    </row>
    <row r="26" ht="15.75" customHeight="1">
      <c r="B26" s="77"/>
      <c r="C26" s="77"/>
      <c r="D26" s="77"/>
      <c r="E26" s="77"/>
      <c r="F26" s="31"/>
      <c r="G26" s="77" t="s">
        <v>1405</v>
      </c>
      <c r="H26" s="77" t="s">
        <v>1296</v>
      </c>
      <c r="I26" s="77" t="s">
        <v>1409</v>
      </c>
      <c r="J26" s="30"/>
      <c r="K26" s="77" t="s">
        <v>1410</v>
      </c>
      <c r="L26" s="78" t="s">
        <v>932</v>
      </c>
      <c r="M26" s="86" t="s">
        <v>1411</v>
      </c>
      <c r="N26" s="80" t="str">
        <f>IFERROR(__xludf.DUMMYFUNCTION("IF(ISBLANK(M26), """", GOOGLETRANSLATE(M26, ""es"", ""en""))"),"Name of the province where the project is located")</f>
        <v>Name of the province where the project is located</v>
      </c>
    </row>
    <row r="27" ht="15.75" customHeight="1">
      <c r="B27" s="77"/>
      <c r="C27" s="77"/>
      <c r="D27" s="77"/>
      <c r="E27" s="77"/>
      <c r="F27" s="31"/>
      <c r="G27" s="77" t="s">
        <v>1405</v>
      </c>
      <c r="H27" s="77" t="s">
        <v>1296</v>
      </c>
      <c r="I27" s="77" t="s">
        <v>1412</v>
      </c>
      <c r="J27" s="30"/>
      <c r="K27" s="77" t="s">
        <v>1412</v>
      </c>
      <c r="L27" s="78" t="s">
        <v>1407</v>
      </c>
      <c r="M27" s="86" t="s">
        <v>1413</v>
      </c>
      <c r="N27" s="80" t="str">
        <f>IFERROR(__xludf.DUMMYFUNCTION("IF(ISBLANK(M27), """", GOOGLETRANSLATE(M27, ""es"", ""en""))"),"Name of the municipality where the project is located")</f>
        <v>Name of the municipality where the project is located</v>
      </c>
    </row>
    <row r="28" ht="15.75" customHeight="1">
      <c r="B28" s="77"/>
      <c r="C28" s="77"/>
      <c r="D28" s="77"/>
      <c r="E28" s="77"/>
      <c r="F28" s="31"/>
      <c r="G28" s="77" t="s">
        <v>1295</v>
      </c>
      <c r="H28" s="77" t="s">
        <v>1296</v>
      </c>
      <c r="I28" s="77" t="s">
        <v>1414</v>
      </c>
      <c r="J28" s="30"/>
      <c r="K28" s="77" t="s">
        <v>1415</v>
      </c>
      <c r="L28" s="78" t="s">
        <v>1416</v>
      </c>
      <c r="M28" s="86" t="s">
        <v>1417</v>
      </c>
      <c r="N28" s="80" t="str">
        <f>IFERROR(__xludf.DUMMYFUNCTION("IF(ISBLANK(M28), """", GOOGLETRANSLATE(M28, ""es"", ""en""))"),"Date of last upload of project information in MapaInversiones")</f>
        <v>Date of last upload of project information in MapaInversiones</v>
      </c>
    </row>
    <row r="29" ht="15.75" customHeight="1">
      <c r="B29" s="77"/>
      <c r="C29" s="77"/>
      <c r="D29" s="77"/>
      <c r="E29" s="77"/>
      <c r="F29" s="31"/>
      <c r="G29" s="77"/>
      <c r="H29" s="77"/>
      <c r="I29" s="77" t="s">
        <v>1418</v>
      </c>
      <c r="J29" s="87" t="s">
        <v>1419</v>
      </c>
      <c r="K29" s="77" t="s">
        <v>1420</v>
      </c>
      <c r="L29" s="78" t="s">
        <v>1421</v>
      </c>
      <c r="M29" s="86" t="s">
        <v>1422</v>
      </c>
      <c r="N29" s="80" t="s">
        <v>1423</v>
      </c>
    </row>
    <row r="30" ht="15.75" customHeight="1">
      <c r="B30" s="88"/>
      <c r="C30" s="88"/>
      <c r="D30" s="88"/>
      <c r="E30" s="88"/>
      <c r="F30" s="4"/>
      <c r="G30" s="88"/>
      <c r="H30" s="88"/>
      <c r="I30" s="88"/>
      <c r="K30" s="88"/>
      <c r="M30" s="4"/>
      <c r="N30" s="4"/>
    </row>
    <row r="31" ht="15.75" customHeight="1">
      <c r="B31" s="88"/>
      <c r="C31" s="88"/>
      <c r="D31" s="88"/>
      <c r="E31" s="88"/>
      <c r="F31" s="4"/>
      <c r="G31" s="88"/>
      <c r="H31" s="88"/>
      <c r="I31" s="88"/>
      <c r="K31" s="88"/>
      <c r="M31" s="4"/>
      <c r="N31" s="4"/>
    </row>
    <row r="32" ht="15.75" customHeight="1">
      <c r="B32" s="88"/>
      <c r="C32" s="88"/>
      <c r="D32" s="88"/>
      <c r="E32" s="88"/>
      <c r="F32" s="4"/>
      <c r="G32" s="88"/>
      <c r="H32" s="88"/>
      <c r="I32" s="88"/>
      <c r="K32" s="88"/>
      <c r="M32" s="4"/>
      <c r="N32" s="4"/>
    </row>
    <row r="33" ht="15.75" customHeight="1">
      <c r="B33" s="88"/>
      <c r="C33" s="88"/>
      <c r="D33" s="88"/>
      <c r="E33" s="88"/>
      <c r="F33" s="4"/>
      <c r="G33" s="88"/>
      <c r="H33" s="88"/>
      <c r="I33" s="88"/>
      <c r="K33" s="88"/>
      <c r="M33" s="4"/>
      <c r="N33" s="4"/>
    </row>
    <row r="34" ht="15.75" customHeight="1">
      <c r="B34" s="88"/>
      <c r="C34" s="88"/>
      <c r="D34" s="88"/>
      <c r="E34" s="88"/>
      <c r="F34" s="4"/>
      <c r="G34" s="88"/>
      <c r="H34" s="88"/>
      <c r="I34" s="88"/>
      <c r="K34" s="88"/>
      <c r="M34" s="4"/>
      <c r="N34" s="4"/>
    </row>
    <row r="35" ht="15.75" customHeight="1">
      <c r="B35" s="88"/>
      <c r="C35" s="88"/>
      <c r="D35" s="88"/>
      <c r="E35" s="88"/>
      <c r="F35" s="4"/>
      <c r="G35" s="88"/>
      <c r="H35" s="88"/>
      <c r="I35" s="88"/>
      <c r="K35" s="88"/>
      <c r="M35" s="4"/>
      <c r="N35" s="4"/>
    </row>
    <row r="36" ht="15.75" customHeight="1">
      <c r="B36" s="88"/>
      <c r="C36" s="88"/>
      <c r="D36" s="88"/>
      <c r="E36" s="88"/>
      <c r="F36" s="4"/>
      <c r="G36" s="88"/>
      <c r="H36" s="88"/>
      <c r="I36" s="88"/>
      <c r="K36" s="88"/>
      <c r="M36" s="4"/>
      <c r="N36" s="4"/>
    </row>
    <row r="37" ht="15.75" customHeight="1">
      <c r="B37" s="88"/>
      <c r="C37" s="88"/>
      <c r="D37" s="88"/>
      <c r="E37" s="88"/>
      <c r="F37" s="4"/>
      <c r="G37" s="88"/>
      <c r="H37" s="88"/>
      <c r="I37" s="88"/>
      <c r="K37" s="88"/>
      <c r="M37" s="4"/>
      <c r="N37" s="4"/>
    </row>
    <row r="38" ht="15.75" customHeight="1">
      <c r="B38" s="88"/>
      <c r="C38" s="88"/>
      <c r="D38" s="88"/>
      <c r="E38" s="88"/>
      <c r="F38" s="4"/>
      <c r="G38" s="88"/>
      <c r="H38" s="88"/>
      <c r="I38" s="88"/>
      <c r="K38" s="88"/>
      <c r="M38" s="4"/>
      <c r="N38" s="4"/>
    </row>
    <row r="39" ht="15.75" customHeight="1">
      <c r="B39" s="88"/>
      <c r="C39" s="88"/>
      <c r="D39" s="88"/>
      <c r="E39" s="88"/>
      <c r="F39" s="4"/>
      <c r="G39" s="88"/>
      <c r="H39" s="88"/>
      <c r="I39" s="88"/>
      <c r="K39" s="88"/>
      <c r="M39" s="4"/>
      <c r="N39" s="4"/>
    </row>
    <row r="40" ht="15.75" customHeight="1">
      <c r="B40" s="88"/>
      <c r="C40" s="88"/>
      <c r="D40" s="88"/>
      <c r="E40" s="88"/>
      <c r="F40" s="4"/>
      <c r="G40" s="88"/>
      <c r="H40" s="88"/>
      <c r="I40" s="88"/>
      <c r="K40" s="88"/>
      <c r="M40" s="4"/>
      <c r="N40" s="4"/>
    </row>
    <row r="41" ht="15.75" customHeight="1">
      <c r="B41" s="88"/>
      <c r="C41" s="88"/>
      <c r="D41" s="88"/>
      <c r="E41" s="88"/>
      <c r="F41" s="4"/>
      <c r="G41" s="88"/>
      <c r="H41" s="88"/>
      <c r="I41" s="88"/>
      <c r="K41" s="88"/>
      <c r="M41" s="4"/>
      <c r="N41" s="4"/>
    </row>
    <row r="42" ht="15.75" customHeight="1">
      <c r="B42" s="88"/>
      <c r="C42" s="88"/>
      <c r="D42" s="88"/>
      <c r="E42" s="88"/>
      <c r="F42" s="4"/>
      <c r="G42" s="88"/>
      <c r="H42" s="88"/>
      <c r="I42" s="88"/>
      <c r="K42" s="88"/>
      <c r="M42" s="4"/>
      <c r="N42" s="4"/>
    </row>
    <row r="43" ht="15.75" customHeight="1">
      <c r="B43" s="88"/>
      <c r="C43" s="88"/>
      <c r="D43" s="88"/>
      <c r="E43" s="88"/>
      <c r="F43" s="4"/>
      <c r="G43" s="88"/>
      <c r="H43" s="88"/>
      <c r="I43" s="88"/>
      <c r="K43" s="88"/>
      <c r="M43" s="4"/>
      <c r="N43" s="4"/>
    </row>
    <row r="44" ht="15.75" customHeight="1">
      <c r="B44" s="88"/>
      <c r="C44" s="88"/>
      <c r="D44" s="88"/>
      <c r="E44" s="88"/>
      <c r="F44" s="4"/>
      <c r="G44" s="88"/>
      <c r="H44" s="88"/>
      <c r="I44" s="88"/>
      <c r="K44" s="88"/>
      <c r="M44" s="4"/>
      <c r="N44" s="4"/>
    </row>
    <row r="45" ht="15.75" customHeight="1">
      <c r="B45" s="88"/>
      <c r="C45" s="88"/>
      <c r="D45" s="88"/>
      <c r="E45" s="88"/>
      <c r="F45" s="4"/>
      <c r="G45" s="88"/>
      <c r="H45" s="88"/>
      <c r="I45" s="88"/>
      <c r="K45" s="88"/>
      <c r="M45" s="4"/>
      <c r="N45" s="4"/>
    </row>
    <row r="46" ht="15.75" customHeight="1">
      <c r="B46" s="88"/>
      <c r="C46" s="88"/>
      <c r="D46" s="88"/>
      <c r="E46" s="88"/>
      <c r="F46" s="4"/>
      <c r="G46" s="88"/>
      <c r="H46" s="88"/>
      <c r="I46" s="88"/>
      <c r="K46" s="88"/>
      <c r="M46" s="4"/>
      <c r="N46" s="4"/>
    </row>
    <row r="47" ht="15.75" customHeight="1">
      <c r="B47" s="88"/>
      <c r="C47" s="88"/>
      <c r="D47" s="88"/>
      <c r="E47" s="88"/>
      <c r="F47" s="4"/>
      <c r="G47" s="88"/>
      <c r="H47" s="88"/>
      <c r="I47" s="88"/>
      <c r="K47" s="88"/>
      <c r="M47" s="4"/>
      <c r="N47" s="4"/>
    </row>
    <row r="48" ht="15.75" customHeight="1">
      <c r="B48" s="88"/>
      <c r="C48" s="88"/>
      <c r="D48" s="88"/>
      <c r="E48" s="88"/>
      <c r="F48" s="4"/>
      <c r="G48" s="88"/>
      <c r="H48" s="88"/>
      <c r="I48" s="88"/>
      <c r="K48" s="88"/>
      <c r="M48" s="4"/>
      <c r="N48" s="4"/>
    </row>
    <row r="49" ht="15.75" customHeight="1">
      <c r="B49" s="88"/>
      <c r="C49" s="88"/>
      <c r="D49" s="88"/>
      <c r="E49" s="88"/>
      <c r="F49" s="4"/>
      <c r="G49" s="88"/>
      <c r="H49" s="88"/>
      <c r="I49" s="88"/>
      <c r="K49" s="88"/>
      <c r="M49" s="4"/>
      <c r="N49" s="4"/>
    </row>
    <row r="50" ht="15.75" customHeight="1">
      <c r="B50" s="88"/>
      <c r="C50" s="88"/>
      <c r="D50" s="88"/>
      <c r="E50" s="88"/>
      <c r="F50" s="4"/>
      <c r="G50" s="88"/>
      <c r="H50" s="88"/>
      <c r="I50" s="88"/>
      <c r="K50" s="88"/>
      <c r="M50" s="4"/>
      <c r="N50" s="4"/>
    </row>
    <row r="51" ht="15.75" customHeight="1">
      <c r="B51" s="88"/>
      <c r="C51" s="88"/>
      <c r="D51" s="88"/>
      <c r="E51" s="88"/>
      <c r="F51" s="4"/>
      <c r="G51" s="88"/>
      <c r="H51" s="88"/>
      <c r="I51" s="88"/>
      <c r="K51" s="88"/>
      <c r="M51" s="4"/>
      <c r="N51" s="4"/>
    </row>
    <row r="52" ht="15.75" customHeight="1">
      <c r="B52" s="88"/>
      <c r="C52" s="88"/>
      <c r="D52" s="88"/>
      <c r="E52" s="88"/>
      <c r="F52" s="4"/>
      <c r="G52" s="88"/>
      <c r="H52" s="88"/>
      <c r="I52" s="88"/>
      <c r="K52" s="88"/>
      <c r="M52" s="4"/>
      <c r="N52" s="4"/>
    </row>
    <row r="53" ht="15.75" customHeight="1">
      <c r="B53" s="88"/>
      <c r="C53" s="88"/>
      <c r="D53" s="88"/>
      <c r="E53" s="88"/>
      <c r="F53" s="4"/>
      <c r="G53" s="88"/>
      <c r="H53" s="88"/>
      <c r="I53" s="88"/>
      <c r="K53" s="88"/>
      <c r="M53" s="4"/>
      <c r="N53" s="4"/>
    </row>
    <row r="54" ht="15.75" customHeight="1">
      <c r="B54" s="88"/>
      <c r="C54" s="88"/>
      <c r="D54" s="88"/>
      <c r="E54" s="88"/>
      <c r="F54" s="4"/>
      <c r="G54" s="88"/>
      <c r="H54" s="88"/>
      <c r="I54" s="88"/>
      <c r="K54" s="88"/>
      <c r="M54" s="4"/>
      <c r="N54" s="4"/>
    </row>
    <row r="55" ht="15.75" customHeight="1">
      <c r="B55" s="88"/>
      <c r="C55" s="88"/>
      <c r="D55" s="88"/>
      <c r="E55" s="88"/>
      <c r="F55" s="4"/>
      <c r="G55" s="88"/>
      <c r="H55" s="88"/>
      <c r="I55" s="88"/>
      <c r="K55" s="88"/>
      <c r="M55" s="4"/>
      <c r="N55" s="4"/>
    </row>
    <row r="56" ht="15.75" customHeight="1">
      <c r="B56" s="88"/>
      <c r="C56" s="88"/>
      <c r="D56" s="88"/>
      <c r="E56" s="88"/>
      <c r="F56" s="4"/>
      <c r="G56" s="88"/>
      <c r="H56" s="88"/>
      <c r="I56" s="88"/>
      <c r="K56" s="88"/>
      <c r="M56" s="4"/>
      <c r="N56" s="4"/>
    </row>
    <row r="57" ht="15.75" customHeight="1">
      <c r="B57" s="88"/>
      <c r="C57" s="88"/>
      <c r="D57" s="88"/>
      <c r="E57" s="88"/>
      <c r="F57" s="4"/>
      <c r="G57" s="88"/>
      <c r="H57" s="88"/>
      <c r="I57" s="88"/>
      <c r="K57" s="88"/>
      <c r="M57" s="4"/>
      <c r="N57" s="4"/>
    </row>
    <row r="58" ht="15.75" customHeight="1">
      <c r="B58" s="88"/>
      <c r="C58" s="88"/>
      <c r="D58" s="88"/>
      <c r="E58" s="88"/>
      <c r="F58" s="4"/>
      <c r="G58" s="88"/>
      <c r="H58" s="88"/>
      <c r="I58" s="88"/>
      <c r="K58" s="88"/>
      <c r="M58" s="4"/>
      <c r="N58" s="4"/>
    </row>
    <row r="59" ht="15.75" customHeight="1">
      <c r="B59" s="88"/>
      <c r="C59" s="88"/>
      <c r="D59" s="88"/>
      <c r="E59" s="88"/>
      <c r="F59" s="4"/>
      <c r="G59" s="88"/>
      <c r="H59" s="88"/>
      <c r="I59" s="88"/>
      <c r="K59" s="88"/>
      <c r="M59" s="4"/>
      <c r="N59" s="4"/>
    </row>
    <row r="60" ht="15.75" customHeight="1">
      <c r="B60" s="88"/>
      <c r="C60" s="88"/>
      <c r="D60" s="88"/>
      <c r="E60" s="88"/>
      <c r="F60" s="4"/>
      <c r="G60" s="88"/>
      <c r="H60" s="88"/>
      <c r="I60" s="88"/>
      <c r="K60" s="88"/>
      <c r="M60" s="4"/>
      <c r="N60" s="4"/>
    </row>
    <row r="61" ht="15.75" customHeight="1">
      <c r="B61" s="88"/>
      <c r="C61" s="88"/>
      <c r="D61" s="88"/>
      <c r="E61" s="88"/>
      <c r="F61" s="4"/>
      <c r="G61" s="88"/>
      <c r="H61" s="88"/>
      <c r="I61" s="88"/>
      <c r="K61" s="88"/>
      <c r="M61" s="4"/>
      <c r="N61" s="4"/>
    </row>
    <row r="62" ht="15.75" customHeight="1">
      <c r="B62" s="88"/>
      <c r="C62" s="88"/>
      <c r="D62" s="88"/>
      <c r="E62" s="88"/>
      <c r="F62" s="4"/>
      <c r="G62" s="88"/>
      <c r="H62" s="88"/>
      <c r="I62" s="88"/>
      <c r="K62" s="88"/>
      <c r="M62" s="4"/>
      <c r="N62" s="4"/>
    </row>
    <row r="63" ht="15.75" customHeight="1">
      <c r="B63" s="88"/>
      <c r="C63" s="88"/>
      <c r="D63" s="88"/>
      <c r="E63" s="88"/>
      <c r="F63" s="4"/>
      <c r="G63" s="88"/>
      <c r="H63" s="88"/>
      <c r="I63" s="88"/>
      <c r="K63" s="88"/>
      <c r="M63" s="4"/>
      <c r="N63" s="4"/>
    </row>
    <row r="64" ht="15.75" customHeight="1">
      <c r="B64" s="88"/>
      <c r="C64" s="88"/>
      <c r="D64" s="88"/>
      <c r="E64" s="88"/>
      <c r="F64" s="4"/>
      <c r="G64" s="88"/>
      <c r="H64" s="88"/>
      <c r="I64" s="88"/>
      <c r="K64" s="88"/>
      <c r="M64" s="4"/>
      <c r="N64" s="4"/>
    </row>
    <row r="65" ht="15.75" customHeight="1">
      <c r="B65" s="88"/>
      <c r="C65" s="88"/>
      <c r="D65" s="88"/>
      <c r="E65" s="88"/>
      <c r="F65" s="4"/>
      <c r="G65" s="88"/>
      <c r="H65" s="88"/>
      <c r="I65" s="88"/>
      <c r="K65" s="88"/>
      <c r="M65" s="4"/>
      <c r="N65" s="4"/>
    </row>
    <row r="66" ht="15.75" customHeight="1">
      <c r="B66" s="88"/>
      <c r="C66" s="88"/>
      <c r="D66" s="88"/>
      <c r="E66" s="88"/>
      <c r="F66" s="4"/>
      <c r="G66" s="88"/>
      <c r="H66" s="88"/>
      <c r="I66" s="88"/>
      <c r="K66" s="88"/>
      <c r="M66" s="4"/>
      <c r="N66" s="4"/>
    </row>
    <row r="67" ht="15.75" customHeight="1">
      <c r="B67" s="88"/>
      <c r="C67" s="88"/>
      <c r="D67" s="88"/>
      <c r="E67" s="88"/>
      <c r="F67" s="4"/>
      <c r="G67" s="88"/>
      <c r="H67" s="88"/>
      <c r="I67" s="88"/>
      <c r="K67" s="88"/>
      <c r="M67" s="4"/>
      <c r="N67" s="4"/>
    </row>
    <row r="68" ht="15.75" customHeight="1">
      <c r="B68" s="88"/>
      <c r="C68" s="88"/>
      <c r="D68" s="88"/>
      <c r="E68" s="88"/>
      <c r="F68" s="4"/>
      <c r="G68" s="88"/>
      <c r="H68" s="88"/>
      <c r="I68" s="88"/>
      <c r="K68" s="88"/>
      <c r="M68" s="4"/>
      <c r="N68" s="4"/>
    </row>
    <row r="69" ht="15.75" customHeight="1">
      <c r="B69" s="88"/>
      <c r="C69" s="88"/>
      <c r="D69" s="88"/>
      <c r="E69" s="88"/>
      <c r="F69" s="4"/>
      <c r="G69" s="88"/>
      <c r="H69" s="88"/>
      <c r="I69" s="88"/>
      <c r="K69" s="88"/>
      <c r="M69" s="4"/>
      <c r="N69" s="4"/>
    </row>
    <row r="70" ht="15.75" customHeight="1">
      <c r="B70" s="88"/>
      <c r="C70" s="88"/>
      <c r="D70" s="88"/>
      <c r="E70" s="88"/>
      <c r="F70" s="4"/>
      <c r="G70" s="88"/>
      <c r="H70" s="88"/>
      <c r="I70" s="88"/>
      <c r="K70" s="88"/>
      <c r="M70" s="4"/>
      <c r="N70" s="4"/>
    </row>
    <row r="71" ht="15.75" customHeight="1">
      <c r="B71" s="88"/>
      <c r="C71" s="88"/>
      <c r="D71" s="88"/>
      <c r="E71" s="88"/>
      <c r="F71" s="4"/>
      <c r="G71" s="88"/>
      <c r="H71" s="88"/>
      <c r="I71" s="88"/>
      <c r="K71" s="88"/>
      <c r="M71" s="4"/>
      <c r="N71" s="4"/>
    </row>
    <row r="72" ht="15.75" customHeight="1">
      <c r="B72" s="88"/>
      <c r="C72" s="88"/>
      <c r="D72" s="88"/>
      <c r="E72" s="88"/>
      <c r="F72" s="4"/>
      <c r="G72" s="88"/>
      <c r="H72" s="88"/>
      <c r="I72" s="88"/>
      <c r="K72" s="88"/>
      <c r="M72" s="4"/>
      <c r="N72" s="4"/>
    </row>
    <row r="73" ht="15.75" customHeight="1">
      <c r="B73" s="88"/>
      <c r="C73" s="88"/>
      <c r="D73" s="88"/>
      <c r="E73" s="88"/>
      <c r="F73" s="4"/>
      <c r="G73" s="88"/>
      <c r="H73" s="88"/>
      <c r="I73" s="88"/>
      <c r="K73" s="88"/>
      <c r="M73" s="4"/>
      <c r="N73" s="4"/>
    </row>
    <row r="74" ht="15.75" customHeight="1">
      <c r="B74" s="88"/>
      <c r="C74" s="88"/>
      <c r="D74" s="88"/>
      <c r="E74" s="88"/>
      <c r="F74" s="4"/>
      <c r="G74" s="88"/>
      <c r="H74" s="88"/>
      <c r="I74" s="88"/>
      <c r="K74" s="88"/>
      <c r="M74" s="4"/>
      <c r="N74" s="4"/>
    </row>
    <row r="75" ht="15.75" customHeight="1">
      <c r="B75" s="88"/>
      <c r="C75" s="88"/>
      <c r="D75" s="88"/>
      <c r="E75" s="88"/>
      <c r="F75" s="4"/>
      <c r="G75" s="88"/>
      <c r="H75" s="88"/>
      <c r="I75" s="88"/>
      <c r="K75" s="88"/>
      <c r="M75" s="4"/>
      <c r="N75" s="4"/>
    </row>
    <row r="76" ht="15.75" customHeight="1">
      <c r="B76" s="88"/>
      <c r="C76" s="88"/>
      <c r="D76" s="88"/>
      <c r="E76" s="88"/>
      <c r="F76" s="4"/>
      <c r="G76" s="88"/>
      <c r="H76" s="88"/>
      <c r="I76" s="88"/>
      <c r="K76" s="88"/>
      <c r="M76" s="4"/>
      <c r="N76" s="4"/>
    </row>
    <row r="77" ht="15.75" customHeight="1">
      <c r="B77" s="88"/>
      <c r="C77" s="88"/>
      <c r="D77" s="88"/>
      <c r="E77" s="88"/>
      <c r="F77" s="4"/>
      <c r="G77" s="88"/>
      <c r="H77" s="88"/>
      <c r="I77" s="88"/>
      <c r="K77" s="88"/>
      <c r="M77" s="4"/>
      <c r="N77" s="4"/>
    </row>
    <row r="78" ht="15.75" customHeight="1">
      <c r="B78" s="88"/>
      <c r="C78" s="88"/>
      <c r="D78" s="88"/>
      <c r="E78" s="88"/>
      <c r="F78" s="4"/>
      <c r="G78" s="88"/>
      <c r="H78" s="88"/>
      <c r="I78" s="88"/>
      <c r="K78" s="88"/>
      <c r="M78" s="4"/>
      <c r="N78" s="4"/>
    </row>
    <row r="79" ht="15.75" customHeight="1">
      <c r="B79" s="88"/>
      <c r="C79" s="88"/>
      <c r="D79" s="88"/>
      <c r="E79" s="88"/>
      <c r="F79" s="4"/>
      <c r="G79" s="88"/>
      <c r="H79" s="88"/>
      <c r="I79" s="88"/>
      <c r="K79" s="88"/>
      <c r="M79" s="4"/>
      <c r="N79" s="4"/>
    </row>
    <row r="80" ht="15.75" customHeight="1">
      <c r="B80" s="88"/>
      <c r="C80" s="88"/>
      <c r="D80" s="88"/>
      <c r="E80" s="88"/>
      <c r="F80" s="4"/>
      <c r="G80" s="88"/>
      <c r="H80" s="88"/>
      <c r="I80" s="88"/>
      <c r="K80" s="88"/>
      <c r="M80" s="4"/>
      <c r="N80" s="4"/>
    </row>
    <row r="81" ht="15.75" customHeight="1">
      <c r="B81" s="88"/>
      <c r="C81" s="88"/>
      <c r="D81" s="88"/>
      <c r="E81" s="88"/>
      <c r="F81" s="4"/>
      <c r="G81" s="88"/>
      <c r="H81" s="88"/>
      <c r="I81" s="88"/>
      <c r="K81" s="88"/>
      <c r="M81" s="4"/>
      <c r="N81" s="4"/>
    </row>
    <row r="82" ht="15.75" customHeight="1">
      <c r="B82" s="88"/>
      <c r="C82" s="88"/>
      <c r="D82" s="88"/>
      <c r="E82" s="88"/>
      <c r="F82" s="4"/>
      <c r="G82" s="88"/>
      <c r="H82" s="88"/>
      <c r="I82" s="88"/>
      <c r="K82" s="88"/>
      <c r="M82" s="4"/>
      <c r="N82" s="4"/>
    </row>
    <row r="83" ht="15.75" customHeight="1">
      <c r="B83" s="88"/>
      <c r="C83" s="88"/>
      <c r="D83" s="88"/>
      <c r="E83" s="88"/>
      <c r="F83" s="4"/>
      <c r="G83" s="88"/>
      <c r="H83" s="88"/>
      <c r="I83" s="88"/>
      <c r="K83" s="88"/>
      <c r="M83" s="4"/>
      <c r="N83" s="4"/>
    </row>
    <row r="84" ht="15.75" customHeight="1">
      <c r="B84" s="88"/>
      <c r="C84" s="88"/>
      <c r="D84" s="88"/>
      <c r="E84" s="88"/>
      <c r="F84" s="4"/>
      <c r="G84" s="88"/>
      <c r="H84" s="88"/>
      <c r="I84" s="88"/>
      <c r="K84" s="88"/>
      <c r="M84" s="4"/>
      <c r="N84" s="4"/>
    </row>
    <row r="85" ht="15.75" customHeight="1">
      <c r="B85" s="88"/>
      <c r="C85" s="88"/>
      <c r="D85" s="88"/>
      <c r="E85" s="88"/>
      <c r="F85" s="4"/>
      <c r="G85" s="88"/>
      <c r="H85" s="88"/>
      <c r="I85" s="88"/>
      <c r="K85" s="88"/>
      <c r="M85" s="4"/>
      <c r="N85" s="4"/>
    </row>
    <row r="86" ht="15.75" customHeight="1">
      <c r="B86" s="88"/>
      <c r="C86" s="88"/>
      <c r="D86" s="88"/>
      <c r="E86" s="88"/>
      <c r="F86" s="4"/>
      <c r="G86" s="88"/>
      <c r="H86" s="88"/>
      <c r="I86" s="88"/>
      <c r="K86" s="88"/>
      <c r="M86" s="4"/>
      <c r="N86" s="4"/>
    </row>
    <row r="87" ht="15.75" customHeight="1">
      <c r="B87" s="88"/>
      <c r="C87" s="88"/>
      <c r="D87" s="88"/>
      <c r="E87" s="88"/>
      <c r="F87" s="4"/>
      <c r="G87" s="88"/>
      <c r="H87" s="88"/>
      <c r="I87" s="88"/>
      <c r="K87" s="88"/>
      <c r="M87" s="4"/>
      <c r="N87" s="4"/>
    </row>
    <row r="88" ht="15.75" customHeight="1">
      <c r="B88" s="88"/>
      <c r="C88" s="88"/>
      <c r="D88" s="88"/>
      <c r="E88" s="88"/>
      <c r="F88" s="4"/>
      <c r="G88" s="88"/>
      <c r="H88" s="88"/>
      <c r="I88" s="88"/>
      <c r="K88" s="88"/>
      <c r="M88" s="4"/>
      <c r="N88" s="4"/>
    </row>
    <row r="89" ht="15.75" customHeight="1">
      <c r="B89" s="88"/>
      <c r="C89" s="88"/>
      <c r="D89" s="88"/>
      <c r="E89" s="88"/>
      <c r="F89" s="4"/>
      <c r="G89" s="88"/>
      <c r="H89" s="88"/>
      <c r="I89" s="88"/>
      <c r="K89" s="88"/>
      <c r="M89" s="4"/>
      <c r="N89" s="4"/>
    </row>
    <row r="90" ht="15.75" customHeight="1">
      <c r="B90" s="88"/>
      <c r="C90" s="88"/>
      <c r="D90" s="88"/>
      <c r="E90" s="88"/>
      <c r="F90" s="4"/>
      <c r="G90" s="88"/>
      <c r="H90" s="88"/>
      <c r="I90" s="88"/>
      <c r="K90" s="88"/>
      <c r="M90" s="4"/>
      <c r="N90" s="4"/>
    </row>
    <row r="91" ht="15.75" customHeight="1">
      <c r="B91" s="88"/>
      <c r="C91" s="88"/>
      <c r="D91" s="88"/>
      <c r="E91" s="88"/>
      <c r="F91" s="4"/>
      <c r="G91" s="88"/>
      <c r="H91" s="88"/>
      <c r="I91" s="88"/>
      <c r="K91" s="88"/>
      <c r="M91" s="4"/>
      <c r="N91" s="4"/>
    </row>
    <row r="92" ht="15.75" customHeight="1">
      <c r="B92" s="88"/>
      <c r="C92" s="88"/>
      <c r="D92" s="88"/>
      <c r="E92" s="88"/>
      <c r="F92" s="4"/>
      <c r="G92" s="88"/>
      <c r="H92" s="88"/>
      <c r="I92" s="88"/>
      <c r="K92" s="88"/>
      <c r="M92" s="4"/>
      <c r="N92" s="4"/>
    </row>
    <row r="93" ht="15.75" customHeight="1">
      <c r="B93" s="88"/>
      <c r="C93" s="88"/>
      <c r="D93" s="88"/>
      <c r="E93" s="88"/>
      <c r="F93" s="4"/>
      <c r="G93" s="88"/>
      <c r="H93" s="88"/>
      <c r="I93" s="88"/>
      <c r="K93" s="88"/>
      <c r="M93" s="4"/>
      <c r="N93" s="4"/>
    </row>
    <row r="94" ht="15.75" customHeight="1">
      <c r="B94" s="88"/>
      <c r="C94" s="88"/>
      <c r="D94" s="88"/>
      <c r="E94" s="88"/>
      <c r="F94" s="4"/>
      <c r="G94" s="88"/>
      <c r="H94" s="88"/>
      <c r="I94" s="88"/>
      <c r="K94" s="88"/>
      <c r="M94" s="4"/>
      <c r="N94" s="4"/>
    </row>
    <row r="95" ht="15.75" customHeight="1">
      <c r="B95" s="88"/>
      <c r="C95" s="88"/>
      <c r="D95" s="88"/>
      <c r="E95" s="88"/>
      <c r="F95" s="4"/>
      <c r="G95" s="88"/>
      <c r="H95" s="88"/>
      <c r="I95" s="88"/>
      <c r="K95" s="88"/>
      <c r="M95" s="4"/>
      <c r="N95" s="4"/>
    </row>
    <row r="96" ht="15.75" customHeight="1">
      <c r="B96" s="88"/>
      <c r="C96" s="88"/>
      <c r="D96" s="88"/>
      <c r="E96" s="88"/>
      <c r="F96" s="4"/>
      <c r="G96" s="88"/>
      <c r="H96" s="88"/>
      <c r="I96" s="88"/>
      <c r="K96" s="88"/>
      <c r="M96" s="4"/>
      <c r="N96" s="4"/>
    </row>
    <row r="97" ht="15.75" customHeight="1">
      <c r="B97" s="88"/>
      <c r="C97" s="88"/>
      <c r="D97" s="88"/>
      <c r="E97" s="88"/>
      <c r="F97" s="4"/>
      <c r="G97" s="88"/>
      <c r="H97" s="88"/>
      <c r="I97" s="88"/>
      <c r="K97" s="88"/>
      <c r="M97" s="4"/>
      <c r="N97" s="4"/>
    </row>
    <row r="98" ht="15.75" customHeight="1">
      <c r="B98" s="88"/>
      <c r="C98" s="88"/>
      <c r="D98" s="88"/>
      <c r="E98" s="88"/>
      <c r="F98" s="4"/>
      <c r="G98" s="88"/>
      <c r="H98" s="88"/>
      <c r="I98" s="88"/>
      <c r="K98" s="88"/>
      <c r="M98" s="4"/>
      <c r="N98" s="4"/>
    </row>
    <row r="99" ht="15.75" customHeight="1">
      <c r="B99" s="88"/>
      <c r="C99" s="88"/>
      <c r="D99" s="88"/>
      <c r="E99" s="88"/>
      <c r="F99" s="4"/>
      <c r="G99" s="88"/>
      <c r="H99" s="88"/>
      <c r="I99" s="88"/>
      <c r="K99" s="88"/>
      <c r="M99" s="4"/>
      <c r="N99" s="4"/>
    </row>
    <row r="100" ht="15.75" customHeight="1">
      <c r="B100" s="88"/>
      <c r="C100" s="88"/>
      <c r="D100" s="88"/>
      <c r="E100" s="88"/>
      <c r="F100" s="4"/>
      <c r="G100" s="88"/>
      <c r="H100" s="88"/>
      <c r="I100" s="88"/>
      <c r="K100" s="88"/>
      <c r="M100" s="4"/>
      <c r="N100" s="4"/>
    </row>
    <row r="101" ht="15.75" customHeight="1">
      <c r="B101" s="88"/>
      <c r="C101" s="88"/>
      <c r="D101" s="88"/>
      <c r="E101" s="88"/>
      <c r="F101" s="4"/>
      <c r="G101" s="88"/>
      <c r="H101" s="88"/>
      <c r="I101" s="88"/>
      <c r="K101" s="88"/>
      <c r="M101" s="4"/>
      <c r="N101" s="4"/>
    </row>
    <row r="102" ht="15.75" customHeight="1">
      <c r="B102" s="88"/>
      <c r="C102" s="88"/>
      <c r="D102" s="88"/>
      <c r="E102" s="88"/>
      <c r="F102" s="4"/>
      <c r="G102" s="88"/>
      <c r="H102" s="88"/>
      <c r="I102" s="88"/>
      <c r="K102" s="88"/>
      <c r="M102" s="4"/>
      <c r="N102" s="4"/>
    </row>
    <row r="103" ht="15.75" customHeight="1">
      <c r="B103" s="88"/>
      <c r="C103" s="88"/>
      <c r="D103" s="88"/>
      <c r="E103" s="88"/>
      <c r="F103" s="4"/>
      <c r="G103" s="88"/>
      <c r="H103" s="88"/>
      <c r="I103" s="88"/>
      <c r="K103" s="88"/>
      <c r="M103" s="4"/>
      <c r="N103" s="4"/>
    </row>
    <row r="104" ht="15.75" customHeight="1">
      <c r="B104" s="88"/>
      <c r="C104" s="88"/>
      <c r="D104" s="88"/>
      <c r="E104" s="88"/>
      <c r="F104" s="4"/>
      <c r="G104" s="88"/>
      <c r="H104" s="88"/>
      <c r="I104" s="88"/>
      <c r="K104" s="88"/>
      <c r="M104" s="4"/>
      <c r="N104" s="4"/>
    </row>
    <row r="105" ht="15.75" customHeight="1">
      <c r="B105" s="88"/>
      <c r="C105" s="88"/>
      <c r="D105" s="88"/>
      <c r="E105" s="88"/>
      <c r="F105" s="4"/>
      <c r="G105" s="88"/>
      <c r="H105" s="88"/>
      <c r="I105" s="88"/>
      <c r="K105" s="88"/>
      <c r="M105" s="4"/>
      <c r="N105" s="4"/>
    </row>
    <row r="106" ht="15.75" customHeight="1">
      <c r="B106" s="88"/>
      <c r="C106" s="88"/>
      <c r="D106" s="88"/>
      <c r="E106" s="88"/>
      <c r="F106" s="4"/>
      <c r="G106" s="88"/>
      <c r="H106" s="88"/>
      <c r="I106" s="88"/>
      <c r="K106" s="88"/>
      <c r="M106" s="4"/>
      <c r="N106" s="4"/>
    </row>
    <row r="107" ht="15.75" customHeight="1">
      <c r="B107" s="88"/>
      <c r="C107" s="88"/>
      <c r="D107" s="88"/>
      <c r="E107" s="88"/>
      <c r="F107" s="4"/>
      <c r="G107" s="88"/>
      <c r="H107" s="88"/>
      <c r="I107" s="88"/>
      <c r="K107" s="88"/>
      <c r="M107" s="4"/>
      <c r="N107" s="4"/>
    </row>
    <row r="108" ht="15.75" customHeight="1">
      <c r="B108" s="88"/>
      <c r="C108" s="88"/>
      <c r="D108" s="88"/>
      <c r="E108" s="88"/>
      <c r="F108" s="4"/>
      <c r="G108" s="88"/>
      <c r="H108" s="88"/>
      <c r="I108" s="88"/>
      <c r="K108" s="88"/>
      <c r="M108" s="4"/>
      <c r="N108" s="4"/>
    </row>
    <row r="109" ht="15.75" customHeight="1">
      <c r="B109" s="88"/>
      <c r="C109" s="88"/>
      <c r="D109" s="88"/>
      <c r="E109" s="88"/>
      <c r="F109" s="4"/>
      <c r="G109" s="88"/>
      <c r="H109" s="88"/>
      <c r="I109" s="88"/>
      <c r="K109" s="88"/>
      <c r="M109" s="4"/>
      <c r="N109" s="4"/>
    </row>
    <row r="110" ht="15.75" customHeight="1">
      <c r="B110" s="88"/>
      <c r="C110" s="88"/>
      <c r="D110" s="88"/>
      <c r="E110" s="88"/>
      <c r="F110" s="4"/>
      <c r="G110" s="88"/>
      <c r="H110" s="88"/>
      <c r="I110" s="88"/>
      <c r="K110" s="88"/>
      <c r="M110" s="4"/>
      <c r="N110" s="4"/>
    </row>
    <row r="111" ht="15.75" customHeight="1">
      <c r="B111" s="88"/>
      <c r="C111" s="88"/>
      <c r="D111" s="88"/>
      <c r="E111" s="88"/>
      <c r="F111" s="4"/>
      <c r="G111" s="88"/>
      <c r="H111" s="88"/>
      <c r="I111" s="88"/>
      <c r="K111" s="88"/>
      <c r="M111" s="4"/>
      <c r="N111" s="4"/>
    </row>
    <row r="112" ht="15.75" customHeight="1">
      <c r="B112" s="88"/>
      <c r="C112" s="88"/>
      <c r="D112" s="88"/>
      <c r="E112" s="88"/>
      <c r="F112" s="4"/>
      <c r="G112" s="88"/>
      <c r="H112" s="88"/>
      <c r="I112" s="88"/>
      <c r="K112" s="88"/>
      <c r="M112" s="4"/>
      <c r="N112" s="4"/>
    </row>
    <row r="113" ht="15.75" customHeight="1">
      <c r="B113" s="88"/>
      <c r="C113" s="88"/>
      <c r="D113" s="88"/>
      <c r="E113" s="88"/>
      <c r="F113" s="4"/>
      <c r="G113" s="88"/>
      <c r="H113" s="88"/>
      <c r="I113" s="88"/>
      <c r="K113" s="88"/>
      <c r="M113" s="4"/>
      <c r="N113" s="4"/>
    </row>
    <row r="114" ht="15.75" customHeight="1">
      <c r="B114" s="88"/>
      <c r="C114" s="88"/>
      <c r="D114" s="88"/>
      <c r="E114" s="88"/>
      <c r="F114" s="4"/>
      <c r="G114" s="88"/>
      <c r="H114" s="88"/>
      <c r="I114" s="88"/>
      <c r="K114" s="88"/>
      <c r="M114" s="4"/>
      <c r="N114" s="4"/>
    </row>
    <row r="115" ht="15.75" customHeight="1">
      <c r="B115" s="88"/>
      <c r="C115" s="88"/>
      <c r="D115" s="88"/>
      <c r="E115" s="88"/>
      <c r="F115" s="4"/>
      <c r="G115" s="88"/>
      <c r="H115" s="88"/>
      <c r="I115" s="88"/>
      <c r="K115" s="88"/>
      <c r="M115" s="4"/>
      <c r="N115" s="4"/>
    </row>
    <row r="116" ht="15.75" customHeight="1">
      <c r="B116" s="88"/>
      <c r="C116" s="88"/>
      <c r="D116" s="88"/>
      <c r="E116" s="88"/>
      <c r="F116" s="4"/>
      <c r="G116" s="88"/>
      <c r="H116" s="88"/>
      <c r="I116" s="88"/>
      <c r="K116" s="88"/>
      <c r="M116" s="4"/>
      <c r="N116" s="4"/>
    </row>
    <row r="117" ht="15.75" customHeight="1">
      <c r="B117" s="88"/>
      <c r="C117" s="88"/>
      <c r="D117" s="88"/>
      <c r="E117" s="88"/>
      <c r="F117" s="4"/>
      <c r="G117" s="88"/>
      <c r="H117" s="88"/>
      <c r="I117" s="88"/>
      <c r="K117" s="88"/>
      <c r="M117" s="4"/>
      <c r="N117" s="4"/>
    </row>
    <row r="118" ht="15.75" customHeight="1">
      <c r="B118" s="88"/>
      <c r="C118" s="88"/>
      <c r="D118" s="88"/>
      <c r="E118" s="88"/>
      <c r="F118" s="4"/>
      <c r="G118" s="88"/>
      <c r="H118" s="88"/>
      <c r="I118" s="88"/>
      <c r="K118" s="88"/>
      <c r="M118" s="4"/>
      <c r="N118" s="4"/>
    </row>
    <row r="119" ht="15.75" customHeight="1">
      <c r="B119" s="88"/>
      <c r="C119" s="88"/>
      <c r="D119" s="88"/>
      <c r="E119" s="88"/>
      <c r="F119" s="4"/>
      <c r="G119" s="88"/>
      <c r="H119" s="88"/>
      <c r="I119" s="88"/>
      <c r="K119" s="88"/>
      <c r="M119" s="4"/>
      <c r="N119" s="4"/>
    </row>
    <row r="120" ht="15.75" customHeight="1">
      <c r="B120" s="88"/>
      <c r="C120" s="88"/>
      <c r="D120" s="88"/>
      <c r="E120" s="88"/>
      <c r="F120" s="4"/>
      <c r="G120" s="88"/>
      <c r="H120" s="88"/>
      <c r="I120" s="88"/>
      <c r="K120" s="88"/>
      <c r="M120" s="4"/>
      <c r="N120" s="4"/>
    </row>
    <row r="121" ht="15.75" customHeight="1">
      <c r="B121" s="88"/>
      <c r="C121" s="88"/>
      <c r="D121" s="88"/>
      <c r="E121" s="88"/>
      <c r="F121" s="4"/>
      <c r="G121" s="88"/>
      <c r="H121" s="88"/>
      <c r="I121" s="88"/>
      <c r="K121" s="88"/>
      <c r="M121" s="4"/>
      <c r="N121" s="4"/>
    </row>
    <row r="122" ht="15.75" customHeight="1">
      <c r="B122" s="88"/>
      <c r="C122" s="88"/>
      <c r="D122" s="88"/>
      <c r="E122" s="88"/>
      <c r="F122" s="4"/>
      <c r="G122" s="88"/>
      <c r="H122" s="88"/>
      <c r="I122" s="88"/>
      <c r="K122" s="88"/>
      <c r="M122" s="4"/>
      <c r="N122" s="4"/>
    </row>
    <row r="123" ht="15.75" customHeight="1">
      <c r="B123" s="88"/>
      <c r="C123" s="88"/>
      <c r="D123" s="88"/>
      <c r="E123" s="88"/>
      <c r="F123" s="4"/>
      <c r="G123" s="88"/>
      <c r="H123" s="88"/>
      <c r="I123" s="88"/>
      <c r="K123" s="88"/>
      <c r="M123" s="4"/>
      <c r="N123" s="4"/>
    </row>
    <row r="124" ht="15.75" customHeight="1">
      <c r="B124" s="88"/>
      <c r="C124" s="88"/>
      <c r="D124" s="88"/>
      <c r="E124" s="88"/>
      <c r="F124" s="4"/>
      <c r="G124" s="88"/>
      <c r="H124" s="88"/>
      <c r="I124" s="88"/>
      <c r="K124" s="88"/>
      <c r="M124" s="4"/>
      <c r="N124" s="4"/>
    </row>
    <row r="125" ht="15.75" customHeight="1">
      <c r="B125" s="88"/>
      <c r="C125" s="88"/>
      <c r="D125" s="88"/>
      <c r="E125" s="88"/>
      <c r="F125" s="4"/>
      <c r="G125" s="88"/>
      <c r="H125" s="88"/>
      <c r="I125" s="88"/>
      <c r="K125" s="88"/>
      <c r="M125" s="4"/>
      <c r="N125" s="4"/>
    </row>
    <row r="126" ht="15.75" customHeight="1">
      <c r="B126" s="88"/>
      <c r="C126" s="88"/>
      <c r="D126" s="88"/>
      <c r="E126" s="88"/>
      <c r="F126" s="4"/>
      <c r="G126" s="88"/>
      <c r="H126" s="88"/>
      <c r="I126" s="88"/>
      <c r="K126" s="88"/>
      <c r="M126" s="4"/>
      <c r="N126" s="4"/>
    </row>
    <row r="127" ht="15.75" customHeight="1">
      <c r="B127" s="88"/>
      <c r="C127" s="88"/>
      <c r="D127" s="88"/>
      <c r="E127" s="88"/>
      <c r="F127" s="4"/>
      <c r="G127" s="88"/>
      <c r="H127" s="88"/>
      <c r="I127" s="88"/>
      <c r="K127" s="88"/>
      <c r="M127" s="4"/>
      <c r="N127" s="4"/>
    </row>
    <row r="128" ht="15.75" customHeight="1">
      <c r="B128" s="88"/>
      <c r="C128" s="88"/>
      <c r="D128" s="88"/>
      <c r="E128" s="88"/>
      <c r="F128" s="4"/>
      <c r="G128" s="88"/>
      <c r="H128" s="88"/>
      <c r="I128" s="88"/>
      <c r="K128" s="88"/>
      <c r="M128" s="4"/>
      <c r="N128" s="4"/>
    </row>
    <row r="129" ht="15.75" customHeight="1">
      <c r="B129" s="88"/>
      <c r="C129" s="88"/>
      <c r="D129" s="88"/>
      <c r="E129" s="88"/>
      <c r="F129" s="4"/>
      <c r="G129" s="88"/>
      <c r="H129" s="88"/>
      <c r="I129" s="88"/>
      <c r="K129" s="88"/>
      <c r="M129" s="4"/>
      <c r="N129" s="4"/>
    </row>
    <row r="130" ht="15.75" customHeight="1">
      <c r="B130" s="88"/>
      <c r="C130" s="88"/>
      <c r="D130" s="88"/>
      <c r="E130" s="88"/>
      <c r="F130" s="4"/>
      <c r="G130" s="88"/>
      <c r="H130" s="88"/>
      <c r="I130" s="88"/>
      <c r="K130" s="88"/>
      <c r="M130" s="4"/>
      <c r="N130" s="4"/>
    </row>
    <row r="131" ht="15.75" customHeight="1">
      <c r="B131" s="88"/>
      <c r="C131" s="88"/>
      <c r="D131" s="88"/>
      <c r="E131" s="88"/>
      <c r="F131" s="4"/>
      <c r="G131" s="88"/>
      <c r="H131" s="88"/>
      <c r="I131" s="88"/>
      <c r="K131" s="88"/>
      <c r="M131" s="4"/>
      <c r="N131" s="4"/>
    </row>
    <row r="132" ht="15.75" customHeight="1">
      <c r="B132" s="88"/>
      <c r="C132" s="88"/>
      <c r="D132" s="88"/>
      <c r="E132" s="88"/>
      <c r="F132" s="4"/>
      <c r="G132" s="88"/>
      <c r="H132" s="88"/>
      <c r="I132" s="88"/>
      <c r="K132" s="88"/>
      <c r="M132" s="4"/>
      <c r="N132" s="4"/>
    </row>
    <row r="133" ht="15.75" customHeight="1">
      <c r="B133" s="88"/>
      <c r="C133" s="88"/>
      <c r="D133" s="88"/>
      <c r="E133" s="88"/>
      <c r="F133" s="4"/>
      <c r="G133" s="88"/>
      <c r="H133" s="88"/>
      <c r="I133" s="88"/>
      <c r="K133" s="88"/>
      <c r="M133" s="4"/>
      <c r="N133" s="4"/>
    </row>
    <row r="134" ht="15.75" customHeight="1">
      <c r="B134" s="88"/>
      <c r="C134" s="88"/>
      <c r="D134" s="88"/>
      <c r="E134" s="88"/>
      <c r="F134" s="4"/>
      <c r="G134" s="88"/>
      <c r="H134" s="88"/>
      <c r="I134" s="88"/>
      <c r="K134" s="88"/>
      <c r="M134" s="4"/>
      <c r="N134" s="4"/>
    </row>
    <row r="135" ht="15.75" customHeight="1">
      <c r="B135" s="88"/>
      <c r="C135" s="88"/>
      <c r="D135" s="88"/>
      <c r="E135" s="88"/>
      <c r="F135" s="4"/>
      <c r="G135" s="88"/>
      <c r="H135" s="88"/>
      <c r="I135" s="88"/>
      <c r="K135" s="88"/>
      <c r="M135" s="4"/>
      <c r="N135" s="4"/>
    </row>
    <row r="136" ht="15.75" customHeight="1">
      <c r="B136" s="88"/>
      <c r="C136" s="88"/>
      <c r="D136" s="88"/>
      <c r="E136" s="88"/>
      <c r="F136" s="4"/>
      <c r="G136" s="88"/>
      <c r="H136" s="88"/>
      <c r="I136" s="88"/>
      <c r="K136" s="88"/>
      <c r="M136" s="4"/>
      <c r="N136" s="4"/>
    </row>
    <row r="137" ht="15.75" customHeight="1">
      <c r="B137" s="88"/>
      <c r="C137" s="88"/>
      <c r="D137" s="88"/>
      <c r="E137" s="88"/>
      <c r="F137" s="4"/>
      <c r="G137" s="88"/>
      <c r="H137" s="88"/>
      <c r="I137" s="88"/>
      <c r="K137" s="88"/>
      <c r="M137" s="4"/>
      <c r="N137" s="4"/>
    </row>
    <row r="138" ht="15.75" customHeight="1">
      <c r="B138" s="88"/>
      <c r="C138" s="88"/>
      <c r="D138" s="88"/>
      <c r="E138" s="88"/>
      <c r="F138" s="4"/>
      <c r="G138" s="88"/>
      <c r="H138" s="88"/>
      <c r="I138" s="88"/>
      <c r="K138" s="88"/>
      <c r="M138" s="4"/>
      <c r="N138" s="4"/>
    </row>
    <row r="139" ht="15.75" customHeight="1">
      <c r="B139" s="88"/>
      <c r="C139" s="88"/>
      <c r="D139" s="88"/>
      <c r="E139" s="88"/>
      <c r="F139" s="4"/>
      <c r="G139" s="88"/>
      <c r="H139" s="88"/>
      <c r="I139" s="88"/>
      <c r="K139" s="88"/>
      <c r="M139" s="4"/>
      <c r="N139" s="4"/>
    </row>
    <row r="140" ht="15.75" customHeight="1">
      <c r="B140" s="88"/>
      <c r="C140" s="88"/>
      <c r="D140" s="88"/>
      <c r="E140" s="88"/>
      <c r="F140" s="4"/>
      <c r="G140" s="88"/>
      <c r="H140" s="88"/>
      <c r="I140" s="88"/>
      <c r="K140" s="88"/>
      <c r="M140" s="4"/>
      <c r="N140" s="4"/>
    </row>
    <row r="141" ht="15.75" customHeight="1">
      <c r="B141" s="88"/>
      <c r="C141" s="88"/>
      <c r="D141" s="88"/>
      <c r="E141" s="88"/>
      <c r="F141" s="4"/>
      <c r="G141" s="88"/>
      <c r="H141" s="88"/>
      <c r="I141" s="88"/>
      <c r="K141" s="88"/>
      <c r="M141" s="4"/>
      <c r="N141" s="4"/>
    </row>
    <row r="142" ht="15.75" customHeight="1">
      <c r="B142" s="88"/>
      <c r="C142" s="88"/>
      <c r="D142" s="88"/>
      <c r="E142" s="88"/>
      <c r="F142" s="4"/>
      <c r="G142" s="88"/>
      <c r="H142" s="88"/>
      <c r="I142" s="88"/>
      <c r="K142" s="88"/>
      <c r="M142" s="4"/>
      <c r="N142" s="4"/>
    </row>
    <row r="143" ht="15.75" customHeight="1">
      <c r="B143" s="88"/>
      <c r="C143" s="88"/>
      <c r="D143" s="88"/>
      <c r="E143" s="88"/>
      <c r="F143" s="4"/>
      <c r="G143" s="88"/>
      <c r="H143" s="88"/>
      <c r="I143" s="88"/>
      <c r="K143" s="88"/>
      <c r="M143" s="4"/>
      <c r="N143" s="4"/>
    </row>
    <row r="144" ht="15.75" customHeight="1">
      <c r="B144" s="88"/>
      <c r="C144" s="88"/>
      <c r="D144" s="88"/>
      <c r="E144" s="88"/>
      <c r="F144" s="4"/>
      <c r="G144" s="88"/>
      <c r="H144" s="88"/>
      <c r="I144" s="88"/>
      <c r="K144" s="88"/>
      <c r="M144" s="4"/>
      <c r="N144" s="4"/>
    </row>
    <row r="145" ht="15.75" customHeight="1">
      <c r="B145" s="88"/>
      <c r="C145" s="88"/>
      <c r="D145" s="88"/>
      <c r="E145" s="88"/>
      <c r="F145" s="4"/>
      <c r="G145" s="88"/>
      <c r="H145" s="88"/>
      <c r="I145" s="88"/>
      <c r="K145" s="88"/>
      <c r="M145" s="4"/>
      <c r="N145" s="4"/>
    </row>
    <row r="146" ht="15.75" customHeight="1">
      <c r="B146" s="88"/>
      <c r="C146" s="88"/>
      <c r="D146" s="88"/>
      <c r="E146" s="88"/>
      <c r="F146" s="4"/>
      <c r="G146" s="88"/>
      <c r="H146" s="88"/>
      <c r="I146" s="88"/>
      <c r="K146" s="88"/>
      <c r="M146" s="4"/>
      <c r="N146" s="4"/>
    </row>
    <row r="147" ht="15.75" customHeight="1">
      <c r="B147" s="88"/>
      <c r="C147" s="88"/>
      <c r="D147" s="88"/>
      <c r="E147" s="88"/>
      <c r="F147" s="4"/>
      <c r="G147" s="88"/>
      <c r="H147" s="88"/>
      <c r="I147" s="88"/>
      <c r="K147" s="88"/>
      <c r="M147" s="4"/>
      <c r="N147" s="4"/>
    </row>
    <row r="148" ht="15.75" customHeight="1">
      <c r="B148" s="88"/>
      <c r="C148" s="88"/>
      <c r="D148" s="88"/>
      <c r="E148" s="88"/>
      <c r="F148" s="4"/>
      <c r="G148" s="88"/>
      <c r="H148" s="88"/>
      <c r="I148" s="88"/>
      <c r="K148" s="88"/>
      <c r="M148" s="4"/>
      <c r="N148" s="4"/>
    </row>
    <row r="149" ht="15.75" customHeight="1">
      <c r="B149" s="88"/>
      <c r="C149" s="88"/>
      <c r="D149" s="88"/>
      <c r="E149" s="88"/>
      <c r="F149" s="4"/>
      <c r="G149" s="88"/>
      <c r="H149" s="88"/>
      <c r="I149" s="88"/>
      <c r="K149" s="88"/>
      <c r="M149" s="4"/>
      <c r="N149" s="4"/>
    </row>
    <row r="150" ht="15.75" customHeight="1">
      <c r="B150" s="88"/>
      <c r="C150" s="88"/>
      <c r="D150" s="88"/>
      <c r="E150" s="88"/>
      <c r="F150" s="4"/>
      <c r="G150" s="88"/>
      <c r="H150" s="88"/>
      <c r="I150" s="88"/>
      <c r="K150" s="88"/>
      <c r="M150" s="4"/>
      <c r="N150" s="4"/>
    </row>
    <row r="151" ht="15.75" customHeight="1">
      <c r="B151" s="88"/>
      <c r="C151" s="88"/>
      <c r="D151" s="88"/>
      <c r="E151" s="88"/>
      <c r="F151" s="4"/>
      <c r="G151" s="88"/>
      <c r="H151" s="88"/>
      <c r="I151" s="88"/>
      <c r="K151" s="88"/>
      <c r="M151" s="4"/>
      <c r="N151" s="4"/>
    </row>
    <row r="152" ht="15.75" customHeight="1">
      <c r="B152" s="88"/>
      <c r="C152" s="88"/>
      <c r="D152" s="88"/>
      <c r="E152" s="88"/>
      <c r="F152" s="4"/>
      <c r="G152" s="88"/>
      <c r="H152" s="88"/>
      <c r="I152" s="88"/>
      <c r="K152" s="88"/>
      <c r="M152" s="4"/>
      <c r="N152" s="4"/>
    </row>
    <row r="153" ht="15.75" customHeight="1">
      <c r="B153" s="88"/>
      <c r="C153" s="88"/>
      <c r="D153" s="88"/>
      <c r="E153" s="88"/>
      <c r="F153" s="4"/>
      <c r="G153" s="88"/>
      <c r="H153" s="88"/>
      <c r="I153" s="88"/>
      <c r="K153" s="88"/>
      <c r="M153" s="4"/>
      <c r="N153" s="4"/>
    </row>
    <row r="154" ht="15.75" customHeight="1">
      <c r="B154" s="88"/>
      <c r="C154" s="88"/>
      <c r="D154" s="88"/>
      <c r="E154" s="88"/>
      <c r="F154" s="4"/>
      <c r="G154" s="88"/>
      <c r="H154" s="88"/>
      <c r="I154" s="88"/>
      <c r="K154" s="88"/>
      <c r="M154" s="4"/>
      <c r="N154" s="4"/>
    </row>
    <row r="155" ht="15.75" customHeight="1">
      <c r="B155" s="88"/>
      <c r="C155" s="88"/>
      <c r="D155" s="88"/>
      <c r="E155" s="88"/>
      <c r="F155" s="4"/>
      <c r="G155" s="88"/>
      <c r="H155" s="88"/>
      <c r="I155" s="88"/>
      <c r="K155" s="88"/>
      <c r="M155" s="4"/>
      <c r="N155" s="4"/>
    </row>
    <row r="156" ht="15.75" customHeight="1">
      <c r="B156" s="88"/>
      <c r="C156" s="88"/>
      <c r="D156" s="88"/>
      <c r="E156" s="88"/>
      <c r="F156" s="4"/>
      <c r="G156" s="88"/>
      <c r="H156" s="88"/>
      <c r="I156" s="88"/>
      <c r="K156" s="88"/>
      <c r="M156" s="4"/>
      <c r="N156" s="4"/>
    </row>
    <row r="157" ht="15.75" customHeight="1">
      <c r="B157" s="88"/>
      <c r="C157" s="88"/>
      <c r="D157" s="88"/>
      <c r="E157" s="88"/>
      <c r="F157" s="4"/>
      <c r="G157" s="88"/>
      <c r="H157" s="88"/>
      <c r="I157" s="88"/>
      <c r="K157" s="88"/>
      <c r="M157" s="4"/>
      <c r="N157" s="4"/>
    </row>
    <row r="158" ht="15.75" customHeight="1">
      <c r="B158" s="88"/>
      <c r="C158" s="88"/>
      <c r="D158" s="88"/>
      <c r="E158" s="88"/>
      <c r="F158" s="4"/>
      <c r="G158" s="88"/>
      <c r="H158" s="88"/>
      <c r="I158" s="88"/>
      <c r="K158" s="88"/>
      <c r="M158" s="4"/>
      <c r="N158" s="4"/>
    </row>
    <row r="159" ht="15.75" customHeight="1">
      <c r="B159" s="88"/>
      <c r="C159" s="88"/>
      <c r="D159" s="88"/>
      <c r="E159" s="88"/>
      <c r="F159" s="4"/>
      <c r="G159" s="88"/>
      <c r="H159" s="88"/>
      <c r="I159" s="88"/>
      <c r="K159" s="88"/>
      <c r="M159" s="4"/>
      <c r="N159" s="4"/>
    </row>
    <row r="160" ht="15.75" customHeight="1">
      <c r="B160" s="88"/>
      <c r="C160" s="88"/>
      <c r="D160" s="88"/>
      <c r="E160" s="88"/>
      <c r="F160" s="4"/>
      <c r="G160" s="88"/>
      <c r="H160" s="88"/>
      <c r="I160" s="88"/>
      <c r="K160" s="88"/>
      <c r="M160" s="4"/>
      <c r="N160" s="4"/>
    </row>
    <row r="161" ht="15.75" customHeight="1">
      <c r="B161" s="88"/>
      <c r="C161" s="88"/>
      <c r="D161" s="88"/>
      <c r="E161" s="88"/>
      <c r="F161" s="4"/>
      <c r="G161" s="88"/>
      <c r="H161" s="88"/>
      <c r="I161" s="88"/>
      <c r="K161" s="88"/>
      <c r="M161" s="4"/>
      <c r="N161" s="4"/>
    </row>
    <row r="162" ht="15.75" customHeight="1">
      <c r="B162" s="88"/>
      <c r="C162" s="88"/>
      <c r="D162" s="88"/>
      <c r="E162" s="88"/>
      <c r="F162" s="4"/>
      <c r="G162" s="88"/>
      <c r="H162" s="88"/>
      <c r="I162" s="88"/>
      <c r="K162" s="88"/>
      <c r="M162" s="4"/>
      <c r="N162" s="4"/>
    </row>
    <row r="163" ht="15.75" customHeight="1">
      <c r="B163" s="88"/>
      <c r="C163" s="88"/>
      <c r="D163" s="88"/>
      <c r="E163" s="88"/>
      <c r="F163" s="4"/>
      <c r="G163" s="88"/>
      <c r="H163" s="88"/>
      <c r="I163" s="88"/>
      <c r="K163" s="88"/>
      <c r="M163" s="4"/>
      <c r="N163" s="4"/>
    </row>
    <row r="164" ht="15.75" customHeight="1">
      <c r="B164" s="88"/>
      <c r="C164" s="88"/>
      <c r="D164" s="88"/>
      <c r="E164" s="88"/>
      <c r="F164" s="4"/>
      <c r="G164" s="88"/>
      <c r="H164" s="88"/>
      <c r="I164" s="88"/>
      <c r="K164" s="88"/>
      <c r="M164" s="4"/>
      <c r="N164" s="4"/>
    </row>
    <row r="165" ht="15.75" customHeight="1">
      <c r="B165" s="88"/>
      <c r="C165" s="88"/>
      <c r="D165" s="88"/>
      <c r="E165" s="88"/>
      <c r="F165" s="4"/>
      <c r="G165" s="88"/>
      <c r="H165" s="88"/>
      <c r="I165" s="88"/>
      <c r="K165" s="88"/>
      <c r="M165" s="4"/>
      <c r="N165" s="4"/>
    </row>
    <row r="166" ht="15.75" customHeight="1">
      <c r="B166" s="88"/>
      <c r="C166" s="88"/>
      <c r="D166" s="88"/>
      <c r="E166" s="88"/>
      <c r="F166" s="4"/>
      <c r="G166" s="88"/>
      <c r="H166" s="88"/>
      <c r="I166" s="88"/>
      <c r="K166" s="88"/>
      <c r="M166" s="4"/>
      <c r="N166" s="4"/>
    </row>
    <row r="167" ht="15.75" customHeight="1">
      <c r="B167" s="88"/>
      <c r="C167" s="88"/>
      <c r="D167" s="88"/>
      <c r="E167" s="88"/>
      <c r="F167" s="4"/>
      <c r="G167" s="88"/>
      <c r="H167" s="88"/>
      <c r="I167" s="88"/>
      <c r="K167" s="88"/>
      <c r="M167" s="4"/>
      <c r="N167" s="4"/>
    </row>
    <row r="168" ht="15.75" customHeight="1">
      <c r="B168" s="88"/>
      <c r="C168" s="88"/>
      <c r="D168" s="88"/>
      <c r="E168" s="88"/>
      <c r="F168" s="4"/>
      <c r="G168" s="88"/>
      <c r="H168" s="88"/>
      <c r="I168" s="88"/>
      <c r="K168" s="88"/>
      <c r="M168" s="4"/>
      <c r="N168" s="4"/>
    </row>
    <row r="169" ht="15.75" customHeight="1">
      <c r="B169" s="88"/>
      <c r="C169" s="88"/>
      <c r="D169" s="88"/>
      <c r="E169" s="88"/>
      <c r="F169" s="4"/>
      <c r="G169" s="88"/>
      <c r="H169" s="88"/>
      <c r="I169" s="88"/>
      <c r="K169" s="88"/>
      <c r="M169" s="4"/>
      <c r="N169" s="4"/>
    </row>
    <row r="170" ht="15.75" customHeight="1">
      <c r="B170" s="88"/>
      <c r="C170" s="88"/>
      <c r="D170" s="88"/>
      <c r="E170" s="88"/>
      <c r="F170" s="4"/>
      <c r="G170" s="88"/>
      <c r="H170" s="88"/>
      <c r="I170" s="88"/>
      <c r="K170" s="88"/>
      <c r="M170" s="4"/>
      <c r="N170" s="4"/>
    </row>
    <row r="171" ht="15.75" customHeight="1">
      <c r="B171" s="88"/>
      <c r="C171" s="88"/>
      <c r="D171" s="88"/>
      <c r="E171" s="88"/>
      <c r="F171" s="4"/>
      <c r="G171" s="88"/>
      <c r="H171" s="88"/>
      <c r="I171" s="88"/>
      <c r="K171" s="88"/>
      <c r="M171" s="4"/>
      <c r="N171" s="4"/>
    </row>
    <row r="172" ht="15.75" customHeight="1">
      <c r="B172" s="88"/>
      <c r="C172" s="88"/>
      <c r="D172" s="88"/>
      <c r="E172" s="88"/>
      <c r="F172" s="4"/>
      <c r="G172" s="88"/>
      <c r="H172" s="88"/>
      <c r="I172" s="88"/>
      <c r="K172" s="88"/>
      <c r="M172" s="4"/>
      <c r="N172" s="4"/>
    </row>
    <row r="173" ht="15.75" customHeight="1">
      <c r="B173" s="88"/>
      <c r="C173" s="88"/>
      <c r="D173" s="88"/>
      <c r="E173" s="88"/>
      <c r="F173" s="4"/>
      <c r="G173" s="88"/>
      <c r="H173" s="88"/>
      <c r="I173" s="88"/>
      <c r="K173" s="88"/>
      <c r="M173" s="4"/>
      <c r="N173" s="4"/>
    </row>
    <row r="174" ht="15.75" customHeight="1">
      <c r="B174" s="88"/>
      <c r="C174" s="88"/>
      <c r="D174" s="88"/>
      <c r="E174" s="88"/>
      <c r="F174" s="4"/>
      <c r="G174" s="88"/>
      <c r="H174" s="88"/>
      <c r="I174" s="88"/>
      <c r="K174" s="88"/>
      <c r="M174" s="4"/>
      <c r="N174" s="4"/>
    </row>
    <row r="175" ht="15.75" customHeight="1">
      <c r="B175" s="88"/>
      <c r="C175" s="88"/>
      <c r="D175" s="88"/>
      <c r="E175" s="88"/>
      <c r="F175" s="4"/>
      <c r="G175" s="88"/>
      <c r="H175" s="88"/>
      <c r="I175" s="88"/>
      <c r="K175" s="88"/>
      <c r="M175" s="4"/>
      <c r="N175" s="4"/>
    </row>
    <row r="176" ht="15.75" customHeight="1">
      <c r="B176" s="88"/>
      <c r="C176" s="88"/>
      <c r="D176" s="88"/>
      <c r="E176" s="88"/>
      <c r="F176" s="4"/>
      <c r="G176" s="88"/>
      <c r="H176" s="88"/>
      <c r="I176" s="88"/>
      <c r="K176" s="88"/>
      <c r="M176" s="4"/>
      <c r="N176" s="4"/>
    </row>
    <row r="177" ht="15.75" customHeight="1">
      <c r="B177" s="88"/>
      <c r="C177" s="88"/>
      <c r="D177" s="88"/>
      <c r="E177" s="88"/>
      <c r="F177" s="4"/>
      <c r="G177" s="88"/>
      <c r="H177" s="88"/>
      <c r="I177" s="88"/>
      <c r="K177" s="88"/>
      <c r="M177" s="4"/>
      <c r="N177" s="4"/>
    </row>
    <row r="178" ht="15.75" customHeight="1">
      <c r="B178" s="88"/>
      <c r="C178" s="88"/>
      <c r="D178" s="88"/>
      <c r="E178" s="88"/>
      <c r="F178" s="4"/>
      <c r="G178" s="88"/>
      <c r="H178" s="88"/>
      <c r="I178" s="88"/>
      <c r="K178" s="88"/>
      <c r="M178" s="4"/>
      <c r="N178" s="4"/>
    </row>
    <row r="179" ht="15.75" customHeight="1">
      <c r="B179" s="88"/>
      <c r="C179" s="88"/>
      <c r="D179" s="88"/>
      <c r="E179" s="88"/>
      <c r="F179" s="4"/>
      <c r="G179" s="88"/>
      <c r="H179" s="88"/>
      <c r="I179" s="88"/>
      <c r="K179" s="88"/>
      <c r="M179" s="4"/>
      <c r="N179" s="4"/>
    </row>
    <row r="180" ht="15.75" customHeight="1">
      <c r="B180" s="88"/>
      <c r="C180" s="88"/>
      <c r="D180" s="88"/>
      <c r="E180" s="88"/>
      <c r="F180" s="4"/>
      <c r="G180" s="88"/>
      <c r="H180" s="88"/>
      <c r="I180" s="88"/>
      <c r="K180" s="88"/>
      <c r="M180" s="4"/>
      <c r="N180" s="4"/>
    </row>
    <row r="181" ht="15.75" customHeight="1">
      <c r="B181" s="88"/>
      <c r="C181" s="88"/>
      <c r="D181" s="88"/>
      <c r="E181" s="88"/>
      <c r="F181" s="4"/>
      <c r="G181" s="88"/>
      <c r="H181" s="88"/>
      <c r="I181" s="88"/>
      <c r="K181" s="88"/>
      <c r="M181" s="4"/>
      <c r="N181" s="4"/>
    </row>
    <row r="182" ht="15.75" customHeight="1">
      <c r="B182" s="88"/>
      <c r="C182" s="88"/>
      <c r="D182" s="88"/>
      <c r="E182" s="88"/>
      <c r="F182" s="4"/>
      <c r="G182" s="88"/>
      <c r="H182" s="88"/>
      <c r="I182" s="88"/>
      <c r="K182" s="88"/>
      <c r="M182" s="4"/>
      <c r="N182" s="4"/>
    </row>
    <row r="183" ht="15.75" customHeight="1">
      <c r="B183" s="88"/>
      <c r="C183" s="88"/>
      <c r="D183" s="88"/>
      <c r="E183" s="88"/>
      <c r="F183" s="4"/>
      <c r="G183" s="88"/>
      <c r="H183" s="88"/>
      <c r="I183" s="88"/>
      <c r="K183" s="88"/>
      <c r="M183" s="4"/>
      <c r="N183" s="4"/>
    </row>
    <row r="184" ht="15.75" customHeight="1">
      <c r="B184" s="88"/>
      <c r="C184" s="88"/>
      <c r="D184" s="88"/>
      <c r="E184" s="88"/>
      <c r="F184" s="4"/>
      <c r="G184" s="88"/>
      <c r="H184" s="88"/>
      <c r="I184" s="88"/>
      <c r="K184" s="88"/>
      <c r="M184" s="4"/>
      <c r="N184" s="4"/>
    </row>
    <row r="185" ht="15.75" customHeight="1">
      <c r="B185" s="88"/>
      <c r="C185" s="88"/>
      <c r="D185" s="88"/>
      <c r="E185" s="88"/>
      <c r="F185" s="4"/>
      <c r="G185" s="88"/>
      <c r="H185" s="88"/>
      <c r="I185" s="88"/>
      <c r="K185" s="88"/>
      <c r="M185" s="4"/>
      <c r="N185" s="4"/>
    </row>
    <row r="186" ht="15.75" customHeight="1">
      <c r="B186" s="88"/>
      <c r="C186" s="88"/>
      <c r="D186" s="88"/>
      <c r="E186" s="88"/>
      <c r="F186" s="4"/>
      <c r="G186" s="88"/>
      <c r="H186" s="88"/>
      <c r="I186" s="88"/>
      <c r="K186" s="88"/>
      <c r="M186" s="4"/>
      <c r="N186" s="4"/>
    </row>
    <row r="187" ht="15.75" customHeight="1">
      <c r="B187" s="88"/>
      <c r="C187" s="88"/>
      <c r="D187" s="88"/>
      <c r="E187" s="88"/>
      <c r="F187" s="4"/>
      <c r="G187" s="88"/>
      <c r="H187" s="88"/>
      <c r="I187" s="88"/>
      <c r="K187" s="88"/>
      <c r="M187" s="4"/>
      <c r="N187" s="4"/>
    </row>
    <row r="188" ht="15.75" customHeight="1">
      <c r="B188" s="88"/>
      <c r="C188" s="88"/>
      <c r="D188" s="88"/>
      <c r="E188" s="88"/>
      <c r="F188" s="4"/>
      <c r="G188" s="88"/>
      <c r="H188" s="88"/>
      <c r="I188" s="88"/>
      <c r="K188" s="88"/>
      <c r="M188" s="4"/>
      <c r="N188" s="4"/>
    </row>
    <row r="189" ht="15.75" customHeight="1">
      <c r="B189" s="88"/>
      <c r="C189" s="88"/>
      <c r="D189" s="88"/>
      <c r="E189" s="88"/>
      <c r="F189" s="4"/>
      <c r="G189" s="88"/>
      <c r="H189" s="88"/>
      <c r="I189" s="88"/>
      <c r="K189" s="88"/>
      <c r="M189" s="4"/>
      <c r="N189" s="4"/>
    </row>
    <row r="190" ht="15.75" customHeight="1">
      <c r="B190" s="88"/>
      <c r="C190" s="88"/>
      <c r="D190" s="88"/>
      <c r="E190" s="88"/>
      <c r="F190" s="4"/>
      <c r="G190" s="88"/>
      <c r="H190" s="88"/>
      <c r="I190" s="88"/>
      <c r="K190" s="88"/>
      <c r="M190" s="4"/>
      <c r="N190" s="4"/>
    </row>
    <row r="191" ht="15.75" customHeight="1">
      <c r="B191" s="88"/>
      <c r="C191" s="88"/>
      <c r="D191" s="88"/>
      <c r="E191" s="88"/>
      <c r="F191" s="4"/>
      <c r="G191" s="88"/>
      <c r="H191" s="88"/>
      <c r="I191" s="88"/>
      <c r="K191" s="88"/>
      <c r="M191" s="4"/>
      <c r="N191" s="4"/>
    </row>
    <row r="192" ht="15.75" customHeight="1">
      <c r="B192" s="88"/>
      <c r="C192" s="88"/>
      <c r="D192" s="88"/>
      <c r="E192" s="88"/>
      <c r="F192" s="4"/>
      <c r="G192" s="88"/>
      <c r="H192" s="88"/>
      <c r="I192" s="88"/>
      <c r="K192" s="88"/>
      <c r="M192" s="4"/>
      <c r="N192" s="4"/>
    </row>
    <row r="193" ht="15.75" customHeight="1">
      <c r="B193" s="88"/>
      <c r="C193" s="88"/>
      <c r="D193" s="88"/>
      <c r="E193" s="88"/>
      <c r="F193" s="4"/>
      <c r="G193" s="88"/>
      <c r="H193" s="88"/>
      <c r="I193" s="88"/>
      <c r="K193" s="88"/>
      <c r="M193" s="4"/>
      <c r="N193" s="4"/>
    </row>
    <row r="194" ht="15.75" customHeight="1">
      <c r="B194" s="88"/>
      <c r="C194" s="88"/>
      <c r="D194" s="88"/>
      <c r="E194" s="88"/>
      <c r="F194" s="4"/>
      <c r="G194" s="88"/>
      <c r="H194" s="88"/>
      <c r="I194" s="88"/>
      <c r="K194" s="88"/>
      <c r="M194" s="4"/>
      <c r="N194" s="4"/>
    </row>
    <row r="195" ht="15.75" customHeight="1">
      <c r="B195" s="88"/>
      <c r="C195" s="88"/>
      <c r="D195" s="88"/>
      <c r="E195" s="88"/>
      <c r="F195" s="4"/>
      <c r="G195" s="88"/>
      <c r="H195" s="88"/>
      <c r="I195" s="88"/>
      <c r="K195" s="88"/>
      <c r="M195" s="4"/>
      <c r="N195" s="4"/>
    </row>
    <row r="196" ht="15.75" customHeight="1">
      <c r="B196" s="88"/>
      <c r="C196" s="88"/>
      <c r="D196" s="88"/>
      <c r="E196" s="88"/>
      <c r="F196" s="4"/>
      <c r="G196" s="88"/>
      <c r="H196" s="88"/>
      <c r="I196" s="88"/>
      <c r="K196" s="88"/>
      <c r="M196" s="4"/>
      <c r="N196" s="4"/>
    </row>
    <row r="197" ht="15.75" customHeight="1">
      <c r="B197" s="88"/>
      <c r="C197" s="88"/>
      <c r="D197" s="88"/>
      <c r="E197" s="88"/>
      <c r="F197" s="4"/>
      <c r="G197" s="88"/>
      <c r="H197" s="88"/>
      <c r="I197" s="88"/>
      <c r="K197" s="88"/>
      <c r="M197" s="4"/>
      <c r="N197" s="4"/>
    </row>
    <row r="198" ht="15.75" customHeight="1">
      <c r="B198" s="88"/>
      <c r="C198" s="88"/>
      <c r="D198" s="88"/>
      <c r="E198" s="88"/>
      <c r="F198" s="4"/>
      <c r="G198" s="88"/>
      <c r="H198" s="88"/>
      <c r="I198" s="88"/>
      <c r="K198" s="88"/>
      <c r="M198" s="4"/>
      <c r="N198" s="4"/>
    </row>
    <row r="199" ht="15.75" customHeight="1">
      <c r="B199" s="88"/>
      <c r="C199" s="88"/>
      <c r="D199" s="88"/>
      <c r="E199" s="88"/>
      <c r="F199" s="4"/>
      <c r="G199" s="88"/>
      <c r="H199" s="88"/>
      <c r="I199" s="88"/>
      <c r="K199" s="88"/>
      <c r="M199" s="4"/>
      <c r="N199" s="4"/>
    </row>
    <row r="200" ht="15.75" customHeight="1">
      <c r="B200" s="88"/>
      <c r="C200" s="88"/>
      <c r="D200" s="88"/>
      <c r="E200" s="88"/>
      <c r="F200" s="4"/>
      <c r="G200" s="88"/>
      <c r="H200" s="88"/>
      <c r="I200" s="88"/>
      <c r="K200" s="88"/>
      <c r="M200" s="4"/>
      <c r="N200" s="4"/>
    </row>
    <row r="201" ht="15.75" customHeight="1">
      <c r="B201" s="88"/>
      <c r="C201" s="88"/>
      <c r="D201" s="88"/>
      <c r="E201" s="88"/>
      <c r="F201" s="4"/>
      <c r="G201" s="88"/>
      <c r="H201" s="88"/>
      <c r="I201" s="88"/>
      <c r="K201" s="88"/>
      <c r="M201" s="4"/>
      <c r="N201" s="4"/>
    </row>
    <row r="202" ht="15.75" customHeight="1">
      <c r="B202" s="88"/>
      <c r="C202" s="88"/>
      <c r="D202" s="88"/>
      <c r="E202" s="88"/>
      <c r="F202" s="4"/>
      <c r="G202" s="88"/>
      <c r="H202" s="88"/>
      <c r="I202" s="88"/>
      <c r="K202" s="88"/>
      <c r="M202" s="4"/>
      <c r="N202" s="4"/>
    </row>
    <row r="203" ht="15.75" customHeight="1">
      <c r="B203" s="88"/>
      <c r="C203" s="88"/>
      <c r="D203" s="88"/>
      <c r="E203" s="88"/>
      <c r="F203" s="4"/>
      <c r="G203" s="88"/>
      <c r="H203" s="88"/>
      <c r="I203" s="88"/>
      <c r="K203" s="88"/>
      <c r="M203" s="4"/>
      <c r="N203" s="4"/>
    </row>
    <row r="204" ht="15.75" customHeight="1">
      <c r="B204" s="88"/>
      <c r="C204" s="88"/>
      <c r="D204" s="88"/>
      <c r="E204" s="88"/>
      <c r="F204" s="4"/>
      <c r="G204" s="88"/>
      <c r="H204" s="88"/>
      <c r="I204" s="88"/>
      <c r="K204" s="88"/>
      <c r="M204" s="4"/>
      <c r="N204" s="4"/>
    </row>
    <row r="205" ht="15.75" customHeight="1">
      <c r="B205" s="88"/>
      <c r="C205" s="88"/>
      <c r="D205" s="88"/>
      <c r="E205" s="88"/>
      <c r="F205" s="4"/>
      <c r="G205" s="88"/>
      <c r="H205" s="88"/>
      <c r="I205" s="88"/>
      <c r="K205" s="88"/>
      <c r="M205" s="4"/>
      <c r="N205" s="4"/>
    </row>
    <row r="206" ht="15.75" customHeight="1">
      <c r="B206" s="88"/>
      <c r="C206" s="88"/>
      <c r="D206" s="88"/>
      <c r="E206" s="88"/>
      <c r="F206" s="4"/>
      <c r="G206" s="88"/>
      <c r="H206" s="88"/>
      <c r="I206" s="88"/>
      <c r="K206" s="88"/>
      <c r="M206" s="4"/>
      <c r="N206" s="4"/>
    </row>
    <row r="207" ht="15.75" customHeight="1">
      <c r="B207" s="88"/>
      <c r="C207" s="88"/>
      <c r="D207" s="88"/>
      <c r="E207" s="88"/>
      <c r="F207" s="4"/>
      <c r="G207" s="88"/>
      <c r="H207" s="88"/>
      <c r="I207" s="88"/>
      <c r="K207" s="88"/>
      <c r="M207" s="4"/>
      <c r="N207" s="4"/>
    </row>
    <row r="208" ht="15.75" customHeight="1">
      <c r="B208" s="88"/>
      <c r="C208" s="88"/>
      <c r="D208" s="88"/>
      <c r="E208" s="88"/>
      <c r="F208" s="4"/>
      <c r="G208" s="88"/>
      <c r="H208" s="88"/>
      <c r="I208" s="88"/>
      <c r="K208" s="88"/>
      <c r="M208" s="4"/>
      <c r="N208" s="4"/>
    </row>
    <row r="209" ht="15.75" customHeight="1">
      <c r="B209" s="88"/>
      <c r="C209" s="88"/>
      <c r="D209" s="88"/>
      <c r="E209" s="88"/>
      <c r="F209" s="4"/>
      <c r="G209" s="88"/>
      <c r="H209" s="88"/>
      <c r="I209" s="88"/>
      <c r="K209" s="88"/>
      <c r="M209" s="4"/>
      <c r="N209" s="4"/>
    </row>
    <row r="210" ht="15.75" customHeight="1">
      <c r="B210" s="88"/>
      <c r="C210" s="88"/>
      <c r="D210" s="88"/>
      <c r="E210" s="88"/>
      <c r="F210" s="4"/>
      <c r="G210" s="88"/>
      <c r="H210" s="88"/>
      <c r="I210" s="88"/>
      <c r="K210" s="88"/>
      <c r="M210" s="4"/>
      <c r="N210" s="4"/>
    </row>
    <row r="211" ht="15.75" customHeight="1">
      <c r="B211" s="88"/>
      <c r="C211" s="88"/>
      <c r="D211" s="88"/>
      <c r="E211" s="88"/>
      <c r="F211" s="4"/>
      <c r="G211" s="88"/>
      <c r="H211" s="88"/>
      <c r="I211" s="88"/>
      <c r="K211" s="88"/>
      <c r="M211" s="4"/>
      <c r="N211" s="4"/>
    </row>
    <row r="212" ht="15.75" customHeight="1">
      <c r="B212" s="88"/>
      <c r="C212" s="88"/>
      <c r="D212" s="88"/>
      <c r="E212" s="88"/>
      <c r="F212" s="4"/>
      <c r="G212" s="88"/>
      <c r="H212" s="88"/>
      <c r="I212" s="88"/>
      <c r="K212" s="88"/>
      <c r="M212" s="4"/>
      <c r="N212" s="4"/>
    </row>
    <row r="213" ht="15.75" customHeight="1">
      <c r="B213" s="88"/>
      <c r="C213" s="88"/>
      <c r="D213" s="88"/>
      <c r="E213" s="88"/>
      <c r="F213" s="4"/>
      <c r="G213" s="88"/>
      <c r="H213" s="88"/>
      <c r="I213" s="88"/>
      <c r="K213" s="88"/>
      <c r="M213" s="4"/>
      <c r="N213" s="4"/>
    </row>
    <row r="214" ht="15.75" customHeight="1">
      <c r="B214" s="88"/>
      <c r="C214" s="88"/>
      <c r="D214" s="88"/>
      <c r="E214" s="88"/>
      <c r="F214" s="4"/>
      <c r="G214" s="88"/>
      <c r="H214" s="88"/>
      <c r="I214" s="88"/>
      <c r="K214" s="88"/>
      <c r="M214" s="4"/>
      <c r="N214" s="4"/>
    </row>
    <row r="215" ht="15.75" customHeight="1">
      <c r="B215" s="88"/>
      <c r="C215" s="88"/>
      <c r="D215" s="88"/>
      <c r="E215" s="88"/>
      <c r="F215" s="4"/>
      <c r="G215" s="88"/>
      <c r="H215" s="88"/>
      <c r="I215" s="88"/>
      <c r="K215" s="88"/>
      <c r="M215" s="4"/>
      <c r="N215" s="4"/>
    </row>
    <row r="216" ht="15.75" customHeight="1">
      <c r="B216" s="88"/>
      <c r="C216" s="88"/>
      <c r="D216" s="88"/>
      <c r="E216" s="88"/>
      <c r="F216" s="4"/>
      <c r="G216" s="88"/>
      <c r="H216" s="88"/>
      <c r="I216" s="88"/>
      <c r="K216" s="88"/>
      <c r="M216" s="4"/>
      <c r="N216" s="4"/>
    </row>
    <row r="217" ht="15.75" customHeight="1">
      <c r="B217" s="88"/>
      <c r="C217" s="88"/>
      <c r="D217" s="88"/>
      <c r="E217" s="88"/>
      <c r="F217" s="4"/>
      <c r="G217" s="88"/>
      <c r="H217" s="88"/>
      <c r="I217" s="88"/>
      <c r="K217" s="88"/>
      <c r="M217" s="4"/>
      <c r="N217" s="4"/>
    </row>
    <row r="218" ht="15.75" customHeight="1">
      <c r="B218" s="88"/>
      <c r="C218" s="88"/>
      <c r="D218" s="88"/>
      <c r="E218" s="88"/>
      <c r="F218" s="4"/>
      <c r="G218" s="88"/>
      <c r="H218" s="88"/>
      <c r="I218" s="88"/>
      <c r="K218" s="88"/>
      <c r="M218" s="4"/>
      <c r="N218" s="4"/>
    </row>
    <row r="219" ht="15.75" customHeight="1">
      <c r="B219" s="88"/>
      <c r="C219" s="88"/>
      <c r="D219" s="88"/>
      <c r="E219" s="88"/>
      <c r="F219" s="4"/>
      <c r="G219" s="88"/>
      <c r="H219" s="88"/>
      <c r="I219" s="88"/>
      <c r="K219" s="88"/>
      <c r="M219" s="4"/>
      <c r="N219" s="4"/>
    </row>
    <row r="220" ht="15.75" customHeight="1">
      <c r="B220" s="88"/>
      <c r="C220" s="88"/>
      <c r="D220" s="88"/>
      <c r="E220" s="88"/>
      <c r="F220" s="4"/>
      <c r="G220" s="88"/>
      <c r="H220" s="88"/>
      <c r="I220" s="88"/>
      <c r="K220" s="88"/>
      <c r="M220" s="4"/>
      <c r="N220" s="4"/>
    </row>
    <row r="221" ht="15.75" customHeight="1">
      <c r="B221" s="88"/>
      <c r="C221" s="88"/>
      <c r="D221" s="88"/>
      <c r="E221" s="88"/>
      <c r="F221" s="4"/>
      <c r="G221" s="88"/>
      <c r="H221" s="88"/>
      <c r="I221" s="88"/>
      <c r="K221" s="88"/>
      <c r="M221" s="4"/>
      <c r="N221" s="4"/>
    </row>
    <row r="222" ht="15.75" customHeight="1">
      <c r="B222" s="88"/>
      <c r="C222" s="88"/>
      <c r="D222" s="88"/>
      <c r="E222" s="88"/>
      <c r="F222" s="4"/>
      <c r="G222" s="88"/>
      <c r="H222" s="88"/>
      <c r="I222" s="88"/>
      <c r="K222" s="88"/>
      <c r="M222" s="4"/>
      <c r="N222" s="4"/>
    </row>
    <row r="223" ht="15.75" customHeight="1">
      <c r="B223" s="88"/>
      <c r="C223" s="88"/>
      <c r="D223" s="88"/>
      <c r="E223" s="88"/>
      <c r="F223" s="4"/>
      <c r="G223" s="88"/>
      <c r="H223" s="88"/>
      <c r="I223" s="88"/>
      <c r="K223" s="88"/>
      <c r="M223" s="4"/>
      <c r="N223" s="4"/>
    </row>
    <row r="224" ht="15.75" customHeight="1">
      <c r="B224" s="88"/>
      <c r="C224" s="88"/>
      <c r="D224" s="88"/>
      <c r="E224" s="88"/>
      <c r="F224" s="4"/>
      <c r="G224" s="88"/>
      <c r="H224" s="88"/>
      <c r="I224" s="88"/>
      <c r="K224" s="88"/>
      <c r="M224" s="4"/>
      <c r="N224" s="4"/>
    </row>
    <row r="225" ht="15.75" customHeight="1">
      <c r="B225" s="88"/>
      <c r="C225" s="88"/>
      <c r="D225" s="88"/>
      <c r="E225" s="88"/>
      <c r="F225" s="4"/>
      <c r="G225" s="88"/>
      <c r="H225" s="88"/>
      <c r="I225" s="88"/>
      <c r="K225" s="88"/>
      <c r="M225" s="4"/>
      <c r="N225" s="4"/>
    </row>
    <row r="226" ht="15.75" customHeight="1">
      <c r="B226" s="88"/>
      <c r="C226" s="88"/>
      <c r="D226" s="88"/>
      <c r="E226" s="88"/>
      <c r="F226" s="4"/>
      <c r="G226" s="88"/>
      <c r="H226" s="88"/>
      <c r="I226" s="88"/>
      <c r="K226" s="88"/>
      <c r="M226" s="4"/>
      <c r="N226" s="4"/>
    </row>
    <row r="227" ht="15.75" customHeight="1">
      <c r="B227" s="88"/>
      <c r="C227" s="88"/>
      <c r="D227" s="88"/>
      <c r="E227" s="88"/>
      <c r="F227" s="4"/>
      <c r="G227" s="88"/>
      <c r="H227" s="88"/>
      <c r="I227" s="88"/>
      <c r="K227" s="88"/>
      <c r="M227" s="4"/>
      <c r="N227" s="4"/>
    </row>
    <row r="228" ht="15.75" customHeight="1">
      <c r="B228" s="88"/>
      <c r="C228" s="88"/>
      <c r="D228" s="88"/>
      <c r="E228" s="88"/>
      <c r="F228" s="4"/>
      <c r="G228" s="88"/>
      <c r="H228" s="88"/>
      <c r="I228" s="88"/>
      <c r="K228" s="88"/>
      <c r="M228" s="4"/>
      <c r="N228" s="4"/>
    </row>
    <row r="229" ht="15.75" customHeight="1">
      <c r="B229" s="88"/>
      <c r="C229" s="88"/>
      <c r="D229" s="88"/>
      <c r="E229" s="88"/>
      <c r="F229" s="4"/>
      <c r="G229" s="88"/>
      <c r="H229" s="88"/>
      <c r="I229" s="88"/>
      <c r="K229" s="88"/>
      <c r="M229" s="4"/>
      <c r="N229" s="4"/>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J1:N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4.13"/>
    <col customWidth="1" min="2" max="10" width="26.13"/>
    <col customWidth="1" min="11" max="13" width="38.88"/>
    <col customWidth="1" min="14" max="15" width="56.5"/>
  </cols>
  <sheetData>
    <row r="1" ht="15.75" customHeight="1">
      <c r="A1" s="89"/>
      <c r="B1" s="89"/>
      <c r="C1" s="89"/>
      <c r="D1" s="89"/>
      <c r="E1" s="89"/>
      <c r="F1" s="89"/>
      <c r="G1" s="89"/>
      <c r="H1" s="89"/>
      <c r="I1" s="89"/>
      <c r="J1" s="89"/>
      <c r="K1" s="90"/>
      <c r="L1" s="90"/>
      <c r="M1" s="90"/>
      <c r="N1" s="90"/>
      <c r="O1" s="90"/>
    </row>
    <row r="2" ht="15.75" customHeight="1">
      <c r="A2" s="89"/>
      <c r="B2" s="89"/>
      <c r="C2" s="89"/>
      <c r="D2" s="89"/>
      <c r="E2" s="89"/>
      <c r="F2" s="89"/>
      <c r="G2" s="89"/>
      <c r="H2" s="89"/>
      <c r="I2" s="89"/>
      <c r="J2" s="91"/>
      <c r="K2" s="92" t="s">
        <v>1424</v>
      </c>
      <c r="L2" s="93"/>
      <c r="M2" s="93"/>
      <c r="N2" s="93"/>
      <c r="O2" s="94"/>
    </row>
    <row r="3" ht="33.75" customHeight="1">
      <c r="A3" s="89"/>
      <c r="B3" s="90"/>
      <c r="C3" s="90"/>
      <c r="D3" s="90"/>
      <c r="E3" s="90"/>
      <c r="F3" s="90"/>
      <c r="G3" s="90"/>
      <c r="H3" s="90"/>
      <c r="I3" s="90"/>
      <c r="J3" s="95"/>
      <c r="K3" s="96" t="s">
        <v>1425</v>
      </c>
      <c r="L3" s="93"/>
      <c r="M3" s="94"/>
      <c r="N3" s="96" t="str">
        <f>IFERROR(__xludf.DUMMYFUNCTION("IF(ISBLANK(K3), """", GOOGLETRANSLATE(K3, ""es"", ""en""))"),"Public investment budget data")</f>
        <v>Public investment budget data</v>
      </c>
      <c r="O3" s="94"/>
    </row>
    <row r="4" ht="15.75" customHeight="1">
      <c r="A4" s="91"/>
      <c r="B4" s="97" t="s">
        <v>1287</v>
      </c>
      <c r="C4" s="97" t="s">
        <v>1288</v>
      </c>
      <c r="D4" s="97" t="s">
        <v>1289</v>
      </c>
      <c r="E4" s="97" t="s">
        <v>1290</v>
      </c>
      <c r="F4" s="98" t="s">
        <v>1291</v>
      </c>
      <c r="G4" s="99" t="s">
        <v>1287</v>
      </c>
      <c r="H4" s="99" t="s">
        <v>1288</v>
      </c>
      <c r="I4" s="99" t="s">
        <v>1289</v>
      </c>
      <c r="J4" s="99" t="s">
        <v>1290</v>
      </c>
      <c r="K4" s="100" t="s">
        <v>1291</v>
      </c>
      <c r="L4" s="100" t="s">
        <v>1292</v>
      </c>
      <c r="M4" s="100" t="s">
        <v>40</v>
      </c>
      <c r="N4" s="100" t="s">
        <v>1426</v>
      </c>
      <c r="O4" s="100" t="s">
        <v>1427</v>
      </c>
    </row>
    <row r="5" ht="15.75" customHeight="1">
      <c r="A5" s="91"/>
      <c r="B5" s="95"/>
      <c r="C5" s="95"/>
      <c r="D5" s="95"/>
      <c r="E5" s="95"/>
      <c r="F5" s="101" t="s">
        <v>1428</v>
      </c>
      <c r="G5" s="95" t="s">
        <v>1429</v>
      </c>
      <c r="H5" s="95" t="s">
        <v>1296</v>
      </c>
      <c r="I5" s="95" t="s">
        <v>1430</v>
      </c>
      <c r="J5" s="95" t="s">
        <v>60</v>
      </c>
      <c r="K5" s="102" t="s">
        <v>1428</v>
      </c>
      <c r="L5" s="103" t="s">
        <v>1431</v>
      </c>
      <c r="M5" s="103">
        <v>2023.0</v>
      </c>
      <c r="N5" s="104" t="s">
        <v>1432</v>
      </c>
      <c r="O5" s="103" t="str">
        <f>IFERROR(__xludf.DUMMYFUNCTION("IF(ISBLANK(N5), """", GOOGLETRANSLATE(N5, ""es"", ""en""))"),"The year to which the information registered in the database corresponds.")</f>
        <v>The year to which the information registered in the database corresponds.</v>
      </c>
    </row>
    <row r="6" ht="15.75" customHeight="1">
      <c r="A6" s="91"/>
      <c r="B6" s="95"/>
      <c r="C6" s="95"/>
      <c r="D6" s="95"/>
      <c r="E6" s="95"/>
      <c r="F6" s="101" t="s">
        <v>1428</v>
      </c>
      <c r="G6" s="95" t="s">
        <v>1433</v>
      </c>
      <c r="H6" s="95" t="s">
        <v>1296</v>
      </c>
      <c r="I6" s="95" t="s">
        <v>1434</v>
      </c>
      <c r="J6" s="95" t="s">
        <v>1435</v>
      </c>
      <c r="K6" s="102" t="s">
        <v>1428</v>
      </c>
      <c r="L6" s="103" t="s">
        <v>1434</v>
      </c>
      <c r="M6" s="103" t="s">
        <v>1436</v>
      </c>
      <c r="N6" s="104" t="s">
        <v>1437</v>
      </c>
      <c r="O6" s="103" t="str">
        <f>IFERROR(__xludf.DUMMYFUNCTION("IF(ISBLANK(N6), """", GOOGLETRANSLATE(N6, ""es"", ""en""))"),"The unique code that identifies an institution within the system or set of institutions.")</f>
        <v>The unique code that identifies an institution within the system or set of institutions.</v>
      </c>
    </row>
    <row r="7" ht="15.75" customHeight="1">
      <c r="A7" s="91"/>
      <c r="B7" s="95"/>
      <c r="C7" s="95"/>
      <c r="D7" s="95"/>
      <c r="E7" s="95"/>
      <c r="F7" s="101" t="s">
        <v>1428</v>
      </c>
      <c r="G7" s="95" t="s">
        <v>1433</v>
      </c>
      <c r="H7" s="95" t="s">
        <v>1296</v>
      </c>
      <c r="I7" s="95" t="s">
        <v>1438</v>
      </c>
      <c r="J7" s="95" t="s">
        <v>1439</v>
      </c>
      <c r="K7" s="102" t="s">
        <v>1428</v>
      </c>
      <c r="L7" s="103" t="s">
        <v>1438</v>
      </c>
      <c r="M7" s="103" t="s">
        <v>985</v>
      </c>
      <c r="N7" s="105" t="s">
        <v>1440</v>
      </c>
      <c r="O7" s="103" t="str">
        <f>IFERROR(__xludf.DUMMYFUNCTION("IF(ISBLANK(N7), """", GOOGLETRANSLATE(N7, ""es"", ""en""))"),"Name or identification of the institution to which the registered information belongs.")</f>
        <v>Name or identification of the institution to which the registered information belongs.</v>
      </c>
    </row>
    <row r="8" ht="15.75" customHeight="1">
      <c r="A8" s="91"/>
      <c r="B8" s="95"/>
      <c r="C8" s="95"/>
      <c r="D8" s="95"/>
      <c r="E8" s="95"/>
      <c r="F8" s="101" t="s">
        <v>1428</v>
      </c>
      <c r="G8" s="95"/>
      <c r="H8" s="95"/>
      <c r="I8" s="95"/>
      <c r="J8" s="95" t="s">
        <v>1418</v>
      </c>
      <c r="K8" s="102" t="s">
        <v>1441</v>
      </c>
      <c r="L8" s="103" t="s">
        <v>1442</v>
      </c>
      <c r="M8" s="103" t="s">
        <v>1443</v>
      </c>
      <c r="N8" s="104" t="s">
        <v>1444</v>
      </c>
      <c r="O8" s="103" t="str">
        <f>IFERROR(__xludf.DUMMYFUNCTION("IF(ISBLANK(N8), """", GOOGLETRANSLATE(N8, ""es"", ""en""))"),"Category that classifies the expense according to its nature or purpose.")</f>
        <v>Category that classifies the expense according to its nature or purpose.</v>
      </c>
    </row>
    <row r="9" ht="15.75" customHeight="1">
      <c r="A9" s="91"/>
      <c r="B9" s="95"/>
      <c r="C9" s="95"/>
      <c r="D9" s="95"/>
      <c r="E9" s="95"/>
      <c r="F9" s="101" t="s">
        <v>1428</v>
      </c>
      <c r="G9" s="95" t="s">
        <v>1445</v>
      </c>
      <c r="H9" s="95" t="s">
        <v>1296</v>
      </c>
      <c r="I9" s="95" t="s">
        <v>1446</v>
      </c>
      <c r="J9" s="95" t="s">
        <v>60</v>
      </c>
      <c r="K9" s="95"/>
      <c r="L9" s="103" t="s">
        <v>1447</v>
      </c>
      <c r="M9" s="103">
        <v>10.0</v>
      </c>
      <c r="N9" s="104" t="s">
        <v>1448</v>
      </c>
      <c r="O9" s="103" t="str">
        <f>IFERROR(__xludf.DUMMYFUNCTION("IF(ISBLANK(N9), """", GOOGLETRANSLATE(N9, ""es"", ""en""))"),"Code that identifies the source of financing the expense.")</f>
        <v>Code that identifies the source of financing the expense.</v>
      </c>
    </row>
    <row r="10" ht="15.75" customHeight="1">
      <c r="A10" s="91"/>
      <c r="B10" s="95"/>
      <c r="C10" s="95"/>
      <c r="D10" s="95"/>
      <c r="E10" s="95"/>
      <c r="F10" s="101" t="s">
        <v>1428</v>
      </c>
      <c r="G10" s="95" t="s">
        <v>1449</v>
      </c>
      <c r="H10" s="95" t="s">
        <v>1296</v>
      </c>
      <c r="I10" s="95" t="s">
        <v>1450</v>
      </c>
      <c r="J10" s="95" t="s">
        <v>1439</v>
      </c>
      <c r="K10" s="102" t="s">
        <v>1428</v>
      </c>
      <c r="L10" s="103" t="s">
        <v>1451</v>
      </c>
      <c r="M10" s="103" t="s">
        <v>1021</v>
      </c>
      <c r="N10" s="104" t="s">
        <v>1452</v>
      </c>
      <c r="O10" s="103" t="str">
        <f>IFERROR(__xludf.DUMMYFUNCTION("IF(ISBLANK(N10), """", GOOGLETRANSLATE(N10, ""es"", ""en""))"),"Description or identification of the source of financing the expense.")</f>
        <v>Description or identification of the source of financing the expense.</v>
      </c>
    </row>
    <row r="11" ht="15.75" customHeight="1">
      <c r="A11" s="91"/>
      <c r="B11" s="95"/>
      <c r="C11" s="95"/>
      <c r="D11" s="95"/>
      <c r="E11" s="95"/>
      <c r="F11" s="101" t="s">
        <v>1428</v>
      </c>
      <c r="G11" s="95" t="s">
        <v>1445</v>
      </c>
      <c r="H11" s="95" t="s">
        <v>1296</v>
      </c>
      <c r="I11" s="95" t="s">
        <v>1453</v>
      </c>
      <c r="J11" s="95" t="s">
        <v>1454</v>
      </c>
      <c r="K11" s="102" t="s">
        <v>1428</v>
      </c>
      <c r="L11" s="103" t="s">
        <v>1453</v>
      </c>
      <c r="M11" s="103">
        <v>100.0</v>
      </c>
      <c r="N11" s="104" t="s">
        <v>1455</v>
      </c>
      <c r="O11" s="103" t="str">
        <f>IFERROR(__xludf.DUMMYFUNCTION("IF(ISBLANK(N11), """", GOOGLETRANSLATE(N11, ""es"", ""en""))"),"Specific code that identifies the detailed financing source.")</f>
        <v>Specific code that identifies the detailed financing source.</v>
      </c>
    </row>
    <row r="12" ht="15.75" customHeight="1">
      <c r="A12" s="91"/>
      <c r="B12" s="95"/>
      <c r="C12" s="95"/>
      <c r="D12" s="95"/>
      <c r="E12" s="95"/>
      <c r="F12" s="101" t="s">
        <v>1428</v>
      </c>
      <c r="G12" s="95" t="s">
        <v>1445</v>
      </c>
      <c r="H12" s="95" t="s">
        <v>1296</v>
      </c>
      <c r="I12" s="95" t="s">
        <v>1456</v>
      </c>
      <c r="J12" s="95" t="s">
        <v>1311</v>
      </c>
      <c r="K12" s="102" t="s">
        <v>1428</v>
      </c>
      <c r="L12" s="103" t="s">
        <v>1456</v>
      </c>
      <c r="M12" s="103" t="s">
        <v>1021</v>
      </c>
      <c r="N12" s="104" t="s">
        <v>1457</v>
      </c>
      <c r="O12" s="103" t="str">
        <f>IFERROR(__xludf.DUMMYFUNCTION("IF(ISBLANK(N12), """", GOOGLETRANSLATE(N12, ""es"", ""en""))"),"Detailed description or specific identification of the funding source.")</f>
        <v>Detailed description or specific identification of the funding source.</v>
      </c>
    </row>
    <row r="13" ht="15.75" customHeight="1">
      <c r="A13" s="91"/>
      <c r="B13" s="95"/>
      <c r="C13" s="95"/>
      <c r="D13" s="95"/>
      <c r="E13" s="95"/>
      <c r="F13" s="101" t="s">
        <v>1428</v>
      </c>
      <c r="G13" s="95" t="s">
        <v>1458</v>
      </c>
      <c r="H13" s="95" t="s">
        <v>1296</v>
      </c>
      <c r="I13" s="95" t="s">
        <v>1459</v>
      </c>
      <c r="J13" s="95" t="s">
        <v>60</v>
      </c>
      <c r="K13" s="102" t="s">
        <v>1428</v>
      </c>
      <c r="L13" s="103" t="s">
        <v>1459</v>
      </c>
      <c r="M13" s="103">
        <v>100.0</v>
      </c>
      <c r="N13" s="104" t="s">
        <v>1460</v>
      </c>
      <c r="O13" s="103" t="str">
        <f>IFERROR(__xludf.DUMMYFUNCTION("IF(ISBLANK(N13), """", GOOGLETRANSLATE(N13, ""es"", ""en""))"),"Code that identifies the organization that provides the financing.")</f>
        <v>Code that identifies the organization that provides the financing.</v>
      </c>
    </row>
    <row r="14" ht="15.75" customHeight="1">
      <c r="A14" s="91"/>
      <c r="B14" s="95"/>
      <c r="C14" s="95"/>
      <c r="D14" s="95"/>
      <c r="E14" s="106"/>
      <c r="F14" s="101" t="s">
        <v>1428</v>
      </c>
      <c r="G14" s="95" t="s">
        <v>1458</v>
      </c>
      <c r="H14" s="95" t="s">
        <v>1296</v>
      </c>
      <c r="I14" s="95" t="s">
        <v>1388</v>
      </c>
      <c r="J14" s="95" t="s">
        <v>1439</v>
      </c>
      <c r="K14" s="102" t="s">
        <v>1428</v>
      </c>
      <c r="L14" s="103" t="s">
        <v>1388</v>
      </c>
      <c r="M14" s="103" t="s">
        <v>1016</v>
      </c>
      <c r="N14" s="104" t="s">
        <v>1461</v>
      </c>
      <c r="O14" s="103" t="str">
        <f>IFERROR(__xludf.DUMMYFUNCTION("IF(ISBLANK(N14), """", GOOGLETRANSLATE(N14, ""es"", ""en""))"),"Name or identification of the organization providing the financing.")</f>
        <v>Name or identification of the organization providing the financing.</v>
      </c>
      <c r="S14" s="107"/>
      <c r="T14" s="107"/>
    </row>
    <row r="15" ht="15.75" customHeight="1">
      <c r="A15" s="91"/>
      <c r="B15" s="95"/>
      <c r="C15" s="95"/>
      <c r="D15" s="95"/>
      <c r="E15" s="95"/>
      <c r="F15" s="101" t="s">
        <v>1428</v>
      </c>
      <c r="G15" s="95" t="s">
        <v>1445</v>
      </c>
      <c r="H15" s="95" t="s">
        <v>1296</v>
      </c>
      <c r="I15" s="95" t="s">
        <v>1462</v>
      </c>
      <c r="J15" s="95" t="s">
        <v>1454</v>
      </c>
      <c r="K15" s="102" t="s">
        <v>1428</v>
      </c>
      <c r="L15" s="103" t="s">
        <v>1462</v>
      </c>
      <c r="M15" s="103">
        <v>22.0</v>
      </c>
      <c r="N15" s="104" t="s">
        <v>1463</v>
      </c>
      <c r="O15" s="103" t="str">
        <f>IFERROR(__xludf.DUMMYFUNCTION("IF(ISBLANK(N15), """", GOOGLETRANSLATE(N15, ""es"", ""en""))"),"Code that identifies a specific program.")</f>
        <v>Code that identifies a specific program.</v>
      </c>
    </row>
    <row r="16" ht="15.75" customHeight="1">
      <c r="A16" s="91"/>
      <c r="B16" s="95"/>
      <c r="C16" s="95"/>
      <c r="D16" s="95"/>
      <c r="E16" s="95"/>
      <c r="F16" s="101" t="s">
        <v>1428</v>
      </c>
      <c r="G16" s="95" t="s">
        <v>1445</v>
      </c>
      <c r="H16" s="95" t="s">
        <v>1296</v>
      </c>
      <c r="I16" s="95" t="s">
        <v>1464</v>
      </c>
      <c r="J16" s="95" t="s">
        <v>1311</v>
      </c>
      <c r="K16" s="102" t="s">
        <v>1428</v>
      </c>
      <c r="L16" s="103" t="s">
        <v>1464</v>
      </c>
      <c r="M16" s="103" t="s">
        <v>993</v>
      </c>
      <c r="N16" s="104" t="s">
        <v>1465</v>
      </c>
      <c r="O16" s="103" t="str">
        <f>IFERROR(__xludf.DUMMYFUNCTION("IF(ISBLANK(N16), """", GOOGLETRANSLATE(N16, ""es"", ""en""))"),"Name or description of the program to which the expense is assigned.")</f>
        <v>Name or description of the program to which the expense is assigned.</v>
      </c>
    </row>
    <row r="17" ht="15.75" customHeight="1">
      <c r="A17" s="91"/>
      <c r="B17" s="95"/>
      <c r="C17" s="95"/>
      <c r="D17" s="95"/>
      <c r="E17" s="95"/>
      <c r="F17" s="101" t="s">
        <v>1428</v>
      </c>
      <c r="G17" s="95" t="s">
        <v>1445</v>
      </c>
      <c r="H17" s="95" t="s">
        <v>1296</v>
      </c>
      <c r="I17" s="95" t="s">
        <v>1466</v>
      </c>
      <c r="J17" s="95" t="s">
        <v>1454</v>
      </c>
      <c r="K17" s="102" t="s">
        <v>1428</v>
      </c>
      <c r="L17" s="103" t="s">
        <v>1467</v>
      </c>
      <c r="M17" s="103">
        <v>0.0</v>
      </c>
      <c r="N17" s="104" t="s">
        <v>1468</v>
      </c>
      <c r="O17" s="103" t="str">
        <f>IFERROR(__xludf.DUMMYFUNCTION("IF(ISBLANK(N17), """", GOOGLETRANSLATE(N17, ""es"", ""en""))"),"Code that identifies an applet within a program.")</f>
        <v>Code that identifies an applet within a program.</v>
      </c>
    </row>
    <row r="18" ht="15.75" customHeight="1">
      <c r="A18" s="91"/>
      <c r="B18" s="95"/>
      <c r="C18" s="95"/>
      <c r="D18" s="95"/>
      <c r="E18" s="95"/>
      <c r="F18" s="101" t="s">
        <v>1428</v>
      </c>
      <c r="G18" s="95" t="s">
        <v>1445</v>
      </c>
      <c r="H18" s="95" t="s">
        <v>1296</v>
      </c>
      <c r="I18" s="95" t="s">
        <v>1469</v>
      </c>
      <c r="J18" s="95" t="s">
        <v>1454</v>
      </c>
      <c r="K18" s="102" t="s">
        <v>1428</v>
      </c>
      <c r="L18" s="103" t="s">
        <v>1470</v>
      </c>
      <c r="M18" s="103" t="s">
        <v>1471</v>
      </c>
      <c r="N18" s="104" t="s">
        <v>1472</v>
      </c>
      <c r="O18" s="103" t="str">
        <f>IFERROR(__xludf.DUMMYFUNCTION("IF(ISBLANK(N18), """", GOOGLETRANSLATE(N18, ""es"", ""en""))"),"Name or description of the subprogram to which the expense is assigned.")</f>
        <v>Name or description of the subprogram to which the expense is assigned.</v>
      </c>
    </row>
    <row r="19" ht="15.75" customHeight="1">
      <c r="A19" s="91"/>
      <c r="B19" s="95" t="s">
        <v>1473</v>
      </c>
      <c r="C19" s="95" t="s">
        <v>1296</v>
      </c>
      <c r="D19" s="95" t="s">
        <v>1301</v>
      </c>
      <c r="E19" s="95" t="s">
        <v>1311</v>
      </c>
      <c r="F19" s="101" t="s">
        <v>1428</v>
      </c>
      <c r="G19" s="95" t="s">
        <v>1474</v>
      </c>
      <c r="H19" s="95" t="s">
        <v>1299</v>
      </c>
      <c r="I19" s="95" t="s">
        <v>1475</v>
      </c>
      <c r="J19" s="95"/>
      <c r="K19" s="102" t="s">
        <v>1428</v>
      </c>
      <c r="L19" s="103" t="s">
        <v>1476</v>
      </c>
      <c r="M19" s="103">
        <v>14058.0</v>
      </c>
      <c r="N19" s="104" t="s">
        <v>1477</v>
      </c>
      <c r="O19" s="103" t="str">
        <f>IFERROR(__xludf.DUMMYFUNCTION("IF(ISBLANK(N19), """", GOOGLETRANSLATE(N19, ""es"", ""en""))"),"Code assigned by the National Public Investment System (SNIP) to identify a project.")</f>
        <v>Code assigned by the National Public Investment System (SNIP) to identify a project.</v>
      </c>
    </row>
    <row r="20" ht="15.75" customHeight="1">
      <c r="A20" s="91"/>
      <c r="B20" s="95"/>
      <c r="C20" s="95"/>
      <c r="D20" s="95"/>
      <c r="E20" s="95"/>
      <c r="F20" s="101" t="s">
        <v>1428</v>
      </c>
      <c r="G20" s="95" t="s">
        <v>1445</v>
      </c>
      <c r="H20" s="95" t="s">
        <v>1296</v>
      </c>
      <c r="I20" s="95" t="s">
        <v>1478</v>
      </c>
      <c r="J20" s="95" t="s">
        <v>1454</v>
      </c>
      <c r="K20" s="102" t="s">
        <v>1428</v>
      </c>
      <c r="L20" s="103" t="s">
        <v>1478</v>
      </c>
      <c r="M20" s="103">
        <v>8.0</v>
      </c>
      <c r="N20" s="104" t="s">
        <v>1479</v>
      </c>
      <c r="O20" s="103" t="str">
        <f>IFERROR(__xludf.DUMMYFUNCTION("IF(ISBLANK(N20), """", GOOGLETRANSLATE(N20, ""es"", ""en""))"),"Code that identifies a specific project.")</f>
        <v>Code that identifies a specific project.</v>
      </c>
    </row>
    <row r="21" ht="15.75" customHeight="1">
      <c r="A21" s="91"/>
      <c r="B21" s="95"/>
      <c r="C21" s="95"/>
      <c r="D21" s="95"/>
      <c r="E21" s="95"/>
      <c r="F21" s="101" t="s">
        <v>1428</v>
      </c>
      <c r="G21" s="95" t="s">
        <v>1445</v>
      </c>
      <c r="H21" s="95" t="s">
        <v>1296</v>
      </c>
      <c r="I21" s="95" t="s">
        <v>1295</v>
      </c>
      <c r="J21" s="95" t="s">
        <v>1311</v>
      </c>
      <c r="K21" s="102" t="s">
        <v>1428</v>
      </c>
      <c r="L21" s="103" t="s">
        <v>1295</v>
      </c>
      <c r="M21" s="103" t="s">
        <v>1480</v>
      </c>
      <c r="N21" s="104" t="s">
        <v>1481</v>
      </c>
      <c r="O21" s="103" t="str">
        <f>IFERROR(__xludf.DUMMYFUNCTION("IF(ISBLANK(N21), """", GOOGLETRANSLATE(N21, ""es"", ""en""))"),"Name or description of the project to which the expense is assigned.")</f>
        <v>Name or description of the project to which the expense is assigned.</v>
      </c>
    </row>
    <row r="22" ht="15.75" customHeight="1">
      <c r="A22" s="91"/>
      <c r="B22" s="95"/>
      <c r="C22" s="95"/>
      <c r="D22" s="95"/>
      <c r="E22" s="95"/>
      <c r="F22" s="101" t="s">
        <v>1428</v>
      </c>
      <c r="G22" s="95" t="s">
        <v>1445</v>
      </c>
      <c r="H22" s="95" t="s">
        <v>1296</v>
      </c>
      <c r="I22" s="95" t="s">
        <v>1482</v>
      </c>
      <c r="J22" s="95" t="s">
        <v>1454</v>
      </c>
      <c r="K22" s="102" t="s">
        <v>1428</v>
      </c>
      <c r="L22" s="103" t="s">
        <v>1482</v>
      </c>
      <c r="M22" s="103">
        <v>51.0</v>
      </c>
      <c r="N22" s="104" t="s">
        <v>1483</v>
      </c>
      <c r="O22" s="103" t="str">
        <f>IFERROR(__xludf.DUMMYFUNCTION("IF(ISBLANK(N22), """", GOOGLETRANSLATE(N22, ""es"", ""en""))"),"Code that identifies an activity or work within a project.")</f>
        <v>Code that identifies an activity or work within a project.</v>
      </c>
    </row>
    <row r="23" ht="15.75" customHeight="1">
      <c r="A23" s="91"/>
      <c r="B23" s="95"/>
      <c r="C23" s="95"/>
      <c r="D23" s="95"/>
      <c r="E23" s="95"/>
      <c r="F23" s="101" t="s">
        <v>1428</v>
      </c>
      <c r="G23" s="95" t="s">
        <v>1445</v>
      </c>
      <c r="H23" s="95" t="s">
        <v>1296</v>
      </c>
      <c r="I23" s="95" t="s">
        <v>1484</v>
      </c>
      <c r="J23" s="95" t="s">
        <v>1311</v>
      </c>
      <c r="K23" s="102" t="s">
        <v>1428</v>
      </c>
      <c r="L23" s="103" t="s">
        <v>1485</v>
      </c>
      <c r="M23" s="103" t="s">
        <v>1486</v>
      </c>
      <c r="N23" s="104" t="s">
        <v>1487</v>
      </c>
      <c r="O23" s="103" t="str">
        <f>IFERROR(__xludf.DUMMYFUNCTION("IF(ISBLANK(N23), """", GOOGLETRANSLATE(N23, ""es"", ""en""))"),"Name or description of the activity or work to which the expense is assigned.")</f>
        <v>Name or description of the activity or work to which the expense is assigned.</v>
      </c>
    </row>
    <row r="24" ht="15.75" customHeight="1">
      <c r="A24" s="91"/>
      <c r="B24" s="95"/>
      <c r="C24" s="95"/>
      <c r="D24" s="95"/>
      <c r="E24" s="95"/>
      <c r="F24" s="101" t="s">
        <v>1428</v>
      </c>
      <c r="G24" s="95" t="s">
        <v>1488</v>
      </c>
      <c r="H24" s="95" t="s">
        <v>1296</v>
      </c>
      <c r="I24" s="95" t="s">
        <v>1489</v>
      </c>
      <c r="J24" s="95" t="s">
        <v>1435</v>
      </c>
      <c r="K24" s="102" t="s">
        <v>1428</v>
      </c>
      <c r="L24" s="103" t="s">
        <v>1490</v>
      </c>
      <c r="M24" s="108">
        <v>37074.0</v>
      </c>
      <c r="N24" s="105" t="s">
        <v>1491</v>
      </c>
      <c r="O24" s="103" t="str">
        <f>IFERROR(__xludf.DUMMYFUNCTION("IF(ISBLANK(N24), """", GOOGLETRANSLATE(N24, ""es"", ""en""))"),"Code that classifies spending into predefined groups.")</f>
        <v>Code that classifies spending into predefined groups.</v>
      </c>
    </row>
    <row r="25" ht="15.75" customHeight="1">
      <c r="A25" s="91"/>
      <c r="B25" s="95"/>
      <c r="C25" s="95"/>
      <c r="D25" s="95"/>
      <c r="E25" s="95"/>
      <c r="F25" s="101" t="s">
        <v>1428</v>
      </c>
      <c r="G25" s="95" t="s">
        <v>1488</v>
      </c>
      <c r="H25" s="95" t="s">
        <v>1296</v>
      </c>
      <c r="I25" s="95" t="s">
        <v>1492</v>
      </c>
      <c r="J25" s="95" t="s">
        <v>1439</v>
      </c>
      <c r="K25" s="102" t="s">
        <v>1428</v>
      </c>
      <c r="L25" s="103" t="s">
        <v>1493</v>
      </c>
      <c r="M25" s="103" t="s">
        <v>1055</v>
      </c>
      <c r="N25" s="105" t="s">
        <v>1494</v>
      </c>
      <c r="O25" s="103" t="str">
        <f>IFERROR(__xludf.DUMMYFUNCTION("IF(ISBLANK(N25), """", GOOGLETRANSLATE(N25, ""es"", ""en""))"),"Description or name of the group to which the expense belongs.")</f>
        <v>Description or name of the group to which the expense belongs.</v>
      </c>
    </row>
    <row r="26" ht="15.75" customHeight="1">
      <c r="A26" s="91"/>
      <c r="B26" s="95"/>
      <c r="C26" s="95"/>
      <c r="D26" s="95"/>
      <c r="E26" s="95"/>
      <c r="F26" s="101" t="s">
        <v>1428</v>
      </c>
      <c r="G26" s="95" t="s">
        <v>1445</v>
      </c>
      <c r="H26" s="95" t="s">
        <v>1296</v>
      </c>
      <c r="I26" s="95" t="s">
        <v>1495</v>
      </c>
      <c r="J26" s="95" t="s">
        <v>1454</v>
      </c>
      <c r="K26" s="102" t="s">
        <v>1428</v>
      </c>
      <c r="L26" s="103" t="s">
        <v>1495</v>
      </c>
      <c r="M26" s="103">
        <v>4.0</v>
      </c>
      <c r="N26" s="105" t="s">
        <v>1496</v>
      </c>
      <c r="O26" s="103" t="str">
        <f>IFERROR(__xludf.DUMMYFUNCTION("IF(ISBLANK(N26), """", GOOGLETRANSLATE(N26, ""es"", ""en""))"),"Code that identifies the purpose of the expense.")</f>
        <v>Code that identifies the purpose of the expense.</v>
      </c>
    </row>
    <row r="27" ht="15.75" customHeight="1">
      <c r="A27" s="91"/>
      <c r="B27" s="95"/>
      <c r="C27" s="95"/>
      <c r="D27" s="95"/>
      <c r="E27" s="95"/>
      <c r="F27" s="101" t="s">
        <v>1428</v>
      </c>
      <c r="G27" s="95" t="s">
        <v>1445</v>
      </c>
      <c r="H27" s="95" t="s">
        <v>1296</v>
      </c>
      <c r="I27" s="95" t="s">
        <v>1497</v>
      </c>
      <c r="J27" s="95" t="s">
        <v>1311</v>
      </c>
      <c r="K27" s="102" t="s">
        <v>1428</v>
      </c>
      <c r="L27" s="103" t="s">
        <v>1497</v>
      </c>
      <c r="M27" s="103" t="s">
        <v>1030</v>
      </c>
      <c r="N27" s="104" t="s">
        <v>1498</v>
      </c>
      <c r="O27" s="103" t="str">
        <f>IFERROR(__xludf.DUMMYFUNCTION("IF(ISBLANK(N27), """", GOOGLETRANSLATE(N27, ""es"", ""en""))"),"Description or name of the purpose for which the expense is intended.")</f>
        <v>Description or name of the purpose for which the expense is intended.</v>
      </c>
    </row>
    <row r="28" ht="15.75" customHeight="1">
      <c r="A28" s="91"/>
      <c r="B28" s="95"/>
      <c r="C28" s="95"/>
      <c r="D28" s="95"/>
      <c r="E28" s="95"/>
      <c r="F28" s="101" t="s">
        <v>1428</v>
      </c>
      <c r="G28" s="95" t="s">
        <v>1488</v>
      </c>
      <c r="H28" s="95" t="s">
        <v>1296</v>
      </c>
      <c r="I28" s="95" t="s">
        <v>1499</v>
      </c>
      <c r="J28" s="95" t="s">
        <v>1435</v>
      </c>
      <c r="K28" s="102" t="s">
        <v>1428</v>
      </c>
      <c r="L28" s="103" t="s">
        <v>1499</v>
      </c>
      <c r="M28" s="103" t="s">
        <v>722</v>
      </c>
      <c r="N28" s="104" t="s">
        <v>1500</v>
      </c>
      <c r="O28" s="103" t="str">
        <f>IFERROR(__xludf.DUMMYFUNCTION("IF(ISBLANK(N28), """", GOOGLETRANSLATE(N28, ""es"", ""en""))"),"Code that identifies the specific object for which the expense is intended.")</f>
        <v>Code that identifies the specific object for which the expense is intended.</v>
      </c>
    </row>
    <row r="29" ht="15.75" customHeight="1">
      <c r="A29" s="91"/>
      <c r="B29" s="95"/>
      <c r="C29" s="95"/>
      <c r="D29" s="95"/>
      <c r="E29" s="95"/>
      <c r="F29" s="101" t="s">
        <v>1428</v>
      </c>
      <c r="G29" s="95" t="s">
        <v>1488</v>
      </c>
      <c r="H29" s="95" t="s">
        <v>1296</v>
      </c>
      <c r="I29" s="95" t="s">
        <v>1501</v>
      </c>
      <c r="J29" s="95" t="s">
        <v>1439</v>
      </c>
      <c r="K29" s="102" t="s">
        <v>1428</v>
      </c>
      <c r="L29" s="103" t="s">
        <v>1501</v>
      </c>
      <c r="M29" s="103" t="s">
        <v>721</v>
      </c>
      <c r="N29" s="104" t="s">
        <v>1502</v>
      </c>
      <c r="O29" s="103" t="str">
        <f>IFERROR(__xludf.DUMMYFUNCTION("IF(ISBLANK(N29), """", GOOGLETRANSLATE(N29, ""es"", ""en""))"),"Description or name of the object for which the expense is intended.")</f>
        <v>Description or name of the object for which the expense is intended.</v>
      </c>
    </row>
    <row r="30" ht="15.75" customHeight="1">
      <c r="A30" s="91"/>
      <c r="B30" s="95"/>
      <c r="C30" s="95"/>
      <c r="D30" s="95"/>
      <c r="E30" s="95"/>
      <c r="F30" s="101" t="s">
        <v>1428</v>
      </c>
      <c r="G30" s="95" t="s">
        <v>1503</v>
      </c>
      <c r="H30" s="95" t="s">
        <v>1296</v>
      </c>
      <c r="I30" s="95" t="s">
        <v>1339</v>
      </c>
      <c r="J30" s="95" t="s">
        <v>1374</v>
      </c>
      <c r="K30" s="102" t="s">
        <v>1428</v>
      </c>
      <c r="L30" s="103" t="s">
        <v>1341</v>
      </c>
      <c r="M30" s="103" t="s">
        <v>1504</v>
      </c>
      <c r="N30" s="104" t="s">
        <v>1505</v>
      </c>
      <c r="O30" s="103" t="str">
        <f>IFERROR(__xludf.DUMMYFUNCTION("IF(ISBLANK(N30), """", GOOGLETRANSLATE(N30, ""es"", ""en""))"),"Sector to which the activity or work associated with the expense belongs.")</f>
        <v>Sector to which the activity or work associated with the expense belongs.</v>
      </c>
    </row>
    <row r="31" ht="15.75" customHeight="1">
      <c r="A31" s="91"/>
      <c r="B31" s="95"/>
      <c r="C31" s="95"/>
      <c r="D31" s="95"/>
      <c r="E31" s="95"/>
      <c r="F31" s="101" t="s">
        <v>1428</v>
      </c>
      <c r="G31" s="95" t="s">
        <v>1445</v>
      </c>
      <c r="H31" s="95" t="s">
        <v>1296</v>
      </c>
      <c r="I31" s="95" t="s">
        <v>1506</v>
      </c>
      <c r="J31" s="95" t="s">
        <v>1454</v>
      </c>
      <c r="K31" s="102" t="s">
        <v>1428</v>
      </c>
      <c r="L31" s="103" t="s">
        <v>1506</v>
      </c>
      <c r="M31" s="109">
        <v>37260.0</v>
      </c>
      <c r="N31" s="104" t="s">
        <v>1507</v>
      </c>
      <c r="O31" s="103" t="str">
        <f>IFERROR(__xludf.DUMMYFUNCTION("IF(ISBLANK(N31), """", GOOGLETRANSLATE(N31, ""es"", ""en""))"),"Code that identifies a subfunction within a function. ")</f>
        <v>Code that identifies a subfunction within a function. </v>
      </c>
    </row>
    <row r="32" ht="15.75" customHeight="1">
      <c r="A32" s="91"/>
      <c r="B32" s="95"/>
      <c r="C32" s="95"/>
      <c r="D32" s="95"/>
      <c r="E32" s="95"/>
      <c r="F32" s="101" t="s">
        <v>1428</v>
      </c>
      <c r="G32" s="95" t="s">
        <v>1445</v>
      </c>
      <c r="H32" s="95" t="s">
        <v>1296</v>
      </c>
      <c r="I32" s="95" t="s">
        <v>1508</v>
      </c>
      <c r="J32" s="95" t="s">
        <v>1311</v>
      </c>
      <c r="K32" s="102" t="s">
        <v>1428</v>
      </c>
      <c r="L32" s="103" t="s">
        <v>1508</v>
      </c>
      <c r="M32" s="103" t="s">
        <v>1509</v>
      </c>
      <c r="N32" s="104" t="s">
        <v>1510</v>
      </c>
      <c r="O32" s="103" t="str">
        <f>IFERROR(__xludf.DUMMYFUNCTION("IF(ISBLANK(N32), """", GOOGLETRANSLATE(N32, ""es"", ""en""))"),"Description or name of the subfunction associated with the expense.")</f>
        <v>Description or name of the subfunction associated with the expense.</v>
      </c>
    </row>
    <row r="33" ht="15.75" customHeight="1">
      <c r="A33" s="91"/>
      <c r="B33" s="95"/>
      <c r="C33" s="95"/>
      <c r="D33" s="95"/>
      <c r="E33" s="95"/>
      <c r="F33" s="101" t="s">
        <v>1428</v>
      </c>
      <c r="G33" s="95" t="s">
        <v>1511</v>
      </c>
      <c r="H33" s="95" t="s">
        <v>1296</v>
      </c>
      <c r="I33" s="95" t="s">
        <v>1512</v>
      </c>
      <c r="J33" s="95" t="s">
        <v>1513</v>
      </c>
      <c r="K33" s="110" t="s">
        <v>1514</v>
      </c>
      <c r="L33" s="103" t="s">
        <v>1515</v>
      </c>
      <c r="M33" s="103">
        <v>0.0</v>
      </c>
      <c r="N33" s="104" t="s">
        <v>1516</v>
      </c>
      <c r="O33" s="103" t="str">
        <f>IFERROR(__xludf.DUMMYFUNCTION("IF(ISBLANK(N33), """", GOOGLETRANSLATE(N33, ""es"", ""en""))"),"Amount or value approved for the expense in the budget item.")</f>
        <v>Amount or value approved for the expense in the budget item.</v>
      </c>
    </row>
    <row r="34" ht="15.75" customHeight="1">
      <c r="A34" s="91"/>
      <c r="B34" s="95"/>
      <c r="C34" s="95"/>
      <c r="D34" s="95"/>
      <c r="E34" s="95"/>
      <c r="F34" s="101" t="s">
        <v>1428</v>
      </c>
      <c r="G34" s="95" t="s">
        <v>1511</v>
      </c>
      <c r="H34" s="95" t="s">
        <v>1296</v>
      </c>
      <c r="I34" s="95" t="s">
        <v>1394</v>
      </c>
      <c r="J34" s="95" t="s">
        <v>1513</v>
      </c>
      <c r="K34" s="110" t="s">
        <v>1517</v>
      </c>
      <c r="L34" s="103" t="s">
        <v>1394</v>
      </c>
      <c r="M34" s="103" t="s">
        <v>1518</v>
      </c>
      <c r="N34" s="104" t="s">
        <v>1519</v>
      </c>
      <c r="O34" s="103" t="str">
        <f>IFERROR(__xludf.DUMMYFUNCTION("IF(ISBLANK(N34), """", GOOGLETRANSLATE(N34, ""es"", ""en""))"),"Amount or value currently in force for the expense in the budget item.")</f>
        <v>Amount or value currently in force for the expense in the budget item.</v>
      </c>
    </row>
    <row r="35" ht="15.75" customHeight="1">
      <c r="A35" s="91"/>
      <c r="B35" s="95"/>
      <c r="C35" s="95"/>
      <c r="D35" s="95"/>
      <c r="E35" s="95"/>
      <c r="F35" s="101" t="s">
        <v>1428</v>
      </c>
      <c r="G35" s="95" t="s">
        <v>1511</v>
      </c>
      <c r="H35" s="95" t="s">
        <v>1296</v>
      </c>
      <c r="I35" s="95" t="s">
        <v>1398</v>
      </c>
      <c r="J35" s="95" t="s">
        <v>1513</v>
      </c>
      <c r="K35" s="110" t="s">
        <v>1520</v>
      </c>
      <c r="L35" s="103" t="s">
        <v>1398</v>
      </c>
      <c r="M35" s="103" t="s">
        <v>1518</v>
      </c>
      <c r="N35" s="104" t="s">
        <v>1521</v>
      </c>
      <c r="O35" s="103" t="str">
        <f>IFERROR(__xludf.DUMMYFUNCTION("IF(ISBLANK(N35), """", GOOGLETRANSLATE(N35, ""es"", ""en""))"),"Amount or value executed so far for the expense in the budget item.")</f>
        <v>Amount or value executed so far for the expense in the budget item.</v>
      </c>
    </row>
    <row r="36" ht="15.75" customHeight="1">
      <c r="A36" s="91"/>
      <c r="B36" s="95"/>
      <c r="C36" s="95"/>
      <c r="D36" s="95"/>
      <c r="E36" s="95"/>
      <c r="F36" s="101" t="s">
        <v>1428</v>
      </c>
      <c r="G36" s="95" t="s">
        <v>1522</v>
      </c>
      <c r="H36" s="95" t="s">
        <v>1296</v>
      </c>
      <c r="I36" s="111" t="s">
        <v>1523</v>
      </c>
      <c r="J36" s="95" t="s">
        <v>1316</v>
      </c>
      <c r="K36" s="110" t="s">
        <v>1524</v>
      </c>
      <c r="L36" s="103" t="s">
        <v>1523</v>
      </c>
      <c r="M36" s="112">
        <v>45359.0</v>
      </c>
      <c r="N36" s="104" t="s">
        <v>1525</v>
      </c>
      <c r="O36" s="103" t="str">
        <f>IFERROR(__xludf.DUMMYFUNCTION("IF(ISBLANK(N36), """", GOOGLETRANSLATE(N36, ""es"", ""en""))"),"Date the information in the data source was updated")</f>
        <v>Date the information in the data source was updated</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K2:O2"/>
    <mergeCell ref="K3:M3"/>
    <mergeCell ref="N3:O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5.0"/>
    <col customWidth="1" min="2" max="2" width="34.13"/>
    <col customWidth="1" min="3" max="3" width="31.5"/>
    <col customWidth="1" min="4" max="5" width="25.88"/>
    <col customWidth="1" min="6" max="6" width="31.63"/>
    <col customWidth="1" min="7" max="7" width="32.63"/>
    <col customWidth="1" min="8" max="10" width="31.63"/>
    <col customWidth="1" min="11" max="11" width="38.13"/>
    <col customWidth="1" min="12" max="12" width="26.5"/>
    <col customWidth="1" min="13" max="13" width="85.25"/>
    <col customWidth="1" min="14" max="14" width="73.88"/>
    <col customWidth="1" min="15" max="15" width="68.38"/>
  </cols>
  <sheetData>
    <row r="1" ht="15.75" customHeight="1">
      <c r="M1" s="4"/>
    </row>
    <row r="2" ht="15.75" customHeight="1">
      <c r="K2" s="71" t="s">
        <v>1526</v>
      </c>
      <c r="L2" s="20"/>
      <c r="M2" s="20"/>
      <c r="N2" s="20"/>
      <c r="O2" s="22"/>
    </row>
    <row r="3" ht="33.75" customHeight="1">
      <c r="K3" s="113" t="s">
        <v>1527</v>
      </c>
      <c r="L3" s="20"/>
      <c r="M3" s="22"/>
      <c r="N3" s="113" t="s">
        <v>1528</v>
      </c>
      <c r="O3" s="22"/>
    </row>
    <row r="4" ht="15.75" customHeight="1">
      <c r="B4" s="72" t="s">
        <v>1287</v>
      </c>
      <c r="C4" s="72" t="s">
        <v>1288</v>
      </c>
      <c r="D4" s="72" t="s">
        <v>1289</v>
      </c>
      <c r="E4" s="72" t="s">
        <v>1290</v>
      </c>
      <c r="F4" s="73" t="s">
        <v>1291</v>
      </c>
      <c r="G4" s="74" t="s">
        <v>1287</v>
      </c>
      <c r="H4" s="74" t="s">
        <v>1288</v>
      </c>
      <c r="I4" s="74" t="s">
        <v>1289</v>
      </c>
      <c r="J4" s="74" t="s">
        <v>1290</v>
      </c>
      <c r="K4" s="75" t="s">
        <v>1291</v>
      </c>
      <c r="L4" s="75" t="s">
        <v>1292</v>
      </c>
      <c r="M4" s="75" t="s">
        <v>40</v>
      </c>
      <c r="N4" s="76" t="s">
        <v>1426</v>
      </c>
      <c r="O4" s="76" t="s">
        <v>1427</v>
      </c>
    </row>
    <row r="5" ht="15.75" customHeight="1">
      <c r="B5" s="30"/>
      <c r="C5" s="30"/>
      <c r="D5" s="30"/>
      <c r="E5" s="30"/>
      <c r="F5" s="30"/>
      <c r="G5" s="30" t="s">
        <v>1429</v>
      </c>
      <c r="H5" s="30" t="s">
        <v>1529</v>
      </c>
      <c r="I5" s="30" t="s">
        <v>1430</v>
      </c>
      <c r="J5" s="30"/>
      <c r="K5" s="31"/>
      <c r="L5" s="30" t="s">
        <v>1530</v>
      </c>
      <c r="M5" s="36">
        <v>2023.0</v>
      </c>
      <c r="N5" s="114" t="s">
        <v>1531</v>
      </c>
      <c r="O5" s="31" t="str">
        <f>IFERROR(__xludf.DUMMYFUNCTION("IF(ISBLANK(N5), """", GOOGLETRANSLATE(N5, ""es"", ""en""))"),"Year to which the budget or recorded budget information corresponds.")</f>
        <v>Year to which the budget or recorded budget information corresponds.</v>
      </c>
    </row>
    <row r="6" ht="15.75" customHeight="1">
      <c r="B6" s="30" t="s">
        <v>1445</v>
      </c>
      <c r="C6" s="30" t="s">
        <v>1529</v>
      </c>
      <c r="D6" s="30" t="s">
        <v>1434</v>
      </c>
      <c r="E6" s="30" t="s">
        <v>1435</v>
      </c>
      <c r="F6" s="30"/>
      <c r="G6" s="30" t="s">
        <v>1532</v>
      </c>
      <c r="H6" s="30" t="s">
        <v>1299</v>
      </c>
      <c r="I6" s="30" t="s">
        <v>1434</v>
      </c>
      <c r="J6" s="30"/>
      <c r="K6" s="31"/>
      <c r="L6" s="30" t="s">
        <v>1434</v>
      </c>
      <c r="M6" s="32" t="s">
        <v>1436</v>
      </c>
      <c r="N6" s="114" t="s">
        <v>1533</v>
      </c>
      <c r="O6" s="31" t="str">
        <f>IFERROR(__xludf.DUMMYFUNCTION("IF(ISBLANK(N6), """", GOOGLETRANSLATE(N6, ""es"", ""en""))"),"Unique code that identifies an institution within the system or set of institutions.")</f>
        <v>Unique code that identifies an institution within the system or set of institutions.</v>
      </c>
    </row>
    <row r="7" ht="15.75" customHeight="1">
      <c r="B7" s="30" t="s">
        <v>1433</v>
      </c>
      <c r="C7" s="30" t="s">
        <v>1529</v>
      </c>
      <c r="D7" s="30" t="s">
        <v>1438</v>
      </c>
      <c r="E7" s="30" t="s">
        <v>1439</v>
      </c>
      <c r="F7" s="30"/>
      <c r="G7" s="30" t="s">
        <v>1532</v>
      </c>
      <c r="H7" s="30" t="s">
        <v>1299</v>
      </c>
      <c r="I7" s="30" t="s">
        <v>1438</v>
      </c>
      <c r="J7" s="30"/>
      <c r="K7" s="31"/>
      <c r="L7" s="30" t="s">
        <v>1438</v>
      </c>
      <c r="M7" s="32" t="s">
        <v>985</v>
      </c>
      <c r="N7" s="114" t="s">
        <v>1534</v>
      </c>
      <c r="O7" s="31" t="str">
        <f>IFERROR(__xludf.DUMMYFUNCTION("IF(ISBLANK(N7), """", GOOGLETRANSLATE(N7, ""es"", ""en""))"),"Name or identification of the institution to which the recorded budget information belongs.")</f>
        <v>Name or identification of the institution to which the recorded budget information belongs.</v>
      </c>
    </row>
    <row r="8" ht="15.75" customHeight="1">
      <c r="B8" s="30" t="s">
        <v>1445</v>
      </c>
      <c r="C8" s="30" t="s">
        <v>1529</v>
      </c>
      <c r="D8" s="30" t="s">
        <v>1446</v>
      </c>
      <c r="E8" s="30" t="s">
        <v>60</v>
      </c>
      <c r="F8" s="30"/>
      <c r="G8" s="30" t="s">
        <v>1532</v>
      </c>
      <c r="H8" s="30" t="s">
        <v>1299</v>
      </c>
      <c r="I8" s="30" t="s">
        <v>1535</v>
      </c>
      <c r="J8" s="30"/>
      <c r="K8" s="31"/>
      <c r="L8" s="30" t="s">
        <v>1535</v>
      </c>
      <c r="M8" s="32">
        <v>10.0</v>
      </c>
      <c r="N8" s="114" t="s">
        <v>1536</v>
      </c>
      <c r="O8" s="31" t="str">
        <f>IFERROR(__xludf.DUMMYFUNCTION("IF(ISBLANK(N8), """", GOOGLETRANSLATE(N8, ""es"", ""en""))"),"Code that identifies the source of financing for the project.")</f>
        <v>Code that identifies the source of financing for the project.</v>
      </c>
    </row>
    <row r="9" ht="15.75" customHeight="1">
      <c r="B9" s="30" t="s">
        <v>1449</v>
      </c>
      <c r="C9" s="30" t="s">
        <v>1529</v>
      </c>
      <c r="D9" s="30" t="s">
        <v>1450</v>
      </c>
      <c r="E9" s="30" t="s">
        <v>1439</v>
      </c>
      <c r="F9" s="30"/>
      <c r="G9" s="30" t="s">
        <v>1532</v>
      </c>
      <c r="H9" s="30" t="s">
        <v>1299</v>
      </c>
      <c r="I9" s="30" t="s">
        <v>1537</v>
      </c>
      <c r="J9" s="30"/>
      <c r="K9" s="31"/>
      <c r="L9" s="30" t="s">
        <v>1537</v>
      </c>
      <c r="M9" s="32" t="s">
        <v>1021</v>
      </c>
      <c r="N9" s="114" t="s">
        <v>1538</v>
      </c>
      <c r="O9" s="31" t="str">
        <f>IFERROR(__xludf.DUMMYFUNCTION("IF(ISBLANK(N9), """", GOOGLETRANSLATE(N9, ""es"", ""en""))"),"Description or identification of the source of financing for the project.")</f>
        <v>Description or identification of the source of financing for the project.</v>
      </c>
    </row>
    <row r="10" ht="15.75" customHeight="1">
      <c r="B10" s="30" t="s">
        <v>1445</v>
      </c>
      <c r="C10" s="30" t="s">
        <v>1529</v>
      </c>
      <c r="D10" s="30" t="s">
        <v>1453</v>
      </c>
      <c r="E10" s="30" t="s">
        <v>1454</v>
      </c>
      <c r="F10" s="30"/>
      <c r="G10" s="30" t="s">
        <v>1532</v>
      </c>
      <c r="H10" s="30" t="s">
        <v>1299</v>
      </c>
      <c r="I10" s="30" t="s">
        <v>1453</v>
      </c>
      <c r="J10" s="30"/>
      <c r="K10" s="31"/>
      <c r="L10" s="30" t="s">
        <v>1453</v>
      </c>
      <c r="M10" s="32">
        <v>100.0</v>
      </c>
      <c r="N10" s="114" t="s">
        <v>1455</v>
      </c>
      <c r="O10" s="31" t="str">
        <f>IFERROR(__xludf.DUMMYFUNCTION("IF(ISBLANK(N10), """", GOOGLETRANSLATE(N10, ""es"", ""en""))"),"Specific code that identifies the detailed financing source.")</f>
        <v>Specific code that identifies the detailed financing source.</v>
      </c>
    </row>
    <row r="11" ht="15.75" customHeight="1">
      <c r="B11" s="30" t="s">
        <v>1445</v>
      </c>
      <c r="C11" s="30" t="s">
        <v>1529</v>
      </c>
      <c r="D11" s="30" t="s">
        <v>1456</v>
      </c>
      <c r="E11" s="30" t="s">
        <v>1311</v>
      </c>
      <c r="F11" s="30"/>
      <c r="G11" s="30" t="s">
        <v>1532</v>
      </c>
      <c r="H11" s="30" t="s">
        <v>1299</v>
      </c>
      <c r="I11" s="30" t="s">
        <v>1456</v>
      </c>
      <c r="J11" s="30"/>
      <c r="K11" s="31"/>
      <c r="L11" s="30" t="s">
        <v>1456</v>
      </c>
      <c r="M11" s="32" t="s">
        <v>1021</v>
      </c>
      <c r="N11" s="114" t="s">
        <v>1457</v>
      </c>
      <c r="O11" s="31" t="str">
        <f>IFERROR(__xludf.DUMMYFUNCTION("IF(ISBLANK(N11), """", GOOGLETRANSLATE(N11, ""es"", ""en""))"),"Detailed description or specific identification of the funding source.")</f>
        <v>Detailed description or specific identification of the funding source.</v>
      </c>
    </row>
    <row r="12" ht="15.75" customHeight="1">
      <c r="B12" s="30" t="s">
        <v>1458</v>
      </c>
      <c r="C12" s="30" t="s">
        <v>1529</v>
      </c>
      <c r="D12" s="30" t="s">
        <v>1459</v>
      </c>
      <c r="E12" s="30" t="s">
        <v>60</v>
      </c>
      <c r="F12" s="30"/>
      <c r="G12" s="30" t="s">
        <v>1532</v>
      </c>
      <c r="H12" s="30" t="s">
        <v>1299</v>
      </c>
      <c r="I12" s="30" t="s">
        <v>1459</v>
      </c>
      <c r="J12" s="30"/>
      <c r="K12" s="31"/>
      <c r="L12" s="30" t="s">
        <v>1459</v>
      </c>
      <c r="M12" s="32">
        <v>100.0</v>
      </c>
      <c r="N12" s="114" t="s">
        <v>1539</v>
      </c>
      <c r="O12" s="31" t="str">
        <f>IFERROR(__xludf.DUMMYFUNCTION("IF(ISBLANK(N12), """", GOOGLETRANSLATE(N12, ""es"", ""en""))"),"Code that identifies the organization that provides financing for the project.")</f>
        <v>Code that identifies the organization that provides financing for the project.</v>
      </c>
    </row>
    <row r="13" ht="15.75" customHeight="1">
      <c r="B13" s="30" t="s">
        <v>1458</v>
      </c>
      <c r="C13" s="30" t="s">
        <v>1529</v>
      </c>
      <c r="D13" s="30" t="s">
        <v>1388</v>
      </c>
      <c r="E13" s="30" t="s">
        <v>1439</v>
      </c>
      <c r="F13" s="30"/>
      <c r="G13" s="30" t="s">
        <v>1532</v>
      </c>
      <c r="H13" s="30" t="s">
        <v>1299</v>
      </c>
      <c r="I13" s="30" t="s">
        <v>1388</v>
      </c>
      <c r="J13" s="30"/>
      <c r="K13" s="31"/>
      <c r="L13" s="30" t="s">
        <v>1388</v>
      </c>
      <c r="M13" s="32" t="s">
        <v>1016</v>
      </c>
      <c r="N13" s="114" t="s">
        <v>1540</v>
      </c>
      <c r="O13" s="31" t="str">
        <f>IFERROR(__xludf.DUMMYFUNCTION("IF(ISBLANK(N13), """", GOOGLETRANSLATE(N13, ""es"", ""en""))"),"Name or identification of the agency providing financing for the project.")</f>
        <v>Name or identification of the agency providing financing for the project.</v>
      </c>
    </row>
    <row r="14" ht="15.75" customHeight="1">
      <c r="B14" s="30" t="s">
        <v>1445</v>
      </c>
      <c r="C14" s="30" t="s">
        <v>1529</v>
      </c>
      <c r="D14" s="30" t="s">
        <v>1495</v>
      </c>
      <c r="E14" s="30" t="s">
        <v>1454</v>
      </c>
      <c r="F14" s="30"/>
      <c r="G14" s="30" t="s">
        <v>1532</v>
      </c>
      <c r="H14" s="30" t="s">
        <v>1299</v>
      </c>
      <c r="I14" s="30" t="s">
        <v>1495</v>
      </c>
      <c r="J14" s="30"/>
      <c r="K14" s="31"/>
      <c r="L14" s="30" t="s">
        <v>1495</v>
      </c>
      <c r="M14" s="32">
        <v>1.0</v>
      </c>
      <c r="N14" s="114" t="s">
        <v>1541</v>
      </c>
      <c r="O14" s="31" t="str">
        <f>IFERROR(__xludf.DUMMYFUNCTION("IF(ISBLANK(N14), """", GOOGLETRANSLATE(N14, ""es"", ""en""))"),"Code that identifies the purpose of the project.")</f>
        <v>Code that identifies the purpose of the project.</v>
      </c>
      <c r="AF14" s="115"/>
    </row>
    <row r="15" ht="15.75" customHeight="1">
      <c r="B15" s="30" t="s">
        <v>1445</v>
      </c>
      <c r="C15" s="30" t="s">
        <v>1529</v>
      </c>
      <c r="D15" s="30" t="s">
        <v>1497</v>
      </c>
      <c r="E15" s="30" t="s">
        <v>1311</v>
      </c>
      <c r="F15" s="30"/>
      <c r="G15" s="30" t="s">
        <v>1532</v>
      </c>
      <c r="H15" s="30" t="s">
        <v>1299</v>
      </c>
      <c r="I15" s="30" t="s">
        <v>1497</v>
      </c>
      <c r="J15" s="30"/>
      <c r="K15" s="31"/>
      <c r="L15" s="30" t="s">
        <v>1497</v>
      </c>
      <c r="M15" s="32" t="s">
        <v>1542</v>
      </c>
      <c r="N15" s="114" t="s">
        <v>1543</v>
      </c>
      <c r="O15" s="31" t="str">
        <f>IFERROR(__xludf.DUMMYFUNCTION("IF(ISBLANK(N15), """", GOOGLETRANSLATE(N15, ""es"", ""en""))"),"Description or name of the purpose for which the project is intended.")</f>
        <v>Description or name of the purpose for which the project is intended.</v>
      </c>
    </row>
    <row r="16" ht="15.75" customHeight="1">
      <c r="B16" s="30"/>
      <c r="C16" s="30"/>
      <c r="D16" s="30"/>
      <c r="E16" s="30"/>
      <c r="F16" s="30"/>
      <c r="G16" s="30" t="s">
        <v>1503</v>
      </c>
      <c r="H16" s="30" t="s">
        <v>1529</v>
      </c>
      <c r="I16" s="30" t="s">
        <v>1544</v>
      </c>
      <c r="J16" s="30" t="s">
        <v>60</v>
      </c>
      <c r="K16" s="31"/>
      <c r="L16" s="30" t="s">
        <v>1544</v>
      </c>
      <c r="M16" s="32">
        <v>1400.0</v>
      </c>
      <c r="N16" s="114" t="s">
        <v>1545</v>
      </c>
      <c r="O16" s="31" t="str">
        <f>IFERROR(__xludf.DUMMYFUNCTION("IF(ISBLANK(N16), """", GOOGLETRANSLATE(N16, ""es"", ""en""))"),"Unique identification of the sector to which the project belongs.")</f>
        <v>Unique identification of the sector to which the project belongs.</v>
      </c>
    </row>
    <row r="17" ht="15.75" customHeight="1">
      <c r="B17" s="30"/>
      <c r="C17" s="30"/>
      <c r="D17" s="30"/>
      <c r="E17" s="30"/>
      <c r="F17" s="30"/>
      <c r="G17" s="30" t="s">
        <v>1503</v>
      </c>
      <c r="H17" s="30" t="s">
        <v>1529</v>
      </c>
      <c r="I17" s="30" t="s">
        <v>1339</v>
      </c>
      <c r="J17" s="30" t="s">
        <v>1374</v>
      </c>
      <c r="K17" s="31"/>
      <c r="L17" s="30" t="s">
        <v>1339</v>
      </c>
      <c r="M17" s="32" t="s">
        <v>1546</v>
      </c>
      <c r="N17" s="114" t="s">
        <v>1547</v>
      </c>
      <c r="O17" s="31" t="str">
        <f>IFERROR(__xludf.DUMMYFUNCTION("IF(ISBLANK(N17), """", GOOGLETRANSLATE(N17, ""es"", ""en""))"),"Name or description of the sector to which the project belongs.")</f>
        <v>Name or description of the sector to which the project belongs.</v>
      </c>
    </row>
    <row r="18" ht="15.75" customHeight="1">
      <c r="B18" s="30" t="s">
        <v>1445</v>
      </c>
      <c r="C18" s="30" t="s">
        <v>1529</v>
      </c>
      <c r="D18" s="30" t="s">
        <v>1506</v>
      </c>
      <c r="E18" s="30" t="s">
        <v>1454</v>
      </c>
      <c r="F18" s="30"/>
      <c r="G18" s="30" t="s">
        <v>1532</v>
      </c>
      <c r="H18" s="30" t="s">
        <v>1299</v>
      </c>
      <c r="I18" s="30" t="s">
        <v>1506</v>
      </c>
      <c r="J18" s="30"/>
      <c r="K18" s="31"/>
      <c r="L18" s="30" t="s">
        <v>1506</v>
      </c>
      <c r="M18" s="53">
        <v>36982.0</v>
      </c>
      <c r="N18" s="114" t="s">
        <v>1548</v>
      </c>
      <c r="O18" s="31" t="str">
        <f>IFERROR(__xludf.DUMMYFUNCTION("IF(ISBLANK(N18), """", GOOGLETRANSLATE(N18, ""es"", ""en""))"),"Code that identifies a subfunction within a function.")</f>
        <v>Code that identifies a subfunction within a function.</v>
      </c>
    </row>
    <row r="19" ht="15.75" customHeight="1">
      <c r="B19" s="30" t="s">
        <v>1445</v>
      </c>
      <c r="C19" s="30" t="s">
        <v>1529</v>
      </c>
      <c r="D19" s="30" t="s">
        <v>1508</v>
      </c>
      <c r="E19" s="30" t="s">
        <v>1311</v>
      </c>
      <c r="F19" s="30"/>
      <c r="G19" s="30" t="s">
        <v>1532</v>
      </c>
      <c r="H19" s="30" t="s">
        <v>1299</v>
      </c>
      <c r="I19" s="30" t="s">
        <v>1508</v>
      </c>
      <c r="J19" s="30"/>
      <c r="K19" s="31"/>
      <c r="L19" s="30" t="s">
        <v>1508</v>
      </c>
      <c r="M19" s="32" t="s">
        <v>1549</v>
      </c>
      <c r="N19" s="114" t="s">
        <v>1550</v>
      </c>
      <c r="O19" s="31" t="str">
        <f>IFERROR(__xludf.DUMMYFUNCTION("IF(ISBLANK(N19), """", GOOGLETRANSLATE(N19, ""es"", ""en""))"),"Description or name of the subfunction associated with the project.")</f>
        <v>Description or name of the subfunction associated with the project.</v>
      </c>
    </row>
    <row r="20" ht="15.75" customHeight="1">
      <c r="B20" s="30"/>
      <c r="C20" s="30"/>
      <c r="D20" s="30"/>
      <c r="E20" s="30"/>
      <c r="F20" s="30"/>
      <c r="G20" s="30" t="s">
        <v>1551</v>
      </c>
      <c r="H20" s="30" t="s">
        <v>1529</v>
      </c>
      <c r="I20" s="30" t="s">
        <v>1475</v>
      </c>
      <c r="J20" s="30" t="s">
        <v>1552</v>
      </c>
      <c r="K20" s="31"/>
      <c r="L20" s="30" t="s">
        <v>1476</v>
      </c>
      <c r="M20" s="32">
        <v>14087.0</v>
      </c>
      <c r="N20" s="80" t="s">
        <v>1553</v>
      </c>
      <c r="O20" s="31" t="str">
        <f>IFERROR(__xludf.DUMMYFUNCTION("IF(ISBLANK(N20), """", GOOGLETRANSLATE(N20, ""es"", ""en""))"),"Code assigned by the National Public Investment System (SNIP) to identify a specific project.")</f>
        <v>Code assigned by the National Public Investment System (SNIP) to identify a specific project.</v>
      </c>
    </row>
    <row r="21" ht="15.75" customHeight="1">
      <c r="B21" s="30"/>
      <c r="C21" s="30"/>
      <c r="D21" s="30"/>
      <c r="E21" s="30"/>
      <c r="F21" s="30"/>
      <c r="G21" s="30" t="s">
        <v>1554</v>
      </c>
      <c r="H21" s="30" t="s">
        <v>1529</v>
      </c>
      <c r="I21" s="30" t="s">
        <v>1555</v>
      </c>
      <c r="J21" s="30" t="s">
        <v>1556</v>
      </c>
      <c r="K21" s="31" t="s">
        <v>1557</v>
      </c>
      <c r="L21" s="30" t="s">
        <v>1558</v>
      </c>
      <c r="M21" s="32" t="s">
        <v>1559</v>
      </c>
      <c r="N21" s="114" t="s">
        <v>1560</v>
      </c>
      <c r="O21" s="31" t="str">
        <f>IFERROR(__xludf.DUMMYFUNCTION("IF(ISBLANK(N21), """", GOOGLETRANSLATE(N21, ""es"", ""en""))"),"Name or title of the project.")</f>
        <v>Name or title of the project.</v>
      </c>
    </row>
    <row r="22" ht="15.75" customHeight="1">
      <c r="B22" s="30"/>
      <c r="C22" s="30"/>
      <c r="D22" s="30"/>
      <c r="E22" s="30"/>
      <c r="F22" s="30"/>
      <c r="G22" s="30" t="s">
        <v>1473</v>
      </c>
      <c r="H22" s="30" t="s">
        <v>1529</v>
      </c>
      <c r="I22" s="30" t="s">
        <v>1561</v>
      </c>
      <c r="J22" s="116" t="s">
        <v>1311</v>
      </c>
      <c r="K22" s="31" t="s">
        <v>1562</v>
      </c>
      <c r="L22" s="30" t="s">
        <v>1561</v>
      </c>
      <c r="M22" s="32" t="s">
        <v>1563</v>
      </c>
      <c r="N22" s="114" t="s">
        <v>1564</v>
      </c>
      <c r="O22" s="31" t="str">
        <f>IFERROR(__xludf.DUMMYFUNCTION("IF(ISBLANK(N22), """", GOOGLETRANSLATE(N22, ""es"", ""en""))"),"General description of the project objective.")</f>
        <v>General description of the project objective.</v>
      </c>
    </row>
    <row r="23" ht="15.75" customHeight="1">
      <c r="B23" s="30"/>
      <c r="C23" s="30"/>
      <c r="D23" s="30"/>
      <c r="E23" s="30"/>
      <c r="F23" s="30"/>
      <c r="G23" s="30" t="s">
        <v>1473</v>
      </c>
      <c r="H23" s="30" t="s">
        <v>1529</v>
      </c>
      <c r="I23" s="30" t="s">
        <v>1344</v>
      </c>
      <c r="J23" s="30" t="s">
        <v>1345</v>
      </c>
      <c r="K23" s="31"/>
      <c r="L23" s="30" t="s">
        <v>1347</v>
      </c>
      <c r="M23" s="32" t="s">
        <v>1565</v>
      </c>
      <c r="N23" s="114" t="s">
        <v>1566</v>
      </c>
      <c r="O23" s="31" t="str">
        <f>IFERROR(__xludf.DUMMYFUNCTION("IF(ISBLANK(N23), """", GOOGLETRANSLATE(N23, ""es"", ""en""))"),"Status or financial progress of the project.")</f>
        <v>Status or financial progress of the project.</v>
      </c>
    </row>
    <row r="24" ht="15.75" customHeight="1">
      <c r="B24" s="30"/>
      <c r="C24" s="30"/>
      <c r="D24" s="30"/>
      <c r="E24" s="30"/>
      <c r="F24" s="30"/>
      <c r="G24" s="30" t="s">
        <v>1567</v>
      </c>
      <c r="H24" s="30" t="s">
        <v>1529</v>
      </c>
      <c r="I24" s="30" t="s">
        <v>1568</v>
      </c>
      <c r="J24" s="30" t="s">
        <v>60</v>
      </c>
      <c r="K24" s="31" t="s">
        <v>1569</v>
      </c>
      <c r="L24" s="30" t="s">
        <v>1568</v>
      </c>
      <c r="M24" s="32">
        <v>1.0</v>
      </c>
      <c r="N24" s="114" t="s">
        <v>1570</v>
      </c>
      <c r="O24" s="31" t="str">
        <f>IFERROR(__xludf.DUMMYFUNCTION("IF(ISBLANK(N24), """", GOOGLETRANSLATE(N24, ""es"", ""en""))"),"Unique identification of the current status of the project.")</f>
        <v>Unique identification of the current status of the project.</v>
      </c>
    </row>
    <row r="25" ht="15.75" customHeight="1">
      <c r="B25" s="30"/>
      <c r="C25" s="30"/>
      <c r="D25" s="30"/>
      <c r="E25" s="30"/>
      <c r="F25" s="30"/>
      <c r="G25" s="30" t="s">
        <v>1567</v>
      </c>
      <c r="H25" s="30" t="s">
        <v>1529</v>
      </c>
      <c r="I25" s="30" t="s">
        <v>1322</v>
      </c>
      <c r="J25" s="30" t="s">
        <v>1435</v>
      </c>
      <c r="K25" s="31" t="s">
        <v>1571</v>
      </c>
      <c r="L25" s="30" t="s">
        <v>1322</v>
      </c>
      <c r="M25" s="32" t="s">
        <v>1572</v>
      </c>
      <c r="N25" s="114" t="s">
        <v>1573</v>
      </c>
      <c r="O25" s="31" t="str">
        <f>IFERROR(__xludf.DUMMYFUNCTION("IF(ISBLANK(N25), """", GOOGLETRANSLATE(N25, ""es"", ""en""))"),"Name or description of the current status of the project.")</f>
        <v>Name or description of the current status of the project.</v>
      </c>
    </row>
    <row r="26" ht="15.75" customHeight="1">
      <c r="B26" s="30"/>
      <c r="C26" s="30"/>
      <c r="D26" s="30"/>
      <c r="E26" s="30"/>
      <c r="F26" s="30"/>
      <c r="G26" s="30" t="s">
        <v>1473</v>
      </c>
      <c r="H26" s="30" t="s">
        <v>1529</v>
      </c>
      <c r="I26" s="30" t="s">
        <v>1297</v>
      </c>
      <c r="J26" s="30" t="s">
        <v>60</v>
      </c>
      <c r="K26" s="31"/>
      <c r="L26" s="30" t="s">
        <v>1297</v>
      </c>
      <c r="M26" s="32">
        <v>4432.0</v>
      </c>
      <c r="N26" s="114" t="s">
        <v>1574</v>
      </c>
      <c r="O26" s="31" t="str">
        <f>IFERROR(__xludf.DUMMYFUNCTION("IF(ISBLANK(N26), """", GOOGLETRANSLATE(N26, ""es"", ""en""))"),"Unique project identification.")</f>
        <v>Unique project identification.</v>
      </c>
    </row>
    <row r="27" ht="15.75" customHeight="1">
      <c r="B27" s="30"/>
      <c r="C27" s="30"/>
      <c r="D27" s="30"/>
      <c r="E27" s="30"/>
      <c r="F27" s="30"/>
      <c r="G27" s="30" t="s">
        <v>1473</v>
      </c>
      <c r="H27" s="30" t="s">
        <v>1529</v>
      </c>
      <c r="I27" s="30" t="s">
        <v>1327</v>
      </c>
      <c r="J27" s="30" t="s">
        <v>1328</v>
      </c>
      <c r="K27" s="31" t="s">
        <v>1575</v>
      </c>
      <c r="L27" s="30" t="s">
        <v>1576</v>
      </c>
      <c r="M27" s="32" t="s">
        <v>1577</v>
      </c>
      <c r="N27" s="114" t="s">
        <v>1578</v>
      </c>
      <c r="O27" s="31" t="str">
        <f>IFERROR(__xludf.DUMMYFUNCTION("IF(ISBLANK(N27), """", GOOGLETRANSLATE(N27, ""es"", ""en""))"),"Total amount or value of the project.")</f>
        <v>Total amount or value of the project.</v>
      </c>
    </row>
    <row r="28" ht="15.75" customHeight="1">
      <c r="B28" s="30" t="s">
        <v>1511</v>
      </c>
      <c r="C28" s="30" t="s">
        <v>1529</v>
      </c>
      <c r="D28" s="30" t="s">
        <v>1394</v>
      </c>
      <c r="E28" s="30" t="s">
        <v>1513</v>
      </c>
      <c r="F28" s="30"/>
      <c r="G28" s="30" t="s">
        <v>1532</v>
      </c>
      <c r="H28" s="30" t="s">
        <v>1299</v>
      </c>
      <c r="I28" s="30" t="s">
        <v>1579</v>
      </c>
      <c r="J28" s="30"/>
      <c r="K28" s="31" t="s">
        <v>1580</v>
      </c>
      <c r="L28" s="30" t="s">
        <v>1581</v>
      </c>
      <c r="M28" s="32" t="s">
        <v>1582</v>
      </c>
      <c r="N28" s="114" t="s">
        <v>1583</v>
      </c>
      <c r="O28" s="31" t="str">
        <f>IFERROR(__xludf.DUMMYFUNCTION("IF(ISBLANK(N28), """", GOOGLETRANSLATE(N28, ""es"", ""en""))"),"Amount or value financed for the project.")</f>
        <v>Amount or value financed for the project.</v>
      </c>
    </row>
    <row r="29" ht="15.75" customHeight="1">
      <c r="B29" s="30" t="s">
        <v>1511</v>
      </c>
      <c r="C29" s="30" t="s">
        <v>1529</v>
      </c>
      <c r="D29" s="30" t="s">
        <v>1398</v>
      </c>
      <c r="E29" s="30" t="s">
        <v>1513</v>
      </c>
      <c r="F29" s="30"/>
      <c r="G29" s="30" t="s">
        <v>1532</v>
      </c>
      <c r="H29" s="30" t="s">
        <v>1299</v>
      </c>
      <c r="I29" s="30" t="s">
        <v>1584</v>
      </c>
      <c r="J29" s="30"/>
      <c r="K29" s="31" t="s">
        <v>1585</v>
      </c>
      <c r="L29" s="30" t="s">
        <v>1398</v>
      </c>
      <c r="M29" s="32" t="s">
        <v>1586</v>
      </c>
      <c r="N29" s="114" t="s">
        <v>1587</v>
      </c>
      <c r="O29" s="31" t="str">
        <f>IFERROR(__xludf.DUMMYFUNCTION("IF(ISBLANK(N29), """", GOOGLETRANSLATE(N29, ""es"", ""en""))"),"Amount or value executed so far for the project.")</f>
        <v>Amount or value executed so far for the project.</v>
      </c>
    </row>
    <row r="30" ht="15.75" customHeight="1">
      <c r="B30" s="30"/>
      <c r="C30" s="30"/>
      <c r="D30" s="30"/>
      <c r="E30" s="30"/>
      <c r="F30" s="30"/>
      <c r="G30" s="30" t="s">
        <v>1473</v>
      </c>
      <c r="H30" s="30" t="s">
        <v>1529</v>
      </c>
      <c r="I30" s="30" t="s">
        <v>1588</v>
      </c>
      <c r="J30" s="30" t="s">
        <v>60</v>
      </c>
      <c r="K30" s="31" t="s">
        <v>1589</v>
      </c>
      <c r="L30" s="30" t="s">
        <v>1590</v>
      </c>
      <c r="M30" s="117" t="s">
        <v>1591</v>
      </c>
      <c r="N30" s="80" t="s">
        <v>1592</v>
      </c>
      <c r="O30" s="31" t="str">
        <f>IFERROR(__xludf.DUMMYFUNCTION("IF(ISBLANK(N30), """", GOOGLETRANSLATE(N30, ""es"", ""en""))"),"URL or link that directs to the online project location or its corresponding documentation.")</f>
        <v>URL or link that directs to the online project location or its corresponding documentation.</v>
      </c>
    </row>
    <row r="31" ht="15.75" customHeight="1">
      <c r="B31" s="30"/>
      <c r="C31" s="30"/>
      <c r="D31" s="30"/>
      <c r="E31" s="30"/>
      <c r="F31" s="30"/>
      <c r="G31" s="30"/>
      <c r="H31" s="30"/>
      <c r="I31" s="30" t="s">
        <v>1418</v>
      </c>
      <c r="J31" s="30"/>
      <c r="K31" s="118" t="s">
        <v>1593</v>
      </c>
      <c r="L31" s="30" t="s">
        <v>1380</v>
      </c>
      <c r="M31" s="32" t="s">
        <v>1594</v>
      </c>
      <c r="N31" s="80" t="s">
        <v>1595</v>
      </c>
      <c r="O31" s="31" t="str">
        <f>IFERROR(__xludf.DUMMYFUNCTION("IF(ISBLANK(N31), """", GOOGLETRANSLATE(N31, ""es"", ""en""))"),"Source from which information about the project was obtained.")</f>
        <v>Source from which information about the project was obtained.</v>
      </c>
    </row>
    <row r="32" ht="15.75" customHeight="1">
      <c r="B32" s="30"/>
      <c r="C32" s="30"/>
      <c r="D32" s="30"/>
      <c r="E32" s="30"/>
      <c r="F32" s="30"/>
      <c r="G32" s="30" t="s">
        <v>1522</v>
      </c>
      <c r="H32" s="30" t="s">
        <v>1529</v>
      </c>
      <c r="I32" s="30" t="s">
        <v>1523</v>
      </c>
      <c r="J32" s="30" t="s">
        <v>1316</v>
      </c>
      <c r="K32" s="31" t="s">
        <v>1596</v>
      </c>
      <c r="L32" s="30" t="s">
        <v>1597</v>
      </c>
      <c r="M32" s="119">
        <v>45359.0</v>
      </c>
      <c r="N32" s="80" t="s">
        <v>1598</v>
      </c>
      <c r="O32" s="31" t="str">
        <f>IFERROR(__xludf.DUMMYFUNCTION("IF(ISBLANK(N32), """", GOOGLETRANSLATE(N32, ""es"", ""en""))"),"Date on which information about the project was updated according to the data source of the Ministry of Finance.")</f>
        <v>Date on which information about the project was updated according to the data source of the Ministry of Finance.</v>
      </c>
    </row>
    <row r="33" ht="15.75" customHeight="1">
      <c r="B33" s="30"/>
      <c r="C33" s="30"/>
      <c r="D33" s="30"/>
      <c r="E33" s="30"/>
      <c r="F33" s="30"/>
      <c r="G33" s="30" t="s">
        <v>1522</v>
      </c>
      <c r="H33" s="30" t="s">
        <v>1529</v>
      </c>
      <c r="I33" s="30" t="s">
        <v>1523</v>
      </c>
      <c r="J33" s="30" t="s">
        <v>1599</v>
      </c>
      <c r="K33" s="31" t="s">
        <v>1600</v>
      </c>
      <c r="L33" s="30" t="s">
        <v>1601</v>
      </c>
      <c r="M33" s="119">
        <v>45379.0</v>
      </c>
      <c r="N33" s="80" t="s">
        <v>1602</v>
      </c>
      <c r="O33" s="31" t="str">
        <f>IFERROR(__xludf.DUMMYFUNCTION("IF(ISBLANK(N33), """", GOOGLETRANSLATE(N33, ""es"", ""en""))"),"Date on which information about the project was updated according to the data source of the Ministry of Economy, Planning and Development.")</f>
        <v>Date on which information about the project was updated according to the data source of the Ministry of Economy, Planning and Development.</v>
      </c>
    </row>
    <row r="34" ht="15.75" customHeight="1">
      <c r="M34" s="4"/>
    </row>
    <row r="35" ht="15.75" customHeight="1">
      <c r="M35" s="4"/>
    </row>
    <row r="36" ht="15.75" customHeight="1">
      <c r="M36" s="4"/>
    </row>
    <row r="37" ht="15.75" customHeight="1">
      <c r="M37" s="4"/>
    </row>
    <row r="38" ht="15.75" customHeight="1">
      <c r="M38" s="4"/>
    </row>
    <row r="39" ht="15.75" customHeight="1">
      <c r="M39" s="4"/>
    </row>
    <row r="40" ht="15.75" customHeight="1">
      <c r="M40" s="4"/>
    </row>
    <row r="41" ht="15.75" customHeight="1">
      <c r="M41" s="4"/>
    </row>
    <row r="42" ht="15.75" customHeight="1">
      <c r="M42" s="4"/>
    </row>
    <row r="43" ht="15.75" customHeight="1">
      <c r="M43" s="4"/>
    </row>
    <row r="44" ht="15.75" customHeight="1">
      <c r="M44" s="4"/>
    </row>
    <row r="45" ht="15.75" customHeight="1">
      <c r="M45" s="4"/>
    </row>
    <row r="46" ht="15.75" customHeight="1">
      <c r="M46" s="4"/>
    </row>
    <row r="47" ht="15.75" customHeight="1">
      <c r="M47" s="4"/>
    </row>
    <row r="48" ht="15.75" customHeight="1">
      <c r="M48" s="4"/>
    </row>
    <row r="49" ht="15.75" customHeight="1">
      <c r="M49" s="4"/>
    </row>
    <row r="50" ht="15.75" customHeight="1">
      <c r="M50" s="4"/>
    </row>
    <row r="51" ht="15.75" customHeight="1">
      <c r="M51" s="4"/>
    </row>
    <row r="52" ht="15.75" customHeight="1">
      <c r="M52" s="4"/>
    </row>
    <row r="53" ht="15.75" customHeight="1">
      <c r="M53" s="4"/>
    </row>
    <row r="54" ht="15.75" customHeight="1">
      <c r="M54" s="4"/>
    </row>
    <row r="55" ht="15.75" customHeight="1">
      <c r="M55" s="4"/>
    </row>
    <row r="56" ht="15.75" customHeight="1">
      <c r="M56" s="4"/>
    </row>
    <row r="57" ht="15.75" customHeight="1">
      <c r="M57" s="4"/>
    </row>
    <row r="58" ht="15.75" customHeight="1">
      <c r="M58" s="4"/>
    </row>
    <row r="59" ht="15.75" customHeight="1">
      <c r="M59" s="4"/>
    </row>
    <row r="60" ht="15.75" customHeight="1">
      <c r="M60" s="4"/>
    </row>
    <row r="61" ht="15.75" customHeight="1">
      <c r="M61" s="4"/>
    </row>
    <row r="62" ht="15.75" customHeight="1">
      <c r="M62" s="4"/>
    </row>
    <row r="63" ht="15.75" customHeight="1">
      <c r="M63" s="4"/>
    </row>
    <row r="64" ht="15.75" customHeight="1">
      <c r="M64" s="4"/>
    </row>
    <row r="65" ht="15.75" customHeight="1">
      <c r="M65" s="4"/>
    </row>
    <row r="66" ht="15.75" customHeight="1">
      <c r="M66" s="4"/>
    </row>
    <row r="67" ht="15.75" customHeight="1">
      <c r="M67" s="4"/>
    </row>
    <row r="68" ht="15.75" customHeight="1">
      <c r="M68" s="4"/>
    </row>
    <row r="69" ht="15.75" customHeight="1">
      <c r="M69" s="4"/>
    </row>
    <row r="70" ht="15.75" customHeight="1">
      <c r="M70" s="4"/>
    </row>
    <row r="71" ht="15.75" customHeight="1">
      <c r="M71" s="4"/>
    </row>
    <row r="72" ht="15.75" customHeight="1">
      <c r="M72" s="4"/>
    </row>
    <row r="73" ht="15.75" customHeight="1">
      <c r="M73" s="4"/>
    </row>
    <row r="74" ht="15.75" customHeight="1">
      <c r="M74" s="4"/>
    </row>
    <row r="75" ht="15.75" customHeight="1">
      <c r="M75" s="4"/>
    </row>
    <row r="76" ht="15.75" customHeight="1">
      <c r="M76" s="4"/>
    </row>
    <row r="77" ht="15.75" customHeight="1">
      <c r="M77" s="4"/>
    </row>
    <row r="78" ht="15.75" customHeight="1">
      <c r="M78" s="4"/>
    </row>
    <row r="79" ht="15.75" customHeight="1">
      <c r="M79" s="4"/>
    </row>
    <row r="80" ht="15.75" customHeight="1">
      <c r="M80" s="4"/>
    </row>
    <row r="81" ht="15.75" customHeight="1">
      <c r="M81" s="4"/>
    </row>
    <row r="82" ht="15.75" customHeight="1">
      <c r="M82" s="4"/>
    </row>
    <row r="83" ht="15.75" customHeight="1">
      <c r="M83" s="4"/>
    </row>
    <row r="84" ht="15.75" customHeight="1">
      <c r="M84" s="4"/>
    </row>
    <row r="85" ht="15.75" customHeight="1">
      <c r="M85" s="4"/>
    </row>
    <row r="86" ht="15.75" customHeight="1">
      <c r="M86" s="4"/>
    </row>
    <row r="87" ht="15.75" customHeight="1">
      <c r="M87" s="4"/>
    </row>
    <row r="88" ht="15.75" customHeight="1">
      <c r="M88" s="4"/>
    </row>
    <row r="89" ht="15.75" customHeight="1">
      <c r="M89" s="4"/>
    </row>
    <row r="90" ht="15.75" customHeight="1">
      <c r="M90" s="4"/>
    </row>
    <row r="91" ht="15.75" customHeight="1">
      <c r="M91" s="4"/>
    </row>
    <row r="92" ht="15.75" customHeight="1">
      <c r="M92" s="4"/>
    </row>
    <row r="93" ht="15.75" customHeight="1">
      <c r="M93" s="4"/>
    </row>
    <row r="94" ht="15.75" customHeight="1">
      <c r="M94" s="4"/>
    </row>
    <row r="95" ht="15.75" customHeight="1">
      <c r="M95" s="4"/>
    </row>
    <row r="96" ht="15.75" customHeight="1">
      <c r="M96" s="4"/>
    </row>
    <row r="97" ht="15.75" customHeight="1">
      <c r="M97" s="4"/>
    </row>
    <row r="98" ht="15.75" customHeight="1">
      <c r="M98" s="4"/>
    </row>
    <row r="99" ht="15.75" customHeight="1">
      <c r="M99" s="4"/>
    </row>
    <row r="100" ht="15.75" customHeight="1">
      <c r="M100" s="4"/>
    </row>
    <row r="101" ht="15.75" customHeight="1">
      <c r="M101" s="4"/>
    </row>
    <row r="102" ht="15.75" customHeight="1">
      <c r="M102" s="4"/>
    </row>
    <row r="103" ht="15.75" customHeight="1">
      <c r="M103" s="4"/>
    </row>
    <row r="104" ht="15.75" customHeight="1">
      <c r="M104" s="4"/>
    </row>
    <row r="105" ht="15.75" customHeight="1">
      <c r="M105" s="4"/>
    </row>
    <row r="106" ht="15.75" customHeight="1">
      <c r="M106" s="4"/>
    </row>
    <row r="107" ht="15.75" customHeight="1">
      <c r="M107" s="4"/>
    </row>
    <row r="108" ht="15.75" customHeight="1">
      <c r="M108" s="4"/>
    </row>
    <row r="109" ht="15.75" customHeight="1">
      <c r="M109" s="4"/>
    </row>
    <row r="110" ht="15.75" customHeight="1">
      <c r="M110" s="4"/>
    </row>
    <row r="111" ht="15.75" customHeight="1">
      <c r="M111" s="4"/>
    </row>
    <row r="112" ht="15.75" customHeight="1">
      <c r="M112" s="4"/>
    </row>
    <row r="113" ht="15.75" customHeight="1">
      <c r="M113" s="4"/>
    </row>
    <row r="114" ht="15.75" customHeight="1">
      <c r="M114" s="4"/>
    </row>
    <row r="115" ht="15.75" customHeight="1">
      <c r="M115" s="4"/>
    </row>
    <row r="116" ht="15.75" customHeight="1">
      <c r="M116" s="4"/>
    </row>
    <row r="117" ht="15.75" customHeight="1">
      <c r="M117" s="4"/>
    </row>
    <row r="118" ht="15.75" customHeight="1">
      <c r="M118" s="4"/>
    </row>
    <row r="119" ht="15.75" customHeight="1">
      <c r="M119" s="4"/>
    </row>
    <row r="120" ht="15.75" customHeight="1">
      <c r="M120" s="4"/>
    </row>
    <row r="121" ht="15.75" customHeight="1">
      <c r="M121" s="4"/>
    </row>
    <row r="122" ht="15.75" customHeight="1">
      <c r="M122" s="4"/>
    </row>
    <row r="123" ht="15.75" customHeight="1">
      <c r="M123" s="4"/>
    </row>
    <row r="124" ht="15.75" customHeight="1">
      <c r="M124" s="4"/>
    </row>
    <row r="125" ht="15.75" customHeight="1">
      <c r="M125" s="4"/>
    </row>
    <row r="126" ht="15.75" customHeight="1">
      <c r="M126" s="4"/>
    </row>
    <row r="127" ht="15.75" customHeight="1">
      <c r="M127" s="4"/>
    </row>
    <row r="128" ht="15.75" customHeight="1">
      <c r="M128" s="4"/>
    </row>
    <row r="129" ht="15.75" customHeight="1">
      <c r="M129" s="4"/>
    </row>
    <row r="130" ht="15.75" customHeight="1">
      <c r="M130" s="4"/>
    </row>
    <row r="131" ht="15.75" customHeight="1">
      <c r="M131" s="4"/>
    </row>
    <row r="132" ht="15.75" customHeight="1">
      <c r="M132" s="4"/>
    </row>
    <row r="133" ht="15.75" customHeight="1">
      <c r="M133" s="4"/>
    </row>
    <row r="134" ht="15.75" customHeight="1">
      <c r="M134" s="4"/>
    </row>
    <row r="135" ht="15.75" customHeight="1">
      <c r="M135" s="4"/>
    </row>
    <row r="136" ht="15.75" customHeight="1">
      <c r="M136" s="4"/>
    </row>
    <row r="137" ht="15.75" customHeight="1">
      <c r="M137" s="4"/>
    </row>
    <row r="138" ht="15.75" customHeight="1">
      <c r="M138" s="4"/>
    </row>
    <row r="139" ht="15.75" customHeight="1">
      <c r="M139" s="4"/>
    </row>
    <row r="140" ht="15.75" customHeight="1">
      <c r="M140" s="4"/>
    </row>
    <row r="141" ht="15.75" customHeight="1">
      <c r="M141" s="4"/>
    </row>
    <row r="142" ht="15.75" customHeight="1">
      <c r="M142" s="4"/>
    </row>
    <row r="143" ht="15.75" customHeight="1">
      <c r="M143" s="4"/>
    </row>
    <row r="144" ht="15.75" customHeight="1">
      <c r="M144" s="4"/>
    </row>
    <row r="145" ht="15.75" customHeight="1">
      <c r="M145" s="4"/>
    </row>
    <row r="146" ht="15.75" customHeight="1">
      <c r="M146" s="4"/>
    </row>
    <row r="147" ht="15.75" customHeight="1">
      <c r="M147" s="4"/>
    </row>
    <row r="148" ht="15.75" customHeight="1">
      <c r="M148" s="4"/>
    </row>
    <row r="149" ht="15.75" customHeight="1">
      <c r="M149" s="4"/>
    </row>
    <row r="150" ht="15.75" customHeight="1">
      <c r="M150" s="4"/>
    </row>
    <row r="151" ht="15.75" customHeight="1">
      <c r="M151" s="4"/>
    </row>
    <row r="152" ht="15.75" customHeight="1">
      <c r="M152" s="4"/>
    </row>
    <row r="153" ht="15.75" customHeight="1">
      <c r="M153" s="4"/>
    </row>
    <row r="154" ht="15.75" customHeight="1">
      <c r="M154" s="4"/>
    </row>
    <row r="155" ht="15.75" customHeight="1">
      <c r="M155" s="4"/>
    </row>
    <row r="156" ht="15.75" customHeight="1">
      <c r="M156" s="4"/>
    </row>
    <row r="157" ht="15.75" customHeight="1">
      <c r="M157" s="4"/>
    </row>
    <row r="158" ht="15.75" customHeight="1">
      <c r="M158" s="4"/>
    </row>
    <row r="159" ht="15.75" customHeight="1">
      <c r="M159" s="4"/>
    </row>
    <row r="160" ht="15.75" customHeight="1">
      <c r="M160" s="4"/>
    </row>
    <row r="161" ht="15.75" customHeight="1">
      <c r="M161" s="4"/>
    </row>
    <row r="162" ht="15.75" customHeight="1">
      <c r="M162" s="4"/>
    </row>
    <row r="163" ht="15.75" customHeight="1">
      <c r="M163" s="4"/>
    </row>
    <row r="164" ht="15.75" customHeight="1">
      <c r="M164" s="4"/>
    </row>
    <row r="165" ht="15.75" customHeight="1">
      <c r="M165" s="4"/>
    </row>
    <row r="166" ht="15.75" customHeight="1">
      <c r="M166" s="4"/>
    </row>
    <row r="167" ht="15.75" customHeight="1">
      <c r="M167" s="4"/>
    </row>
    <row r="168" ht="15.75" customHeight="1">
      <c r="M168" s="4"/>
    </row>
    <row r="169" ht="15.75" customHeight="1">
      <c r="M169" s="4"/>
    </row>
    <row r="170" ht="15.75" customHeight="1">
      <c r="M170" s="4"/>
    </row>
    <row r="171" ht="15.75" customHeight="1">
      <c r="M171" s="4"/>
    </row>
    <row r="172" ht="15.75" customHeight="1">
      <c r="M172" s="4"/>
    </row>
    <row r="173" ht="15.75" customHeight="1">
      <c r="M173" s="4"/>
    </row>
    <row r="174" ht="15.75" customHeight="1">
      <c r="M174" s="4"/>
    </row>
    <row r="175" ht="15.75" customHeight="1">
      <c r="M175" s="4"/>
    </row>
    <row r="176" ht="15.75" customHeight="1">
      <c r="M176" s="4"/>
    </row>
    <row r="177" ht="15.75" customHeight="1">
      <c r="M177" s="4"/>
    </row>
    <row r="178" ht="15.75" customHeight="1">
      <c r="M178" s="4"/>
    </row>
    <row r="179" ht="15.75" customHeight="1">
      <c r="M179" s="4"/>
    </row>
    <row r="180" ht="15.75" customHeight="1">
      <c r="M180" s="4"/>
    </row>
    <row r="181" ht="15.75" customHeight="1">
      <c r="M181" s="4"/>
    </row>
    <row r="182" ht="15.75" customHeight="1">
      <c r="M182" s="4"/>
    </row>
    <row r="183" ht="15.75" customHeight="1">
      <c r="M183" s="4"/>
    </row>
    <row r="184" ht="15.75" customHeight="1">
      <c r="M184" s="4"/>
    </row>
    <row r="185" ht="15.75" customHeight="1">
      <c r="M185" s="4"/>
    </row>
    <row r="186" ht="15.75" customHeight="1">
      <c r="M186" s="4"/>
    </row>
    <row r="187" ht="15.75" customHeight="1">
      <c r="M187" s="4"/>
    </row>
    <row r="188" ht="15.75" customHeight="1">
      <c r="M188" s="4"/>
    </row>
    <row r="189" ht="15.75" customHeight="1">
      <c r="M189" s="4"/>
    </row>
    <row r="190" ht="15.75" customHeight="1">
      <c r="M190" s="4"/>
    </row>
    <row r="191" ht="15.75" customHeight="1">
      <c r="M191" s="4"/>
    </row>
    <row r="192" ht="15.75" customHeight="1">
      <c r="M192" s="4"/>
    </row>
    <row r="193" ht="15.75" customHeight="1">
      <c r="M193" s="4"/>
    </row>
    <row r="194" ht="15.75" customHeight="1">
      <c r="M194" s="4"/>
    </row>
    <row r="195" ht="15.75" customHeight="1">
      <c r="M195" s="4"/>
    </row>
    <row r="196" ht="15.75" customHeight="1">
      <c r="M196" s="4"/>
    </row>
    <row r="197" ht="15.75" customHeight="1">
      <c r="M197" s="4"/>
    </row>
    <row r="198" ht="15.75" customHeight="1">
      <c r="M198" s="4"/>
    </row>
    <row r="199" ht="15.75" customHeight="1">
      <c r="M199" s="4"/>
    </row>
    <row r="200" ht="15.75" customHeight="1">
      <c r="M200" s="4"/>
    </row>
    <row r="201" ht="15.75" customHeight="1">
      <c r="M201" s="4"/>
    </row>
    <row r="202" ht="15.75" customHeight="1">
      <c r="M202" s="4"/>
    </row>
    <row r="203" ht="15.75" customHeight="1">
      <c r="M203" s="4"/>
    </row>
    <row r="204" ht="15.75" customHeight="1">
      <c r="M204" s="4"/>
    </row>
    <row r="205" ht="15.75" customHeight="1">
      <c r="M205" s="4"/>
    </row>
    <row r="206" ht="15.75" customHeight="1">
      <c r="M206" s="4"/>
    </row>
    <row r="207" ht="15.75" customHeight="1">
      <c r="M207" s="4"/>
    </row>
    <row r="208" ht="15.75" customHeight="1">
      <c r="M208" s="4"/>
    </row>
    <row r="209" ht="15.75" customHeight="1">
      <c r="M209" s="4"/>
    </row>
    <row r="210" ht="15.75" customHeight="1">
      <c r="M210" s="4"/>
    </row>
    <row r="211" ht="15.75" customHeight="1">
      <c r="M211" s="4"/>
    </row>
    <row r="212" ht="15.75" customHeight="1">
      <c r="M212" s="4"/>
    </row>
    <row r="213" ht="15.75" customHeight="1">
      <c r="M213" s="4"/>
    </row>
    <row r="214" ht="15.75" customHeight="1">
      <c r="M214" s="4"/>
    </row>
    <row r="215" ht="15.75" customHeight="1">
      <c r="M215" s="4"/>
    </row>
    <row r="216" ht="15.75" customHeight="1">
      <c r="M216" s="4"/>
    </row>
    <row r="217" ht="15.75" customHeight="1">
      <c r="M217" s="4"/>
    </row>
    <row r="218" ht="15.75" customHeight="1">
      <c r="M218" s="4"/>
    </row>
    <row r="219" ht="15.75" customHeight="1">
      <c r="M219" s="4"/>
    </row>
    <row r="220" ht="15.75" customHeight="1">
      <c r="M220" s="4"/>
    </row>
    <row r="221" ht="15.75" customHeight="1">
      <c r="M221" s="4"/>
    </row>
    <row r="222" ht="15.75" customHeight="1">
      <c r="M222" s="4"/>
    </row>
    <row r="223" ht="15.75" customHeight="1">
      <c r="M223" s="4"/>
    </row>
    <row r="224" ht="15.75" customHeight="1">
      <c r="M224" s="4"/>
    </row>
    <row r="225" ht="15.75" customHeight="1">
      <c r="M225" s="4"/>
    </row>
    <row r="226" ht="15.75" customHeight="1">
      <c r="M226" s="4"/>
    </row>
    <row r="227" ht="15.75" customHeight="1">
      <c r="M227" s="4"/>
    </row>
    <row r="228" ht="15.75" customHeight="1">
      <c r="M228" s="4"/>
    </row>
    <row r="229" ht="15.75" customHeight="1">
      <c r="M229" s="4"/>
    </row>
    <row r="230" ht="15.75" customHeight="1">
      <c r="M230" s="4"/>
    </row>
    <row r="231" ht="15.75" customHeight="1">
      <c r="M231" s="4"/>
    </row>
    <row r="232" ht="15.75" customHeight="1">
      <c r="M232" s="4"/>
    </row>
    <row r="233" ht="15.75" customHeight="1">
      <c r="M233" s="4"/>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K2:O2"/>
    <mergeCell ref="K3:M3"/>
    <mergeCell ref="N3:O3"/>
  </mergeCells>
  <hyperlinks>
    <hyperlink r:id="rId1" ref="M3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4.13"/>
    <col customWidth="1" min="2" max="2" width="26.13"/>
    <col customWidth="1" min="3" max="3" width="29.63"/>
    <col customWidth="1" min="4" max="6" width="26.13"/>
    <col customWidth="1" min="7" max="9" width="38.88"/>
    <col customWidth="1" min="10" max="11" width="56.5"/>
  </cols>
  <sheetData>
    <row r="1" ht="15.75" customHeight="1">
      <c r="A1" s="89"/>
      <c r="B1" s="89"/>
      <c r="C1" s="89"/>
      <c r="D1" s="89"/>
      <c r="E1" s="89"/>
      <c r="F1" s="89"/>
      <c r="G1" s="89"/>
      <c r="H1" s="89"/>
      <c r="I1" s="89"/>
      <c r="J1" s="89"/>
      <c r="K1" s="89"/>
    </row>
    <row r="2" ht="15.75" customHeight="1">
      <c r="A2" s="89"/>
      <c r="B2" s="89"/>
      <c r="C2" s="89"/>
      <c r="D2" s="89"/>
      <c r="E2" s="89"/>
      <c r="F2" s="89"/>
      <c r="G2" s="89"/>
      <c r="H2" s="89"/>
      <c r="I2" s="89"/>
      <c r="J2" s="89"/>
      <c r="K2" s="89"/>
    </row>
    <row r="3" ht="15.75" customHeight="1">
      <c r="A3" s="89"/>
      <c r="B3" s="120" t="s">
        <v>1603</v>
      </c>
      <c r="C3" s="89"/>
      <c r="D3" s="89"/>
      <c r="E3" s="89"/>
      <c r="F3" s="89"/>
      <c r="G3" s="90"/>
      <c r="H3" s="90"/>
      <c r="I3" s="90"/>
      <c r="J3" s="90"/>
      <c r="K3" s="90"/>
    </row>
    <row r="4" ht="15.75" customHeight="1">
      <c r="A4" s="89"/>
      <c r="B4" s="121" t="s">
        <v>1604</v>
      </c>
      <c r="C4" s="89"/>
      <c r="D4" s="89"/>
      <c r="E4" s="90"/>
      <c r="F4" s="91"/>
      <c r="G4" s="92" t="s">
        <v>1605</v>
      </c>
      <c r="H4" s="93"/>
      <c r="I4" s="93"/>
      <c r="J4" s="93"/>
      <c r="K4" s="94"/>
    </row>
    <row r="5" ht="33.75" customHeight="1">
      <c r="A5" s="89"/>
      <c r="B5" s="90"/>
      <c r="C5" s="90"/>
      <c r="D5" s="90"/>
      <c r="F5" s="95"/>
      <c r="G5" s="96" t="s">
        <v>1606</v>
      </c>
      <c r="H5" s="93"/>
      <c r="I5" s="94"/>
      <c r="J5" s="96" t="str">
        <f>IFERROR(__xludf.DUMMYFUNCTION("IF(ISBLANK(G5), """", GOOGLETRANSLATE(G5, ""es"", ""en""))"),"Purchasing Processes Associated with Investment Projects")</f>
        <v>Purchasing Processes Associated with Investment Projects</v>
      </c>
      <c r="K5" s="94"/>
    </row>
    <row r="6" ht="15.75" customHeight="1">
      <c r="A6" s="91"/>
      <c r="B6" s="98" t="s">
        <v>1291</v>
      </c>
      <c r="C6" s="99" t="s">
        <v>1287</v>
      </c>
      <c r="D6" s="99" t="s">
        <v>1288</v>
      </c>
      <c r="E6" s="99" t="s">
        <v>1289</v>
      </c>
      <c r="F6" s="99" t="s">
        <v>1290</v>
      </c>
      <c r="G6" s="100" t="s">
        <v>1291</v>
      </c>
      <c r="H6" s="100" t="s">
        <v>1292</v>
      </c>
      <c r="I6" s="100" t="s">
        <v>40</v>
      </c>
      <c r="J6" s="100" t="s">
        <v>1426</v>
      </c>
      <c r="K6" s="100" t="s">
        <v>1427</v>
      </c>
    </row>
    <row r="7" ht="58.5" customHeight="1">
      <c r="A7" s="91"/>
      <c r="B7" s="122" t="s">
        <v>1428</v>
      </c>
      <c r="C7" s="95" t="s">
        <v>1607</v>
      </c>
      <c r="D7" s="95" t="s">
        <v>1296</v>
      </c>
      <c r="E7" s="95" t="s">
        <v>1475</v>
      </c>
      <c r="F7" s="95" t="s">
        <v>1608</v>
      </c>
      <c r="G7" s="122" t="s">
        <v>1428</v>
      </c>
      <c r="H7" s="36" t="s">
        <v>1476</v>
      </c>
      <c r="I7" s="32">
        <v>14405.0</v>
      </c>
      <c r="J7" s="123" t="s">
        <v>1553</v>
      </c>
      <c r="K7" s="124" t="str">
        <f>IFERROR(__xludf.DUMMYFUNCTION("IF(ISBLANK(J7), """", GOOGLETRANSLATE(J7, ""es"", ""en""))"),"Code assigned by the National Public Investment System (SNIP) to identify a specific project.")</f>
        <v>Code assigned by the National Public Investment System (SNIP) to identify a specific project.</v>
      </c>
    </row>
    <row r="8" ht="58.5" customHeight="1">
      <c r="A8" s="91"/>
      <c r="B8" s="122" t="s">
        <v>1428</v>
      </c>
      <c r="C8" s="95" t="s">
        <v>1607</v>
      </c>
      <c r="D8" s="95" t="s">
        <v>1296</v>
      </c>
      <c r="E8" s="95" t="s">
        <v>1310</v>
      </c>
      <c r="F8" s="95" t="s">
        <v>1311</v>
      </c>
      <c r="G8" s="122" t="s">
        <v>1428</v>
      </c>
      <c r="H8" s="36" t="s">
        <v>1310</v>
      </c>
      <c r="I8" s="32" t="s">
        <v>1609</v>
      </c>
      <c r="J8" s="123" t="s">
        <v>1610</v>
      </c>
      <c r="K8" s="124" t="str">
        <f>IFERROR(__xludf.DUMMYFUNCTION("IF(ISBLANK(J8), """", GOOGLETRANSLATE(J8, ""es"", ""en""))"),"Name or title of the project associated with the purchasing process.")</f>
        <v>Name or title of the project associated with the purchasing process.</v>
      </c>
    </row>
    <row r="9" ht="58.5" customHeight="1">
      <c r="A9" s="91"/>
      <c r="B9" s="122" t="s">
        <v>1428</v>
      </c>
      <c r="C9" s="95" t="s">
        <v>1607</v>
      </c>
      <c r="D9" s="95" t="s">
        <v>1296</v>
      </c>
      <c r="E9" s="95" t="s">
        <v>1611</v>
      </c>
      <c r="F9" s="95" t="s">
        <v>1608</v>
      </c>
      <c r="G9" s="122" t="s">
        <v>1428</v>
      </c>
      <c r="H9" s="36" t="s">
        <v>1612</v>
      </c>
      <c r="I9" s="32" t="s">
        <v>1613</v>
      </c>
      <c r="J9" s="123" t="s">
        <v>1614</v>
      </c>
      <c r="K9" s="124" t="str">
        <f>IFERROR(__xludf.DUMMYFUNCTION("IF(ISBLANK(J9), """", GOOGLETRANSLATE(J9, ""es"", ""en""))"),"Code that identifies a specific process associated with the contract.")</f>
        <v>Code that identifies a specific process associated with the contract.</v>
      </c>
    </row>
    <row r="10" ht="58.5" customHeight="1">
      <c r="A10" s="91"/>
      <c r="B10" s="122" t="s">
        <v>1428</v>
      </c>
      <c r="C10" s="95" t="s">
        <v>1615</v>
      </c>
      <c r="D10" s="95" t="s">
        <v>1296</v>
      </c>
      <c r="E10" s="95" t="s">
        <v>1616</v>
      </c>
      <c r="F10" s="95" t="s">
        <v>1439</v>
      </c>
      <c r="G10" s="122" t="s">
        <v>1428</v>
      </c>
      <c r="H10" s="36" t="s">
        <v>1617</v>
      </c>
      <c r="I10" s="32" t="s">
        <v>1618</v>
      </c>
      <c r="J10" s="123" t="s">
        <v>1619</v>
      </c>
      <c r="K10" s="124" t="str">
        <f>IFERROR(__xludf.DUMMYFUNCTION("IF(ISBLANK(J10), """", GOOGLETRANSLATE(J10, ""es"", ""en""))"),"Detailed description of the contracting process, including its terms, conditions and scope.")</f>
        <v>Detailed description of the contracting process, including its terms, conditions and scope.</v>
      </c>
    </row>
    <row r="11" ht="58.5" customHeight="1">
      <c r="A11" s="91"/>
      <c r="B11" s="122" t="s">
        <v>1428</v>
      </c>
      <c r="C11" s="95" t="s">
        <v>1615</v>
      </c>
      <c r="D11" s="95" t="s">
        <v>1296</v>
      </c>
      <c r="E11" s="95" t="s">
        <v>1620</v>
      </c>
      <c r="F11" s="95" t="s">
        <v>1621</v>
      </c>
      <c r="G11" s="122" t="s">
        <v>1428</v>
      </c>
      <c r="H11" s="36" t="s">
        <v>1620</v>
      </c>
      <c r="I11" s="32" t="s">
        <v>1622</v>
      </c>
      <c r="J11" s="123" t="s">
        <v>1623</v>
      </c>
      <c r="K11" s="124" t="str">
        <f>IFERROR(__xludf.DUMMYFUNCTION("IF(ISBLANK(J11), """", GOOGLETRANSLATE(J11, ""es"", ""en""))"),"Document that contains summarized information about the contracting process, including relevant details such as the type of process, the parties involved, etc.")</f>
        <v>Document that contains summarized information about the contracting process, including relevant details such as the type of process, the parties involved, etc.</v>
      </c>
    </row>
    <row r="12" ht="58.5" customHeight="1">
      <c r="A12" s="91"/>
      <c r="B12" s="122" t="s">
        <v>1428</v>
      </c>
      <c r="C12" s="95" t="s">
        <v>1615</v>
      </c>
      <c r="D12" s="95" t="s">
        <v>1296</v>
      </c>
      <c r="E12" s="95" t="s">
        <v>1624</v>
      </c>
      <c r="F12" s="95" t="s">
        <v>1625</v>
      </c>
      <c r="G12" s="122" t="s">
        <v>1428</v>
      </c>
      <c r="H12" s="36" t="s">
        <v>1624</v>
      </c>
      <c r="I12" s="32" t="s">
        <v>1626</v>
      </c>
      <c r="J12" s="123" t="s">
        <v>1627</v>
      </c>
      <c r="K12" s="124" t="str">
        <f>IFERROR(__xludf.DUMMYFUNCTION("IF(ISBLANK(J12), """", GOOGLETRANSLATE(J12, ""es"", ""en""))"),"Current status of the contracting process, for example: pending, in progress, awarded, canceled, etc.")</f>
        <v>Current status of the contracting process, for example: pending, in progress, awarded, canceled, etc.</v>
      </c>
    </row>
    <row r="13" ht="58.5" customHeight="1">
      <c r="A13" s="91"/>
      <c r="B13" s="122" t="s">
        <v>1428</v>
      </c>
      <c r="C13" s="95" t="s">
        <v>1615</v>
      </c>
      <c r="D13" s="95" t="s">
        <v>1296</v>
      </c>
      <c r="E13" s="95" t="s">
        <v>1628</v>
      </c>
      <c r="F13" s="95" t="s">
        <v>1629</v>
      </c>
      <c r="G13" s="122" t="s">
        <v>1428</v>
      </c>
      <c r="H13" s="36" t="s">
        <v>1628</v>
      </c>
      <c r="I13" s="49">
        <v>8.8776E11</v>
      </c>
      <c r="J13" s="123" t="s">
        <v>1630</v>
      </c>
      <c r="K13" s="124" t="str">
        <f>IFERROR(__xludf.DUMMYFUNCTION("IF(ISBLANK(J13), """", GOOGLETRANSLATE(J13, ""es"", ""en""))"),"Estimated amount or value for the contracting process.")</f>
        <v>Estimated amount or value for the contracting process.</v>
      </c>
    </row>
    <row r="14" ht="58.5" customHeight="1">
      <c r="A14" s="91"/>
      <c r="B14" s="122" t="s">
        <v>1428</v>
      </c>
      <c r="C14" s="95" t="s">
        <v>1615</v>
      </c>
      <c r="D14" s="95" t="s">
        <v>1296</v>
      </c>
      <c r="E14" s="95" t="s">
        <v>1631</v>
      </c>
      <c r="F14" s="95" t="s">
        <v>1625</v>
      </c>
      <c r="G14" s="122" t="s">
        <v>1428</v>
      </c>
      <c r="H14" s="36" t="s">
        <v>1631</v>
      </c>
      <c r="I14" s="32" t="s">
        <v>1632</v>
      </c>
      <c r="J14" s="123" t="s">
        <v>1633</v>
      </c>
      <c r="K14" s="124" t="str">
        <f>IFERROR(__xludf.DUMMYFUNCTION("IF(ISBLANK(J14), """", GOOGLETRANSLATE(J14, ""es"", ""en""))"),"Modality under which the contracting process is carried out, for example: public bidding, price competition, direct contracting, etc.")</f>
        <v>Modality under which the contracting process is carried out, for example: public bidding, price competition, direct contracting, etc.</v>
      </c>
    </row>
    <row r="15" ht="58.5" customHeight="1">
      <c r="A15" s="91"/>
      <c r="B15" s="122" t="s">
        <v>1428</v>
      </c>
      <c r="C15" s="95" t="s">
        <v>1615</v>
      </c>
      <c r="D15" s="95" t="s">
        <v>1296</v>
      </c>
      <c r="E15" s="95" t="s">
        <v>1634</v>
      </c>
      <c r="F15" s="95" t="s">
        <v>1621</v>
      </c>
      <c r="G15" s="122" t="s">
        <v>1428</v>
      </c>
      <c r="H15" s="36" t="s">
        <v>1635</v>
      </c>
      <c r="I15" s="117" t="s">
        <v>1636</v>
      </c>
      <c r="J15" s="123" t="s">
        <v>1637</v>
      </c>
      <c r="K15" s="124" t="str">
        <f>IFERROR(__xludf.DUMMYFUNCTION("IF(ISBLANK(J15), """", GOOGLETRANSLATE(J15, ""es"", ""en""))"),"URL or link that directs to the location of the online contracting process or its corresponding documentation")</f>
        <v>URL or link that directs to the location of the online contracting process or its corresponding documentation</v>
      </c>
    </row>
    <row r="16" ht="58.5" customHeight="1">
      <c r="A16" s="91"/>
      <c r="B16" s="122" t="s">
        <v>1428</v>
      </c>
      <c r="C16" s="95"/>
      <c r="D16" s="95"/>
      <c r="E16" s="95"/>
      <c r="F16" s="95"/>
      <c r="G16" s="125" t="s">
        <v>1638</v>
      </c>
      <c r="H16" s="36" t="s">
        <v>1380</v>
      </c>
      <c r="I16" s="32" t="s">
        <v>1639</v>
      </c>
      <c r="J16" s="123" t="s">
        <v>1640</v>
      </c>
      <c r="K16" s="124" t="str">
        <f>IFERROR(__xludf.DUMMYFUNCTION("IF(ISBLANK(J16), """", GOOGLETRANSLATE(J16, ""es"", ""en""))"),"Source from which the information about the hiring process was obtained.")</f>
        <v>Source from which the information about the hiring process was obtained.</v>
      </c>
      <c r="O16" s="107"/>
      <c r="P16" s="107"/>
      <c r="Q16" s="107"/>
      <c r="R16" s="107"/>
      <c r="S16" s="107"/>
      <c r="T16" s="107"/>
      <c r="U16" s="107"/>
    </row>
    <row r="17" ht="58.5" customHeight="1">
      <c r="A17" s="91"/>
      <c r="B17" s="122" t="s">
        <v>1428</v>
      </c>
      <c r="C17" s="95"/>
      <c r="D17" s="95"/>
      <c r="E17" s="95"/>
      <c r="F17" s="95"/>
      <c r="G17" s="125" t="s">
        <v>1641</v>
      </c>
      <c r="H17" s="36" t="s">
        <v>1597</v>
      </c>
      <c r="I17" s="119">
        <v>45359.0</v>
      </c>
      <c r="J17" s="123" t="s">
        <v>1642</v>
      </c>
      <c r="K17" s="124" t="str">
        <f>IFERROR(__xludf.DUMMYFUNCTION("IF(ISBLANK(J17), """", GOOGLETRANSLATE(J17, ""es"", ""en""))"),"Date on which the information on the contracting process was updated according to the data source of the Ministry of Finance")</f>
        <v>Date on which the information on the contracting process was updated according to the data source of the Ministry of Finance</v>
      </c>
    </row>
    <row r="18" ht="58.5" customHeight="1">
      <c r="A18" s="91"/>
      <c r="B18" s="122" t="s">
        <v>1428</v>
      </c>
      <c r="C18" s="95"/>
      <c r="D18" s="95"/>
      <c r="E18" s="95"/>
      <c r="F18" s="95"/>
      <c r="G18" s="125" t="s">
        <v>1643</v>
      </c>
      <c r="H18" s="36" t="s">
        <v>1644</v>
      </c>
      <c r="I18" s="119">
        <v>45343.0</v>
      </c>
      <c r="J18" s="123" t="s">
        <v>1645</v>
      </c>
      <c r="K18" s="124" t="str">
        <f>IFERROR(__xludf.DUMMYFUNCTION("IF(ISBLANK(J18), """", GOOGLETRANSLATE(J18, ""es"", ""en""))"),"Date on which the information on the contracting process was updated according to the data source of the Public Procurement System (DGCP)")</f>
        <v>Date on which the information on the contracting process was updated according to the data source of the Public Procurement System (DGCP)</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P32" s="126"/>
      <c r="T32" s="107"/>
      <c r="U32" s="10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4:K4"/>
    <mergeCell ref="G5:I5"/>
    <mergeCell ref="J5:K5"/>
  </mergeCells>
  <hyperlinks>
    <hyperlink r:id="rId1" ref="B4"/>
    <hyperlink r:id="rId2" ref="I15"/>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1" max="1" width="4.13"/>
    <col customWidth="1" min="2" max="2" width="26.13"/>
    <col customWidth="1" min="3" max="3" width="29.63"/>
    <col customWidth="1" min="4" max="6" width="26.13"/>
    <col customWidth="1" min="7" max="9" width="38.88"/>
    <col customWidth="1" min="10" max="11" width="56.5"/>
  </cols>
  <sheetData>
    <row r="1" ht="15.75" customHeight="1">
      <c r="A1" s="89"/>
      <c r="B1" s="89"/>
      <c r="C1" s="89"/>
      <c r="D1" s="89"/>
      <c r="E1" s="89"/>
      <c r="F1" s="89"/>
      <c r="G1" s="89"/>
      <c r="H1" s="89"/>
      <c r="I1" s="89"/>
      <c r="J1" s="89"/>
      <c r="K1" s="89"/>
    </row>
    <row r="2" ht="15.75" customHeight="1">
      <c r="A2" s="89"/>
      <c r="B2" s="89"/>
      <c r="C2" s="89"/>
      <c r="D2" s="89"/>
      <c r="E2" s="89"/>
      <c r="F2" s="89"/>
      <c r="G2" s="89"/>
      <c r="H2" s="89"/>
      <c r="I2" s="89"/>
      <c r="J2" s="89"/>
      <c r="K2" s="89"/>
    </row>
    <row r="3" ht="15.75" customHeight="1">
      <c r="A3" s="89"/>
      <c r="B3" s="120" t="s">
        <v>1603</v>
      </c>
      <c r="C3" s="89"/>
      <c r="D3" s="89"/>
      <c r="E3" s="89"/>
      <c r="F3" s="89"/>
      <c r="G3" s="90"/>
      <c r="H3" s="90"/>
      <c r="I3" s="90"/>
      <c r="J3" s="90"/>
      <c r="K3" s="90"/>
    </row>
    <row r="4" ht="15.75" customHeight="1">
      <c r="A4" s="89"/>
      <c r="B4" s="121" t="s">
        <v>1604</v>
      </c>
      <c r="C4" s="89"/>
      <c r="D4" s="89"/>
      <c r="E4" s="89"/>
      <c r="F4" s="91"/>
      <c r="G4" s="92" t="s">
        <v>1646</v>
      </c>
      <c r="H4" s="93"/>
      <c r="I4" s="93"/>
      <c r="J4" s="93"/>
      <c r="K4" s="94"/>
    </row>
    <row r="5" ht="33.75" customHeight="1">
      <c r="A5" s="89"/>
      <c r="B5" s="90"/>
      <c r="C5" s="90"/>
      <c r="D5" s="90"/>
      <c r="E5" s="90"/>
      <c r="F5" s="95"/>
      <c r="G5" s="96" t="s">
        <v>1647</v>
      </c>
      <c r="H5" s="93"/>
      <c r="I5" s="94"/>
      <c r="J5" s="96" t="str">
        <f>IFERROR(__xludf.DUMMYFUNCTION("IF(ISBLANK(G5), """", GOOGLETRANSLATE(G5, ""es"", ""en""))"),"Contracts associated with Investment Projects")</f>
        <v>Contracts associated with Investment Projects</v>
      </c>
      <c r="K5" s="94"/>
    </row>
    <row r="6" ht="15.75" customHeight="1">
      <c r="A6" s="91"/>
      <c r="B6" s="98" t="s">
        <v>1291</v>
      </c>
      <c r="C6" s="99" t="s">
        <v>1287</v>
      </c>
      <c r="D6" s="99" t="s">
        <v>1288</v>
      </c>
      <c r="E6" s="99" t="s">
        <v>1289</v>
      </c>
      <c r="F6" s="99" t="s">
        <v>1290</v>
      </c>
      <c r="G6" s="100" t="s">
        <v>1291</v>
      </c>
      <c r="H6" s="100" t="s">
        <v>1292</v>
      </c>
      <c r="I6" s="100" t="s">
        <v>40</v>
      </c>
      <c r="J6" s="100" t="s">
        <v>1426</v>
      </c>
      <c r="K6" s="100" t="s">
        <v>1427</v>
      </c>
    </row>
    <row r="7" ht="55.5" customHeight="1">
      <c r="A7" s="91"/>
      <c r="B7" s="122" t="s">
        <v>1428</v>
      </c>
      <c r="C7" s="127" t="s">
        <v>1648</v>
      </c>
      <c r="D7" s="127" t="s">
        <v>1296</v>
      </c>
      <c r="E7" s="127" t="s">
        <v>1475</v>
      </c>
      <c r="F7" s="127" t="s">
        <v>1608</v>
      </c>
      <c r="G7" s="122" t="s">
        <v>1428</v>
      </c>
      <c r="H7" s="32" t="s">
        <v>1476</v>
      </c>
      <c r="I7" s="32">
        <v>12533.0</v>
      </c>
      <c r="J7" s="123" t="s">
        <v>1553</v>
      </c>
      <c r="K7" s="124" t="str">
        <f>IFERROR(__xludf.DUMMYFUNCTION("IF(ISBLANK(J7), """", GOOGLETRANSLATE(J7, ""es"", ""en""))"),"Code assigned by the National Public Investment System (SNIP) to identify a specific project.")</f>
        <v>Code assigned by the National Public Investment System (SNIP) to identify a specific project.</v>
      </c>
    </row>
    <row r="8" ht="55.5" customHeight="1">
      <c r="A8" s="91"/>
      <c r="B8" s="122" t="s">
        <v>1428</v>
      </c>
      <c r="C8" s="127" t="s">
        <v>1648</v>
      </c>
      <c r="D8" s="127" t="s">
        <v>1296</v>
      </c>
      <c r="E8" s="127" t="s">
        <v>1310</v>
      </c>
      <c r="F8" s="127" t="s">
        <v>1311</v>
      </c>
      <c r="G8" s="122" t="s">
        <v>1428</v>
      </c>
      <c r="H8" s="32" t="s">
        <v>1310</v>
      </c>
      <c r="I8" s="32" t="s">
        <v>1649</v>
      </c>
      <c r="J8" s="123" t="s">
        <v>1650</v>
      </c>
      <c r="K8" s="124" t="str">
        <f>IFERROR(__xludf.DUMMYFUNCTION("IF(ISBLANK(J8), """", GOOGLETRANSLATE(J8, ""es"", ""en""))"),"Name or title of the project to which the contract is related")</f>
        <v>Name or title of the project to which the contract is related</v>
      </c>
    </row>
    <row r="9" ht="55.5" customHeight="1">
      <c r="A9" s="91"/>
      <c r="B9" s="122" t="s">
        <v>1428</v>
      </c>
      <c r="C9" s="127" t="s">
        <v>1648</v>
      </c>
      <c r="D9" s="127" t="s">
        <v>1296</v>
      </c>
      <c r="E9" s="127" t="s">
        <v>1611</v>
      </c>
      <c r="F9" s="127" t="s">
        <v>1454</v>
      </c>
      <c r="G9" s="122" t="s">
        <v>1428</v>
      </c>
      <c r="H9" s="32" t="s">
        <v>1612</v>
      </c>
      <c r="I9" s="32" t="s">
        <v>1651</v>
      </c>
      <c r="J9" s="123" t="s">
        <v>1614</v>
      </c>
      <c r="K9" s="124" t="str">
        <f>IFERROR(__xludf.DUMMYFUNCTION("IF(ISBLANK(J9), """", GOOGLETRANSLATE(J9, ""es"", ""en""))"),"Code that identifies a specific process associated with the contract.")</f>
        <v>Code that identifies a specific process associated with the contract.</v>
      </c>
    </row>
    <row r="10" ht="55.5" customHeight="1">
      <c r="A10" s="91"/>
      <c r="B10" s="122" t="s">
        <v>1428</v>
      </c>
      <c r="C10" s="127" t="s">
        <v>1652</v>
      </c>
      <c r="D10" s="127" t="s">
        <v>1296</v>
      </c>
      <c r="E10" s="127" t="s">
        <v>1653</v>
      </c>
      <c r="F10" s="127" t="s">
        <v>1654</v>
      </c>
      <c r="G10" s="122" t="s">
        <v>1428</v>
      </c>
      <c r="H10" s="32" t="s">
        <v>1655</v>
      </c>
      <c r="I10" s="32" t="s">
        <v>1656</v>
      </c>
      <c r="J10" s="123" t="s">
        <v>1657</v>
      </c>
      <c r="K10" s="124" t="str">
        <f>IFERROR(__xludf.DUMMYFUNCTION("IF(ISBLANK(J10), """", GOOGLETRANSLATE(J10, ""es"", ""en""))"),"Unique code that identifies the contract within the system or set of contracts.")</f>
        <v>Unique code that identifies the contract within the system or set of contracts.</v>
      </c>
    </row>
    <row r="11" ht="55.5" customHeight="1">
      <c r="A11" s="91"/>
      <c r="B11" s="122" t="s">
        <v>1428</v>
      </c>
      <c r="C11" s="127" t="s">
        <v>1652</v>
      </c>
      <c r="D11" s="127" t="s">
        <v>1296</v>
      </c>
      <c r="E11" s="127" t="s">
        <v>1658</v>
      </c>
      <c r="F11" s="127" t="s">
        <v>1659</v>
      </c>
      <c r="G11" s="122" t="s">
        <v>1428</v>
      </c>
      <c r="H11" s="32" t="s">
        <v>1658</v>
      </c>
      <c r="I11" s="32" t="s">
        <v>1660</v>
      </c>
      <c r="J11" s="123" t="s">
        <v>1661</v>
      </c>
      <c r="K11" s="124" t="str">
        <f>IFERROR(__xludf.DUMMYFUNCTION("IF(ISBLANK(J11), """", GOOGLETRANSLATE(J11, ""es"", ""en""))"),"Detailed description of the contract, including relevant terms and conditions.")</f>
        <v>Detailed description of the contract, including relevant terms and conditions.</v>
      </c>
    </row>
    <row r="12" ht="55.5" customHeight="1">
      <c r="A12" s="91"/>
      <c r="B12" s="122" t="s">
        <v>1428</v>
      </c>
      <c r="C12" s="127" t="s">
        <v>1652</v>
      </c>
      <c r="D12" s="127" t="s">
        <v>1296</v>
      </c>
      <c r="E12" s="127" t="s">
        <v>1662</v>
      </c>
      <c r="F12" s="127" t="s">
        <v>1625</v>
      </c>
      <c r="G12" s="122" t="s">
        <v>1428</v>
      </c>
      <c r="H12" s="32" t="s">
        <v>1662</v>
      </c>
      <c r="I12" s="32" t="s">
        <v>1663</v>
      </c>
      <c r="J12" s="123" t="s">
        <v>1664</v>
      </c>
      <c r="K12" s="124" t="str">
        <f>IFERROR(__xludf.DUMMYFUNCTION("IF(ISBLANK(J12), """", GOOGLETRANSLATE(J12, ""es"", ""en""))"),"Current status of the contract, for example: pending, in progress, completed, etc.")</f>
        <v>Current status of the contract, for example: pending, in progress, completed, etc.</v>
      </c>
    </row>
    <row r="13" ht="55.5" customHeight="1">
      <c r="A13" s="91"/>
      <c r="B13" s="122" t="s">
        <v>1428</v>
      </c>
      <c r="C13" s="127" t="s">
        <v>1652</v>
      </c>
      <c r="D13" s="127" t="s">
        <v>1296</v>
      </c>
      <c r="E13" s="127" t="s">
        <v>1665</v>
      </c>
      <c r="F13" s="127" t="s">
        <v>1625</v>
      </c>
      <c r="G13" s="122" t="s">
        <v>1428</v>
      </c>
      <c r="H13" s="49" t="s">
        <v>1665</v>
      </c>
      <c r="I13" s="32" t="s">
        <v>1666</v>
      </c>
      <c r="J13" s="123" t="s">
        <v>1667</v>
      </c>
      <c r="K13" s="124" t="str">
        <f>IFERROR(__xludf.DUMMYFUNCTION("IF(ISBLANK(J13), """", GOOGLETRANSLATE(J13, ""es"", ""en""))"),"Type of currency used to express contract values.")</f>
        <v>Type of currency used to express contract values.</v>
      </c>
    </row>
    <row r="14" ht="55.5" customHeight="1">
      <c r="A14" s="91"/>
      <c r="B14" s="122" t="s">
        <v>1428</v>
      </c>
      <c r="C14" s="127" t="s">
        <v>1652</v>
      </c>
      <c r="D14" s="127" t="s">
        <v>1296</v>
      </c>
      <c r="E14" s="127" t="s">
        <v>1668</v>
      </c>
      <c r="F14" s="127" t="s">
        <v>1629</v>
      </c>
      <c r="G14" s="122" t="s">
        <v>1428</v>
      </c>
      <c r="H14" s="32" t="s">
        <v>1669</v>
      </c>
      <c r="I14" s="49">
        <v>1.636944E11</v>
      </c>
      <c r="J14" s="123" t="s">
        <v>1670</v>
      </c>
      <c r="K14" s="124" t="str">
        <f>IFERROR(__xludf.DUMMYFUNCTION("IF(ISBLANK(J14), """", GOOGLETRANSLATE(J14, ""es"", ""en""))"),"Total amount or value of the contract.")</f>
        <v>Total amount or value of the contract.</v>
      </c>
    </row>
    <row r="15" ht="55.5" customHeight="1">
      <c r="A15" s="91"/>
      <c r="B15" s="122" t="s">
        <v>1428</v>
      </c>
      <c r="C15" s="127" t="s">
        <v>1652</v>
      </c>
      <c r="D15" s="127" t="s">
        <v>1296</v>
      </c>
      <c r="E15" s="127" t="s">
        <v>1671</v>
      </c>
      <c r="F15" s="127" t="s">
        <v>1625</v>
      </c>
      <c r="G15" s="122" t="s">
        <v>1428</v>
      </c>
      <c r="H15" s="32" t="s">
        <v>1672</v>
      </c>
      <c r="I15" s="32">
        <v>10449.0</v>
      </c>
      <c r="J15" s="123" t="s">
        <v>1673</v>
      </c>
      <c r="K15" s="124" t="str">
        <f>IFERROR(__xludf.DUMMYFUNCTION("IF(ISBLANK(J15), """", GOOGLETRANSLATE(J15, ""es"", ""en""))"),"Unique code that identifies the supplier associated with the contract.")</f>
        <v>Unique code that identifies the supplier associated with the contract.</v>
      </c>
    </row>
    <row r="16" ht="55.5" customHeight="1">
      <c r="A16" s="91"/>
      <c r="B16" s="122" t="s">
        <v>1428</v>
      </c>
      <c r="C16" s="127" t="s">
        <v>1652</v>
      </c>
      <c r="D16" s="127" t="s">
        <v>1296</v>
      </c>
      <c r="E16" s="127" t="s">
        <v>1674</v>
      </c>
      <c r="F16" s="127" t="s">
        <v>1675</v>
      </c>
      <c r="G16" s="122" t="s">
        <v>1428</v>
      </c>
      <c r="H16" s="32" t="s">
        <v>1676</v>
      </c>
      <c r="I16" s="32" t="s">
        <v>1677</v>
      </c>
      <c r="J16" s="123" t="s">
        <v>1678</v>
      </c>
      <c r="K16" s="124" t="str">
        <f>IFERROR(__xludf.DUMMYFUNCTION("IF(ISBLANK(J16), """", GOOGLETRANSLATE(J16, ""es"", ""en""))"),"Name or identification of the supplier with whom the contract was established.")</f>
        <v>Name or identification of the supplier with whom the contract was established.</v>
      </c>
      <c r="O16" s="107"/>
      <c r="P16" s="107"/>
      <c r="Q16" s="107"/>
      <c r="R16" s="107"/>
      <c r="S16" s="107"/>
      <c r="T16" s="107"/>
      <c r="U16" s="107"/>
      <c r="V16" s="107"/>
      <c r="W16" s="107"/>
    </row>
    <row r="17" ht="55.5" customHeight="1">
      <c r="A17" s="91"/>
      <c r="B17" s="122" t="s">
        <v>1428</v>
      </c>
      <c r="C17" s="127" t="s">
        <v>1652</v>
      </c>
      <c r="D17" s="127" t="s">
        <v>1296</v>
      </c>
      <c r="E17" s="127" t="s">
        <v>3</v>
      </c>
      <c r="F17" s="127" t="s">
        <v>1679</v>
      </c>
      <c r="G17" s="122" t="s">
        <v>1428</v>
      </c>
      <c r="H17" s="32" t="s">
        <v>1680</v>
      </c>
      <c r="I17" s="117" t="s">
        <v>1681</v>
      </c>
      <c r="J17" s="123" t="s">
        <v>1682</v>
      </c>
      <c r="K17" s="124" t="str">
        <f>IFERROR(__xludf.DUMMYFUNCTION("IF(ISBLANK(J17), """", GOOGLETRANSLATE(J17, ""es"", ""en""))"),"URL or link that directs to the location of the online contract or its corresponding documentation.")</f>
        <v>URL or link that directs to the location of the online contract or its corresponding documentation.</v>
      </c>
    </row>
    <row r="18" ht="55.5" customHeight="1">
      <c r="A18" s="91"/>
      <c r="B18" s="122" t="s">
        <v>1428</v>
      </c>
      <c r="C18" s="127"/>
      <c r="D18" s="127"/>
      <c r="E18" s="127"/>
      <c r="F18" s="127"/>
      <c r="G18" s="125" t="s">
        <v>1638</v>
      </c>
      <c r="H18" s="32" t="s">
        <v>1380</v>
      </c>
      <c r="I18" s="32" t="s">
        <v>1639</v>
      </c>
      <c r="J18" s="123" t="s">
        <v>1683</v>
      </c>
      <c r="K18" s="124" t="str">
        <f>IFERROR(__xludf.DUMMYFUNCTION("IF(ISBLANK(J18), """", GOOGLETRANSLATE(J18, ""es"", ""en""))"),"Source from which the information about the contract was obtained.")</f>
        <v>Source from which the information about the contract was obtained.</v>
      </c>
    </row>
    <row r="19" ht="55.5" customHeight="1">
      <c r="B19" s="122" t="s">
        <v>1428</v>
      </c>
      <c r="C19" s="30"/>
      <c r="D19" s="30"/>
      <c r="E19" s="30"/>
      <c r="F19" s="30"/>
      <c r="G19" s="31" t="s">
        <v>1641</v>
      </c>
      <c r="H19" s="32" t="s">
        <v>1597</v>
      </c>
      <c r="I19" s="119">
        <v>45359.0</v>
      </c>
      <c r="J19" s="123" t="s">
        <v>1684</v>
      </c>
      <c r="K19" s="124" t="str">
        <f>IFERROR(__xludf.DUMMYFUNCTION("IF(ISBLANK(J19), """", GOOGLETRANSLATE(J19, ""es"", ""en""))"),"Date on which the information about the contract was updated according to the data source of the Ministry of Finance.")</f>
        <v>Date on which the information about the contract was updated according to the data source of the Ministry of Finance.</v>
      </c>
    </row>
    <row r="20" ht="55.5" customHeight="1">
      <c r="B20" s="122" t="s">
        <v>1428</v>
      </c>
      <c r="C20" s="30"/>
      <c r="D20" s="30"/>
      <c r="E20" s="30"/>
      <c r="F20" s="30"/>
      <c r="G20" s="31" t="s">
        <v>1685</v>
      </c>
      <c r="H20" s="32" t="s">
        <v>1644</v>
      </c>
      <c r="I20" s="119">
        <v>45379.0</v>
      </c>
      <c r="J20" s="123" t="s">
        <v>1686</v>
      </c>
      <c r="K20" s="124" t="str">
        <f>IFERROR(__xludf.DUMMYFUNCTION("IF(ISBLANK(J20), """", GOOGLETRANSLATE(J20, ""es"", ""en""))"),"Date on which information about the contract was updated according to the data source of the Public Procurement System (DGCP)")</f>
        <v>Date on which information about the contract was updated according to the data source of the Public Procurement System (DGCP)</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P32" s="126"/>
    </row>
    <row r="33" ht="15.75" customHeight="1">
      <c r="Q33" s="126"/>
      <c r="V33" s="107"/>
      <c r="W33" s="10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4:K4"/>
    <mergeCell ref="G5:I5"/>
    <mergeCell ref="J5:K5"/>
  </mergeCells>
  <hyperlinks>
    <hyperlink r:id="rId1" ref="B4"/>
    <hyperlink r:id="rId2" ref="I1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0"/>
  <cols>
    <col customWidth="1" min="2" max="2" width="23.5"/>
    <col customWidth="1" min="3" max="3" width="78.38"/>
    <col customWidth="1" min="4" max="5" width="44.0"/>
    <col customWidth="1" min="7" max="7" width="28.75"/>
  </cols>
  <sheetData>
    <row r="1" ht="15.75" customHeight="1">
      <c r="C1" s="3"/>
    </row>
    <row r="2" ht="15.75" customHeight="1">
      <c r="B2" s="128" t="s">
        <v>1687</v>
      </c>
      <c r="C2" s="3"/>
      <c r="G2" s="128" t="s">
        <v>33</v>
      </c>
    </row>
    <row r="3" ht="15.75" customHeight="1">
      <c r="B3" s="129" t="s">
        <v>1688</v>
      </c>
      <c r="C3" s="3"/>
    </row>
    <row r="4" ht="15.75" customHeight="1">
      <c r="B4" s="8"/>
      <c r="C4" s="3"/>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c r="CD4" s="130"/>
      <c r="CE4" s="130"/>
      <c r="CF4" s="130"/>
    </row>
    <row r="5" ht="15.75" customHeight="1">
      <c r="B5" s="26" t="s">
        <v>1689</v>
      </c>
      <c r="C5" s="26" t="s">
        <v>1690</v>
      </c>
      <c r="D5" s="26" t="s">
        <v>1691</v>
      </c>
      <c r="E5" s="26" t="s">
        <v>1692</v>
      </c>
      <c r="G5" s="6" t="s">
        <v>961</v>
      </c>
      <c r="H5" s="6" t="s">
        <v>964</v>
      </c>
      <c r="I5" s="6" t="s">
        <v>966</v>
      </c>
      <c r="J5" s="6" t="s">
        <v>969</v>
      </c>
      <c r="K5" s="6" t="s">
        <v>972</v>
      </c>
      <c r="L5" s="6" t="s">
        <v>974</v>
      </c>
      <c r="M5" s="6" t="s">
        <v>977</v>
      </c>
      <c r="N5" s="6" t="s">
        <v>979</v>
      </c>
      <c r="O5" s="6" t="s">
        <v>982</v>
      </c>
      <c r="P5" s="6" t="s">
        <v>984</v>
      </c>
      <c r="Q5" s="6" t="s">
        <v>987</v>
      </c>
      <c r="R5" s="6" t="s">
        <v>990</v>
      </c>
      <c r="S5" s="6" t="s">
        <v>992</v>
      </c>
      <c r="T5" s="6" t="s">
        <v>995</v>
      </c>
      <c r="U5" s="6" t="s">
        <v>997</v>
      </c>
      <c r="V5" s="6" t="s">
        <v>1000</v>
      </c>
      <c r="W5" s="6" t="s">
        <v>1002</v>
      </c>
      <c r="X5" s="6" t="s">
        <v>1005</v>
      </c>
      <c r="Y5" s="6" t="s">
        <v>1007</v>
      </c>
      <c r="Z5" s="6" t="s">
        <v>1010</v>
      </c>
      <c r="AA5" s="6" t="s">
        <v>1013</v>
      </c>
      <c r="AB5" s="6" t="s">
        <v>1015</v>
      </c>
      <c r="AC5" s="6" t="s">
        <v>1018</v>
      </c>
      <c r="AD5" s="6" t="s">
        <v>1020</v>
      </c>
      <c r="AE5" s="6" t="s">
        <v>1023</v>
      </c>
      <c r="AF5" s="6" t="s">
        <v>1025</v>
      </c>
      <c r="AG5" s="6" t="s">
        <v>1027</v>
      </c>
      <c r="AH5" s="6" t="s">
        <v>1029</v>
      </c>
      <c r="AI5" s="6" t="s">
        <v>1032</v>
      </c>
      <c r="AJ5" s="6" t="s">
        <v>1034</v>
      </c>
      <c r="AK5" s="6" t="s">
        <v>1037</v>
      </c>
      <c r="AL5" s="6" t="s">
        <v>1039</v>
      </c>
      <c r="AM5" s="6" t="s">
        <v>1042</v>
      </c>
      <c r="AN5" s="6" t="s">
        <v>1044</v>
      </c>
      <c r="AO5" s="6" t="s">
        <v>1047</v>
      </c>
      <c r="AP5" s="6" t="s">
        <v>1049</v>
      </c>
      <c r="AQ5" s="6" t="s">
        <v>1052</v>
      </c>
      <c r="AR5" s="6" t="s">
        <v>1054</v>
      </c>
      <c r="AS5" s="6" t="s">
        <v>1057</v>
      </c>
      <c r="AT5" s="6" t="s">
        <v>1060</v>
      </c>
      <c r="AU5" s="6" t="s">
        <v>1063</v>
      </c>
      <c r="AV5" s="6" t="s">
        <v>1066</v>
      </c>
      <c r="AW5" s="6" t="s">
        <v>1068</v>
      </c>
      <c r="AX5" s="6" t="s">
        <v>1070</v>
      </c>
      <c r="AY5" s="6" t="s">
        <v>1072</v>
      </c>
      <c r="AZ5" s="6" t="s">
        <v>1074</v>
      </c>
      <c r="BA5" s="6" t="s">
        <v>1077</v>
      </c>
      <c r="BB5" s="6" t="s">
        <v>1079</v>
      </c>
      <c r="BC5" s="6" t="s">
        <v>1082</v>
      </c>
      <c r="BD5" s="6" t="s">
        <v>1085</v>
      </c>
      <c r="BE5" s="6" t="s">
        <v>1088</v>
      </c>
      <c r="BF5" s="6" t="s">
        <v>1091</v>
      </c>
      <c r="BG5" s="6" t="s">
        <v>1093</v>
      </c>
      <c r="BH5" s="6" t="s">
        <v>1096</v>
      </c>
      <c r="BI5" s="6" t="s">
        <v>1098</v>
      </c>
      <c r="BJ5" s="6" t="s">
        <v>1100</v>
      </c>
      <c r="BK5" s="6" t="s">
        <v>1102</v>
      </c>
      <c r="BL5" s="6" t="s">
        <v>1104</v>
      </c>
      <c r="BM5" s="6" t="s">
        <v>1106</v>
      </c>
      <c r="BN5" s="6" t="s">
        <v>1108</v>
      </c>
      <c r="BO5" s="6" t="s">
        <v>1111</v>
      </c>
      <c r="BP5" s="6" t="s">
        <v>1113</v>
      </c>
      <c r="BQ5" s="6" t="s">
        <v>1116</v>
      </c>
      <c r="BR5" s="6" t="s">
        <v>1118</v>
      </c>
      <c r="BS5" s="6" t="s">
        <v>1120</v>
      </c>
      <c r="BT5" s="6" t="s">
        <v>1123</v>
      </c>
      <c r="BU5" s="6" t="s">
        <v>1125</v>
      </c>
      <c r="BV5" s="6" t="s">
        <v>1128</v>
      </c>
      <c r="BW5" s="6" t="s">
        <v>1130</v>
      </c>
      <c r="BX5" s="6" t="s">
        <v>1132</v>
      </c>
      <c r="BY5" s="6" t="s">
        <v>1135</v>
      </c>
      <c r="BZ5" s="6" t="s">
        <v>1137</v>
      </c>
      <c r="CA5" s="6" t="s">
        <v>1140</v>
      </c>
      <c r="CB5" s="6" t="s">
        <v>1142</v>
      </c>
      <c r="CC5" s="6" t="s">
        <v>1144</v>
      </c>
      <c r="CD5" s="6" t="s">
        <v>1147</v>
      </c>
      <c r="CE5" s="6" t="s">
        <v>1150</v>
      </c>
      <c r="CF5" s="6" t="s">
        <v>1152</v>
      </c>
    </row>
    <row r="6" ht="15.75" customHeight="1">
      <c r="B6" s="30" t="s">
        <v>961</v>
      </c>
      <c r="C6" s="32" t="s">
        <v>962</v>
      </c>
      <c r="D6" s="30" t="s">
        <v>1693</v>
      </c>
      <c r="E6" s="31" t="str">
        <f>IFERROR(__xludf.DUMMYFUNCTION("IF(ISBLANK(D6), """", GOOGLETRANSLATE(D6, ""es"", ""en""))"),"Unique identifier of the budget line")</f>
        <v>Unique identifier of the budget line</v>
      </c>
      <c r="G6" s="30" t="s">
        <v>962</v>
      </c>
      <c r="H6" s="30">
        <v>2024.0</v>
      </c>
      <c r="I6" s="30" t="s">
        <v>967</v>
      </c>
      <c r="J6" s="30" t="s">
        <v>970</v>
      </c>
      <c r="K6" s="30">
        <v>201.0</v>
      </c>
      <c r="L6" s="30" t="s">
        <v>975</v>
      </c>
      <c r="M6" s="30">
        <v>1.0</v>
      </c>
      <c r="N6" s="30" t="s">
        <v>980</v>
      </c>
      <c r="O6" s="30">
        <v>9.0</v>
      </c>
      <c r="P6" s="30" t="s">
        <v>985</v>
      </c>
      <c r="Q6" s="30" t="s">
        <v>988</v>
      </c>
      <c r="R6" s="30">
        <v>22.0</v>
      </c>
      <c r="S6" s="30" t="s">
        <v>993</v>
      </c>
      <c r="T6" s="30">
        <v>3.0</v>
      </c>
      <c r="U6" s="30" t="s">
        <v>998</v>
      </c>
      <c r="V6" s="30">
        <v>90.0</v>
      </c>
      <c r="W6" s="30" t="s">
        <v>1003</v>
      </c>
      <c r="X6" s="30">
        <v>52.0</v>
      </c>
      <c r="Y6" s="30" t="s">
        <v>1008</v>
      </c>
      <c r="Z6" s="30" t="s">
        <v>1011</v>
      </c>
      <c r="AA6" s="30">
        <v>100.0</v>
      </c>
      <c r="AB6" s="30" t="s">
        <v>1016</v>
      </c>
      <c r="AC6" s="30">
        <v>10.0</v>
      </c>
      <c r="AD6" s="30" t="s">
        <v>1021</v>
      </c>
      <c r="AE6" s="30">
        <v>100.0</v>
      </c>
      <c r="AF6" s="30" t="s">
        <v>1021</v>
      </c>
      <c r="AG6" s="30">
        <v>4.0</v>
      </c>
      <c r="AH6" s="30" t="s">
        <v>1030</v>
      </c>
      <c r="AI6" s="131">
        <v>45355.0</v>
      </c>
      <c r="AJ6" s="30" t="s">
        <v>1035</v>
      </c>
      <c r="AK6" s="52">
        <v>37319.0</v>
      </c>
      <c r="AL6" s="30" t="s">
        <v>1040</v>
      </c>
      <c r="AM6" s="30">
        <v>2.0</v>
      </c>
      <c r="AN6" s="30" t="s">
        <v>1045</v>
      </c>
      <c r="AO6" s="131">
        <v>45475.0</v>
      </c>
      <c r="AP6" s="30" t="s">
        <v>1050</v>
      </c>
      <c r="AQ6" s="132">
        <v>37074.0</v>
      </c>
      <c r="AR6" s="30" t="s">
        <v>1055</v>
      </c>
      <c r="AS6" s="30" t="s">
        <v>1058</v>
      </c>
      <c r="AT6" s="30" t="s">
        <v>1061</v>
      </c>
      <c r="AU6" s="30" t="s">
        <v>1064</v>
      </c>
      <c r="AV6" s="30" t="s">
        <v>1061</v>
      </c>
      <c r="AW6" s="30">
        <v>2.0</v>
      </c>
      <c r="AX6" s="30" t="s">
        <v>1045</v>
      </c>
      <c r="AY6" s="131">
        <v>45324.0</v>
      </c>
      <c r="AZ6" s="30" t="s">
        <v>1075</v>
      </c>
      <c r="BA6" s="132">
        <v>37289.0</v>
      </c>
      <c r="BB6" s="30" t="s">
        <v>1080</v>
      </c>
      <c r="BC6" s="30" t="s">
        <v>1083</v>
      </c>
      <c r="BD6" s="30" t="s">
        <v>1086</v>
      </c>
      <c r="BE6" s="30" t="s">
        <v>1089</v>
      </c>
      <c r="BF6" s="30" t="s">
        <v>1061</v>
      </c>
      <c r="BG6" s="30" t="s">
        <v>1094</v>
      </c>
      <c r="BH6" s="30" t="s">
        <v>1094</v>
      </c>
      <c r="BI6" s="30" t="s">
        <v>1094</v>
      </c>
      <c r="BJ6" s="30" t="s">
        <v>1094</v>
      </c>
      <c r="BK6" s="30" t="s">
        <v>1094</v>
      </c>
      <c r="BL6" s="30" t="s">
        <v>1094</v>
      </c>
      <c r="BM6" s="30">
        <v>0.0</v>
      </c>
      <c r="BN6" s="30" t="s">
        <v>1109</v>
      </c>
      <c r="BO6" s="30" t="s">
        <v>66</v>
      </c>
      <c r="BP6" s="30" t="s">
        <v>1114</v>
      </c>
      <c r="BQ6" s="30">
        <v>14676.0</v>
      </c>
      <c r="BR6" s="30" t="s">
        <v>1003</v>
      </c>
      <c r="BS6" s="30" t="s">
        <v>1121</v>
      </c>
      <c r="BT6" s="30">
        <v>1.0</v>
      </c>
      <c r="BU6" s="30" t="s">
        <v>1126</v>
      </c>
      <c r="BV6" s="30" t="s">
        <v>66</v>
      </c>
      <c r="BW6" s="30">
        <v>5.0</v>
      </c>
      <c r="BX6" s="30" t="s">
        <v>1133</v>
      </c>
      <c r="BY6" s="30">
        <v>21.0</v>
      </c>
      <c r="BZ6" s="30" t="s">
        <v>1138</v>
      </c>
      <c r="CA6" s="30">
        <v>1.0</v>
      </c>
      <c r="CB6" s="30" t="s">
        <v>1138</v>
      </c>
      <c r="CC6" s="30" t="s">
        <v>1145</v>
      </c>
      <c r="CD6" s="30" t="s">
        <v>1148</v>
      </c>
      <c r="CE6" s="30" t="s">
        <v>194</v>
      </c>
      <c r="CF6" s="30" t="s">
        <v>1148</v>
      </c>
    </row>
    <row r="7" ht="15.75" customHeight="1">
      <c r="B7" s="30" t="s">
        <v>964</v>
      </c>
      <c r="C7" s="32">
        <v>2024.0</v>
      </c>
      <c r="D7" s="30" t="s">
        <v>1694</v>
      </c>
      <c r="E7" s="31" t="str">
        <f>IFERROR(__xludf.DUMMYFUNCTION("IF(ISBLANK(D7), """", GOOGLETRANSLATE(D7, ""es"", ""en""))"),"Budget line year")</f>
        <v>Budget line year</v>
      </c>
      <c r="G7" s="30" t="s">
        <v>1695</v>
      </c>
      <c r="H7" s="30">
        <v>2024.0</v>
      </c>
      <c r="I7" s="30" t="s">
        <v>967</v>
      </c>
      <c r="J7" s="30" t="s">
        <v>970</v>
      </c>
      <c r="K7" s="30">
        <v>201.0</v>
      </c>
      <c r="L7" s="30" t="s">
        <v>975</v>
      </c>
      <c r="M7" s="30">
        <v>1.0</v>
      </c>
      <c r="N7" s="30" t="s">
        <v>980</v>
      </c>
      <c r="O7" s="30">
        <v>9.0</v>
      </c>
      <c r="P7" s="30" t="s">
        <v>985</v>
      </c>
      <c r="Q7" s="30" t="s">
        <v>988</v>
      </c>
      <c r="R7" s="30">
        <v>22.0</v>
      </c>
      <c r="S7" s="30" t="s">
        <v>993</v>
      </c>
      <c r="T7" s="30">
        <v>3.0</v>
      </c>
      <c r="U7" s="30" t="s">
        <v>998</v>
      </c>
      <c r="V7" s="30">
        <v>91.0</v>
      </c>
      <c r="W7" s="30" t="s">
        <v>1696</v>
      </c>
      <c r="X7" s="30">
        <v>51.0</v>
      </c>
      <c r="Y7" s="30" t="s">
        <v>1697</v>
      </c>
      <c r="Z7" s="30" t="s">
        <v>1698</v>
      </c>
      <c r="AA7" s="30">
        <v>100.0</v>
      </c>
      <c r="AB7" s="30" t="s">
        <v>1016</v>
      </c>
      <c r="AC7" s="30">
        <v>10.0</v>
      </c>
      <c r="AD7" s="30" t="s">
        <v>1021</v>
      </c>
      <c r="AE7" s="30">
        <v>100.0</v>
      </c>
      <c r="AF7" s="30" t="s">
        <v>1021</v>
      </c>
      <c r="AG7" s="30">
        <v>4.0</v>
      </c>
      <c r="AH7" s="30" t="s">
        <v>1030</v>
      </c>
      <c r="AI7" s="131">
        <v>45355.0</v>
      </c>
      <c r="AJ7" s="30" t="s">
        <v>1035</v>
      </c>
      <c r="AK7" s="52">
        <v>37319.0</v>
      </c>
      <c r="AL7" s="30" t="s">
        <v>1040</v>
      </c>
      <c r="AM7" s="30">
        <v>2.0</v>
      </c>
      <c r="AN7" s="30" t="s">
        <v>1045</v>
      </c>
      <c r="AO7" s="131">
        <v>45475.0</v>
      </c>
      <c r="AP7" s="30" t="s">
        <v>1050</v>
      </c>
      <c r="AQ7" s="132">
        <v>37439.0</v>
      </c>
      <c r="AR7" s="30" t="s">
        <v>1699</v>
      </c>
      <c r="AS7" s="30" t="s">
        <v>1700</v>
      </c>
      <c r="AT7" s="30" t="s">
        <v>1701</v>
      </c>
      <c r="AU7" s="30" t="s">
        <v>1702</v>
      </c>
      <c r="AV7" s="30" t="s">
        <v>1701</v>
      </c>
      <c r="AW7" s="30">
        <v>2.0</v>
      </c>
      <c r="AX7" s="30" t="s">
        <v>1045</v>
      </c>
      <c r="AY7" s="131">
        <v>45324.0</v>
      </c>
      <c r="AZ7" s="30" t="s">
        <v>1075</v>
      </c>
      <c r="BA7" s="132">
        <v>36924.0</v>
      </c>
      <c r="BB7" s="30" t="s">
        <v>1703</v>
      </c>
      <c r="BC7" s="30" t="s">
        <v>1704</v>
      </c>
      <c r="BD7" s="30" t="s">
        <v>1705</v>
      </c>
      <c r="BE7" s="30" t="s">
        <v>1094</v>
      </c>
      <c r="BF7" s="30" t="s">
        <v>1094</v>
      </c>
      <c r="BG7" s="30" t="s">
        <v>1094</v>
      </c>
      <c r="BH7" s="30" t="s">
        <v>1094</v>
      </c>
      <c r="BI7" s="30" t="s">
        <v>1094</v>
      </c>
      <c r="BJ7" s="30" t="s">
        <v>1094</v>
      </c>
      <c r="BK7" s="30" t="s">
        <v>1094</v>
      </c>
      <c r="BL7" s="30" t="s">
        <v>1094</v>
      </c>
      <c r="BM7" s="30">
        <v>0.0</v>
      </c>
      <c r="BN7" s="30" t="s">
        <v>1109</v>
      </c>
      <c r="BO7" s="30" t="s">
        <v>1094</v>
      </c>
      <c r="BP7" s="30" t="s">
        <v>1706</v>
      </c>
      <c r="BQ7" s="30">
        <v>14677.0</v>
      </c>
      <c r="BR7" s="30" t="s">
        <v>1696</v>
      </c>
      <c r="BS7" s="30" t="s">
        <v>1707</v>
      </c>
      <c r="BT7" s="30">
        <v>1.0</v>
      </c>
      <c r="BU7" s="30" t="s">
        <v>1126</v>
      </c>
      <c r="BV7" s="30" t="s">
        <v>66</v>
      </c>
      <c r="BW7" s="30">
        <v>5.0</v>
      </c>
      <c r="BX7" s="30" t="s">
        <v>1133</v>
      </c>
      <c r="BY7" s="30">
        <v>21.0</v>
      </c>
      <c r="BZ7" s="30" t="s">
        <v>1138</v>
      </c>
      <c r="CA7" s="30">
        <v>9999.0</v>
      </c>
      <c r="CB7" s="30" t="s">
        <v>1708</v>
      </c>
      <c r="CC7" s="30" t="s">
        <v>1709</v>
      </c>
      <c r="CD7" s="30" t="s">
        <v>194</v>
      </c>
      <c r="CE7" s="30" t="s">
        <v>1710</v>
      </c>
      <c r="CF7" s="30" t="s">
        <v>1710</v>
      </c>
    </row>
    <row r="8" ht="15.75" customHeight="1">
      <c r="B8" s="30" t="s">
        <v>966</v>
      </c>
      <c r="C8" s="32" t="s">
        <v>967</v>
      </c>
      <c r="D8" s="30" t="s">
        <v>1711</v>
      </c>
      <c r="E8" s="31" t="str">
        <f>IFERROR(__xludf.DUMMYFUNCTION("IF(ISBLANK(D8), """", GOOGLETRANSLATE(D8, ""es"", ""en""))"),"Section code")</f>
        <v>Section code</v>
      </c>
      <c r="G8" s="30" t="s">
        <v>1712</v>
      </c>
      <c r="H8" s="30">
        <v>2024.0</v>
      </c>
      <c r="I8" s="30" t="s">
        <v>967</v>
      </c>
      <c r="J8" s="30" t="s">
        <v>970</v>
      </c>
      <c r="K8" s="30">
        <v>201.0</v>
      </c>
      <c r="L8" s="30" t="s">
        <v>975</v>
      </c>
      <c r="M8" s="30">
        <v>1.0</v>
      </c>
      <c r="N8" s="30" t="s">
        <v>980</v>
      </c>
      <c r="O8" s="30">
        <v>9.0</v>
      </c>
      <c r="P8" s="30" t="s">
        <v>985</v>
      </c>
      <c r="Q8" s="30" t="s">
        <v>988</v>
      </c>
      <c r="R8" s="30">
        <v>22.0</v>
      </c>
      <c r="S8" s="30" t="s">
        <v>993</v>
      </c>
      <c r="T8" s="30">
        <v>3.0</v>
      </c>
      <c r="U8" s="30" t="s">
        <v>998</v>
      </c>
      <c r="V8" s="30">
        <v>92.0</v>
      </c>
      <c r="W8" s="30" t="s">
        <v>1713</v>
      </c>
      <c r="X8" s="30">
        <v>51.0</v>
      </c>
      <c r="Y8" s="30" t="s">
        <v>1714</v>
      </c>
      <c r="Z8" s="30" t="s">
        <v>1715</v>
      </c>
      <c r="AA8" s="30">
        <v>100.0</v>
      </c>
      <c r="AB8" s="30" t="s">
        <v>1016</v>
      </c>
      <c r="AC8" s="30">
        <v>10.0</v>
      </c>
      <c r="AD8" s="30" t="s">
        <v>1021</v>
      </c>
      <c r="AE8" s="30">
        <v>100.0</v>
      </c>
      <c r="AF8" s="30" t="s">
        <v>1021</v>
      </c>
      <c r="AG8" s="30">
        <v>4.0</v>
      </c>
      <c r="AH8" s="30" t="s">
        <v>1030</v>
      </c>
      <c r="AI8" s="131">
        <v>45355.0</v>
      </c>
      <c r="AJ8" s="30" t="s">
        <v>1035</v>
      </c>
      <c r="AK8" s="52">
        <v>37319.0</v>
      </c>
      <c r="AL8" s="30" t="s">
        <v>1040</v>
      </c>
      <c r="AM8" s="30">
        <v>2.0</v>
      </c>
      <c r="AN8" s="30" t="s">
        <v>1045</v>
      </c>
      <c r="AO8" s="131">
        <v>45475.0</v>
      </c>
      <c r="AP8" s="30" t="s">
        <v>1050</v>
      </c>
      <c r="AQ8" s="132">
        <v>37439.0</v>
      </c>
      <c r="AR8" s="30" t="s">
        <v>1699</v>
      </c>
      <c r="AS8" s="30" t="s">
        <v>1716</v>
      </c>
      <c r="AT8" s="30" t="s">
        <v>1717</v>
      </c>
      <c r="AU8" s="30" t="s">
        <v>1718</v>
      </c>
      <c r="AV8" s="30" t="s">
        <v>1717</v>
      </c>
      <c r="AW8" s="30">
        <v>2.0</v>
      </c>
      <c r="AX8" s="30" t="s">
        <v>1045</v>
      </c>
      <c r="AY8" s="131">
        <v>45324.0</v>
      </c>
      <c r="AZ8" s="30" t="s">
        <v>1075</v>
      </c>
      <c r="BA8" s="132">
        <v>36924.0</v>
      </c>
      <c r="BB8" s="30" t="s">
        <v>1703</v>
      </c>
      <c r="BC8" s="30" t="s">
        <v>1704</v>
      </c>
      <c r="BD8" s="30" t="s">
        <v>1705</v>
      </c>
      <c r="BE8" s="30" t="s">
        <v>1094</v>
      </c>
      <c r="BF8" s="30" t="s">
        <v>1094</v>
      </c>
      <c r="BG8" s="30" t="s">
        <v>1094</v>
      </c>
      <c r="BH8" s="30" t="s">
        <v>1094</v>
      </c>
      <c r="BI8" s="30" t="s">
        <v>1094</v>
      </c>
      <c r="BJ8" s="30" t="s">
        <v>1094</v>
      </c>
      <c r="BK8" s="30" t="s">
        <v>1094</v>
      </c>
      <c r="BL8" s="30" t="s">
        <v>1094</v>
      </c>
      <c r="BM8" s="30">
        <v>0.0</v>
      </c>
      <c r="BN8" s="30" t="s">
        <v>1109</v>
      </c>
      <c r="BO8" s="30" t="s">
        <v>66</v>
      </c>
      <c r="BP8" s="30" t="s">
        <v>1114</v>
      </c>
      <c r="BQ8" s="30">
        <v>14678.0</v>
      </c>
      <c r="BR8" s="30" t="s">
        <v>1713</v>
      </c>
      <c r="BS8" s="30" t="s">
        <v>1719</v>
      </c>
      <c r="BT8" s="30">
        <v>1.0</v>
      </c>
      <c r="BU8" s="30" t="s">
        <v>1126</v>
      </c>
      <c r="BV8" s="30" t="s">
        <v>66</v>
      </c>
      <c r="BW8" s="30">
        <v>2.0</v>
      </c>
      <c r="BX8" s="30" t="s">
        <v>1720</v>
      </c>
      <c r="BY8" s="30">
        <v>28.0</v>
      </c>
      <c r="BZ8" s="30" t="s">
        <v>1721</v>
      </c>
      <c r="CA8" s="30">
        <v>1.0</v>
      </c>
      <c r="CB8" s="30" t="s">
        <v>1722</v>
      </c>
      <c r="CC8" s="30" t="s">
        <v>1723</v>
      </c>
      <c r="CD8" s="30" t="s">
        <v>1724</v>
      </c>
      <c r="CE8" s="30" t="s">
        <v>1725</v>
      </c>
      <c r="CF8" s="30" t="s">
        <v>1726</v>
      </c>
    </row>
    <row r="9" ht="15.75" customHeight="1">
      <c r="B9" s="30" t="s">
        <v>969</v>
      </c>
      <c r="C9" s="32" t="s">
        <v>970</v>
      </c>
      <c r="D9" s="30" t="s">
        <v>1727</v>
      </c>
      <c r="E9" s="31" t="str">
        <f>IFERROR(__xludf.DUMMYFUNCTION("IF(ISBLANK(D9), """", GOOGLETRANSLATE(D9, ""es"", ""en""))"),"Section Description")</f>
        <v>Section Description</v>
      </c>
      <c r="G9" s="30" t="s">
        <v>1728</v>
      </c>
      <c r="H9" s="30">
        <v>2024.0</v>
      </c>
      <c r="I9" s="30" t="s">
        <v>967</v>
      </c>
      <c r="J9" s="30" t="s">
        <v>970</v>
      </c>
      <c r="K9" s="30">
        <v>201.0</v>
      </c>
      <c r="L9" s="30" t="s">
        <v>975</v>
      </c>
      <c r="M9" s="30">
        <v>1.0</v>
      </c>
      <c r="N9" s="30" t="s">
        <v>980</v>
      </c>
      <c r="O9" s="30">
        <v>9.0</v>
      </c>
      <c r="P9" s="30" t="s">
        <v>985</v>
      </c>
      <c r="Q9" s="30" t="s">
        <v>988</v>
      </c>
      <c r="R9" s="30">
        <v>22.0</v>
      </c>
      <c r="S9" s="30" t="s">
        <v>993</v>
      </c>
      <c r="T9" s="30">
        <v>3.0</v>
      </c>
      <c r="U9" s="30" t="s">
        <v>998</v>
      </c>
      <c r="V9" s="30">
        <v>92.0</v>
      </c>
      <c r="W9" s="30" t="s">
        <v>1713</v>
      </c>
      <c r="X9" s="30">
        <v>52.0</v>
      </c>
      <c r="Y9" s="30" t="s">
        <v>1729</v>
      </c>
      <c r="Z9" s="30" t="s">
        <v>1730</v>
      </c>
      <c r="AA9" s="30">
        <v>100.0</v>
      </c>
      <c r="AB9" s="30" t="s">
        <v>1016</v>
      </c>
      <c r="AC9" s="30">
        <v>10.0</v>
      </c>
      <c r="AD9" s="30" t="s">
        <v>1021</v>
      </c>
      <c r="AE9" s="30">
        <v>100.0</v>
      </c>
      <c r="AF9" s="30" t="s">
        <v>1021</v>
      </c>
      <c r="AG9" s="30">
        <v>4.0</v>
      </c>
      <c r="AH9" s="30" t="s">
        <v>1030</v>
      </c>
      <c r="AI9" s="131">
        <v>45355.0</v>
      </c>
      <c r="AJ9" s="30" t="s">
        <v>1035</v>
      </c>
      <c r="AK9" s="52">
        <v>37319.0</v>
      </c>
      <c r="AL9" s="30" t="s">
        <v>1040</v>
      </c>
      <c r="AM9" s="30">
        <v>2.0</v>
      </c>
      <c r="AN9" s="30" t="s">
        <v>1045</v>
      </c>
      <c r="AO9" s="131">
        <v>45475.0</v>
      </c>
      <c r="AP9" s="30" t="s">
        <v>1050</v>
      </c>
      <c r="AQ9" s="132">
        <v>37074.0</v>
      </c>
      <c r="AR9" s="30" t="s">
        <v>1055</v>
      </c>
      <c r="AS9" s="30" t="s">
        <v>1058</v>
      </c>
      <c r="AT9" s="30" t="s">
        <v>1061</v>
      </c>
      <c r="AU9" s="30" t="s">
        <v>1064</v>
      </c>
      <c r="AV9" s="30" t="s">
        <v>1061</v>
      </c>
      <c r="AW9" s="30">
        <v>2.0</v>
      </c>
      <c r="AX9" s="30" t="s">
        <v>1045</v>
      </c>
      <c r="AY9" s="131">
        <v>45324.0</v>
      </c>
      <c r="AZ9" s="30" t="s">
        <v>1075</v>
      </c>
      <c r="BA9" s="132">
        <v>37289.0</v>
      </c>
      <c r="BB9" s="30" t="s">
        <v>1080</v>
      </c>
      <c r="BC9" s="30" t="s">
        <v>1083</v>
      </c>
      <c r="BD9" s="30" t="s">
        <v>1086</v>
      </c>
      <c r="BE9" s="30" t="s">
        <v>1089</v>
      </c>
      <c r="BF9" s="30" t="s">
        <v>1061</v>
      </c>
      <c r="BG9" s="30" t="s">
        <v>1094</v>
      </c>
      <c r="BH9" s="30" t="s">
        <v>1094</v>
      </c>
      <c r="BI9" s="30" t="s">
        <v>1094</v>
      </c>
      <c r="BJ9" s="30" t="s">
        <v>1094</v>
      </c>
      <c r="BK9" s="30" t="s">
        <v>1094</v>
      </c>
      <c r="BL9" s="30" t="s">
        <v>1094</v>
      </c>
      <c r="BM9" s="30">
        <v>0.0</v>
      </c>
      <c r="BN9" s="30" t="s">
        <v>1109</v>
      </c>
      <c r="BO9" s="30" t="s">
        <v>66</v>
      </c>
      <c r="BP9" s="30" t="s">
        <v>1114</v>
      </c>
      <c r="BQ9" s="30">
        <v>14678.0</v>
      </c>
      <c r="BR9" s="30" t="s">
        <v>1713</v>
      </c>
      <c r="BS9" s="30" t="s">
        <v>1719</v>
      </c>
      <c r="BT9" s="30">
        <v>1.0</v>
      </c>
      <c r="BU9" s="30" t="s">
        <v>1126</v>
      </c>
      <c r="BV9" s="30" t="s">
        <v>66</v>
      </c>
      <c r="BW9" s="30">
        <v>2.0</v>
      </c>
      <c r="BX9" s="30" t="s">
        <v>1720</v>
      </c>
      <c r="BY9" s="30">
        <v>28.0</v>
      </c>
      <c r="BZ9" s="30" t="s">
        <v>1721</v>
      </c>
      <c r="CA9" s="30">
        <v>1.0</v>
      </c>
      <c r="CB9" s="30" t="s">
        <v>1722</v>
      </c>
      <c r="CC9" s="30" t="s">
        <v>1731</v>
      </c>
      <c r="CD9" s="30" t="s">
        <v>1732</v>
      </c>
      <c r="CE9" s="30" t="s">
        <v>1733</v>
      </c>
      <c r="CF9" s="30" t="s">
        <v>1734</v>
      </c>
    </row>
    <row r="10" ht="15.75" customHeight="1">
      <c r="B10" s="30" t="s">
        <v>972</v>
      </c>
      <c r="C10" s="32">
        <v>201.0</v>
      </c>
      <c r="D10" s="30" t="s">
        <v>1735</v>
      </c>
      <c r="E10" s="31" t="str">
        <f>IFERROR(__xludf.DUMMYFUNCTION("IF(ISBLANK(D10), """", GOOGLETRANSLATE(D10, ""es"", ""en""))"),"Chapter Code")</f>
        <v>Chapter Code</v>
      </c>
      <c r="G10" s="30" t="s">
        <v>1736</v>
      </c>
      <c r="H10" s="30">
        <v>2024.0</v>
      </c>
      <c r="I10" s="30" t="s">
        <v>967</v>
      </c>
      <c r="J10" s="30" t="s">
        <v>970</v>
      </c>
      <c r="K10" s="30">
        <v>201.0</v>
      </c>
      <c r="L10" s="30" t="s">
        <v>975</v>
      </c>
      <c r="M10" s="30">
        <v>1.0</v>
      </c>
      <c r="N10" s="30" t="s">
        <v>980</v>
      </c>
      <c r="O10" s="30">
        <v>9.0</v>
      </c>
      <c r="P10" s="30" t="s">
        <v>985</v>
      </c>
      <c r="Q10" s="30" t="s">
        <v>988</v>
      </c>
      <c r="R10" s="30">
        <v>22.0</v>
      </c>
      <c r="S10" s="30" t="s">
        <v>993</v>
      </c>
      <c r="T10" s="30">
        <v>3.0</v>
      </c>
      <c r="U10" s="30" t="s">
        <v>998</v>
      </c>
      <c r="V10" s="30">
        <v>93.0</v>
      </c>
      <c r="W10" s="30" t="s">
        <v>1737</v>
      </c>
      <c r="X10" s="30">
        <v>51.0</v>
      </c>
      <c r="Y10" s="30" t="s">
        <v>1738</v>
      </c>
      <c r="Z10" s="30" t="s">
        <v>1739</v>
      </c>
      <c r="AA10" s="30">
        <v>100.0</v>
      </c>
      <c r="AB10" s="30" t="s">
        <v>1016</v>
      </c>
      <c r="AC10" s="30">
        <v>10.0</v>
      </c>
      <c r="AD10" s="30" t="s">
        <v>1021</v>
      </c>
      <c r="AE10" s="30">
        <v>100.0</v>
      </c>
      <c r="AF10" s="30" t="s">
        <v>1021</v>
      </c>
      <c r="AG10" s="30">
        <v>4.0</v>
      </c>
      <c r="AH10" s="30" t="s">
        <v>1030</v>
      </c>
      <c r="AI10" s="131">
        <v>45355.0</v>
      </c>
      <c r="AJ10" s="30" t="s">
        <v>1035</v>
      </c>
      <c r="AK10" s="52">
        <v>37319.0</v>
      </c>
      <c r="AL10" s="30" t="s">
        <v>1040</v>
      </c>
      <c r="AM10" s="30">
        <v>2.0</v>
      </c>
      <c r="AN10" s="30" t="s">
        <v>1045</v>
      </c>
      <c r="AO10" s="131">
        <v>45475.0</v>
      </c>
      <c r="AP10" s="30" t="s">
        <v>1050</v>
      </c>
      <c r="AQ10" s="132">
        <v>37439.0</v>
      </c>
      <c r="AR10" s="30" t="s">
        <v>1699</v>
      </c>
      <c r="AS10" s="30" t="s">
        <v>1716</v>
      </c>
      <c r="AT10" s="30" t="s">
        <v>1717</v>
      </c>
      <c r="AU10" s="30" t="s">
        <v>1718</v>
      </c>
      <c r="AV10" s="30" t="s">
        <v>1717</v>
      </c>
      <c r="AW10" s="30">
        <v>2.0</v>
      </c>
      <c r="AX10" s="30" t="s">
        <v>1045</v>
      </c>
      <c r="AY10" s="131">
        <v>45324.0</v>
      </c>
      <c r="AZ10" s="30" t="s">
        <v>1075</v>
      </c>
      <c r="BA10" s="132">
        <v>36924.0</v>
      </c>
      <c r="BB10" s="30" t="s">
        <v>1703</v>
      </c>
      <c r="BC10" s="30" t="s">
        <v>1704</v>
      </c>
      <c r="BD10" s="30" t="s">
        <v>1705</v>
      </c>
      <c r="BE10" s="30" t="s">
        <v>1094</v>
      </c>
      <c r="BF10" s="30" t="s">
        <v>1094</v>
      </c>
      <c r="BG10" s="30" t="s">
        <v>1094</v>
      </c>
      <c r="BH10" s="30" t="s">
        <v>1094</v>
      </c>
      <c r="BI10" s="30" t="s">
        <v>1094</v>
      </c>
      <c r="BJ10" s="30" t="s">
        <v>1094</v>
      </c>
      <c r="BK10" s="30" t="s">
        <v>1094</v>
      </c>
      <c r="BL10" s="30" t="s">
        <v>1094</v>
      </c>
      <c r="BM10" s="30">
        <v>0.0</v>
      </c>
      <c r="BN10" s="30" t="s">
        <v>1109</v>
      </c>
      <c r="BO10" s="30" t="s">
        <v>66</v>
      </c>
      <c r="BP10" s="30" t="s">
        <v>1114</v>
      </c>
      <c r="BQ10" s="30">
        <v>14679.0</v>
      </c>
      <c r="BR10" s="30" t="s">
        <v>1737</v>
      </c>
      <c r="BS10" s="30" t="s">
        <v>1740</v>
      </c>
      <c r="BT10" s="30">
        <v>1.0</v>
      </c>
      <c r="BU10" s="30" t="s">
        <v>1126</v>
      </c>
      <c r="BV10" s="30" t="s">
        <v>66</v>
      </c>
      <c r="BW10" s="30">
        <v>2.0</v>
      </c>
      <c r="BX10" s="30" t="s">
        <v>1720</v>
      </c>
      <c r="BY10" s="30">
        <v>28.0</v>
      </c>
      <c r="BZ10" s="30" t="s">
        <v>1721</v>
      </c>
      <c r="CA10" s="30">
        <v>3.0</v>
      </c>
      <c r="CB10" s="30" t="s">
        <v>1741</v>
      </c>
      <c r="CC10" s="30" t="s">
        <v>1742</v>
      </c>
      <c r="CD10" s="30" t="s">
        <v>1743</v>
      </c>
      <c r="CE10" s="30" t="s">
        <v>194</v>
      </c>
      <c r="CF10" s="30" t="s">
        <v>1743</v>
      </c>
    </row>
    <row r="11" ht="15.75" customHeight="1">
      <c r="B11" s="30" t="s">
        <v>974</v>
      </c>
      <c r="C11" s="32" t="s">
        <v>975</v>
      </c>
      <c r="D11" s="30" t="s">
        <v>1744</v>
      </c>
      <c r="E11" s="31" t="str">
        <f>IFERROR(__xludf.DUMMYFUNCTION("IF(ISBLANK(D11), """", GOOGLETRANSLATE(D11, ""es"", ""en""))"),"Chapter Name")</f>
        <v>Chapter Name</v>
      </c>
      <c r="G11" s="30" t="s">
        <v>1745</v>
      </c>
      <c r="H11" s="30">
        <v>2024.0</v>
      </c>
      <c r="I11" s="30" t="s">
        <v>967</v>
      </c>
      <c r="J11" s="30" t="s">
        <v>970</v>
      </c>
      <c r="K11" s="30">
        <v>201.0</v>
      </c>
      <c r="L11" s="30" t="s">
        <v>975</v>
      </c>
      <c r="M11" s="30">
        <v>1.0</v>
      </c>
      <c r="N11" s="30" t="s">
        <v>980</v>
      </c>
      <c r="O11" s="30">
        <v>9.0</v>
      </c>
      <c r="P11" s="30" t="s">
        <v>985</v>
      </c>
      <c r="Q11" s="30" t="s">
        <v>988</v>
      </c>
      <c r="R11" s="30">
        <v>22.0</v>
      </c>
      <c r="S11" s="30" t="s">
        <v>993</v>
      </c>
      <c r="T11" s="30">
        <v>3.0</v>
      </c>
      <c r="U11" s="30" t="s">
        <v>998</v>
      </c>
      <c r="V11" s="30">
        <v>93.0</v>
      </c>
      <c r="W11" s="30" t="s">
        <v>1737</v>
      </c>
      <c r="X11" s="30">
        <v>52.0</v>
      </c>
      <c r="Y11" s="30" t="s">
        <v>1729</v>
      </c>
      <c r="Z11" s="30" t="s">
        <v>1746</v>
      </c>
      <c r="AA11" s="30">
        <v>100.0</v>
      </c>
      <c r="AB11" s="30" t="s">
        <v>1016</v>
      </c>
      <c r="AC11" s="30">
        <v>10.0</v>
      </c>
      <c r="AD11" s="30" t="s">
        <v>1021</v>
      </c>
      <c r="AE11" s="30">
        <v>100.0</v>
      </c>
      <c r="AF11" s="30" t="s">
        <v>1021</v>
      </c>
      <c r="AG11" s="30">
        <v>4.0</v>
      </c>
      <c r="AH11" s="30" t="s">
        <v>1030</v>
      </c>
      <c r="AI11" s="131">
        <v>45355.0</v>
      </c>
      <c r="AJ11" s="30" t="s">
        <v>1035</v>
      </c>
      <c r="AK11" s="52">
        <v>37319.0</v>
      </c>
      <c r="AL11" s="30" t="s">
        <v>1040</v>
      </c>
      <c r="AM11" s="30">
        <v>2.0</v>
      </c>
      <c r="AN11" s="30" t="s">
        <v>1045</v>
      </c>
      <c r="AO11" s="131">
        <v>45475.0</v>
      </c>
      <c r="AP11" s="30" t="s">
        <v>1050</v>
      </c>
      <c r="AQ11" s="132">
        <v>37074.0</v>
      </c>
      <c r="AR11" s="30" t="s">
        <v>1055</v>
      </c>
      <c r="AS11" s="30" t="s">
        <v>1058</v>
      </c>
      <c r="AT11" s="30" t="s">
        <v>1061</v>
      </c>
      <c r="AU11" s="30" t="s">
        <v>1064</v>
      </c>
      <c r="AV11" s="30" t="s">
        <v>1061</v>
      </c>
      <c r="AW11" s="30">
        <v>2.0</v>
      </c>
      <c r="AX11" s="30" t="s">
        <v>1045</v>
      </c>
      <c r="AY11" s="131">
        <v>45324.0</v>
      </c>
      <c r="AZ11" s="30" t="s">
        <v>1075</v>
      </c>
      <c r="BA11" s="132">
        <v>37289.0</v>
      </c>
      <c r="BB11" s="30" t="s">
        <v>1080</v>
      </c>
      <c r="BC11" s="30" t="s">
        <v>1083</v>
      </c>
      <c r="BD11" s="30" t="s">
        <v>1086</v>
      </c>
      <c r="BE11" s="30" t="s">
        <v>1089</v>
      </c>
      <c r="BF11" s="30" t="s">
        <v>1061</v>
      </c>
      <c r="BG11" s="30" t="s">
        <v>1094</v>
      </c>
      <c r="BH11" s="30" t="s">
        <v>1094</v>
      </c>
      <c r="BI11" s="30" t="s">
        <v>1094</v>
      </c>
      <c r="BJ11" s="30" t="s">
        <v>1094</v>
      </c>
      <c r="BK11" s="30" t="s">
        <v>1094</v>
      </c>
      <c r="BL11" s="30" t="s">
        <v>1094</v>
      </c>
      <c r="BM11" s="30">
        <v>0.0</v>
      </c>
      <c r="BN11" s="30" t="s">
        <v>1109</v>
      </c>
      <c r="BO11" s="30" t="s">
        <v>66</v>
      </c>
      <c r="BP11" s="30" t="s">
        <v>1114</v>
      </c>
      <c r="BQ11" s="30">
        <v>14679.0</v>
      </c>
      <c r="BR11" s="30" t="s">
        <v>1737</v>
      </c>
      <c r="BS11" s="30" t="s">
        <v>1740</v>
      </c>
      <c r="BT11" s="30">
        <v>1.0</v>
      </c>
      <c r="BU11" s="30" t="s">
        <v>1126</v>
      </c>
      <c r="BV11" s="30" t="s">
        <v>66</v>
      </c>
      <c r="BW11" s="30">
        <v>2.0</v>
      </c>
      <c r="BX11" s="30" t="s">
        <v>1720</v>
      </c>
      <c r="BY11" s="30">
        <v>28.0</v>
      </c>
      <c r="BZ11" s="30" t="s">
        <v>1721</v>
      </c>
      <c r="CA11" s="30">
        <v>3.0</v>
      </c>
      <c r="CB11" s="30" t="s">
        <v>1741</v>
      </c>
      <c r="CC11" s="30" t="s">
        <v>1747</v>
      </c>
      <c r="CD11" s="30" t="s">
        <v>1748</v>
      </c>
      <c r="CE11" s="30" t="s">
        <v>194</v>
      </c>
      <c r="CF11" s="30" t="s">
        <v>1748</v>
      </c>
    </row>
    <row r="12" ht="15.75" customHeight="1">
      <c r="B12" s="30" t="s">
        <v>977</v>
      </c>
      <c r="C12" s="32">
        <v>1.0</v>
      </c>
      <c r="D12" s="30" t="s">
        <v>1749</v>
      </c>
      <c r="E12" s="31" t="str">
        <f>IFERROR(__xludf.DUMMYFUNCTION("IF(ISBLANK(D12), """", GOOGLETRANSLATE(D12, ""es"", ""en""))"),"Subchapter Code")</f>
        <v>Subchapter Code</v>
      </c>
      <c r="G12" s="30" t="s">
        <v>1750</v>
      </c>
      <c r="H12" s="30">
        <v>2024.0</v>
      </c>
      <c r="I12" s="30" t="s">
        <v>967</v>
      </c>
      <c r="J12" s="30" t="s">
        <v>970</v>
      </c>
      <c r="K12" s="30">
        <v>201.0</v>
      </c>
      <c r="L12" s="30" t="s">
        <v>975</v>
      </c>
      <c r="M12" s="30">
        <v>1.0</v>
      </c>
      <c r="N12" s="30" t="s">
        <v>980</v>
      </c>
      <c r="O12" s="30">
        <v>9.0</v>
      </c>
      <c r="P12" s="30" t="s">
        <v>985</v>
      </c>
      <c r="Q12" s="30" t="s">
        <v>988</v>
      </c>
      <c r="R12" s="30">
        <v>22.0</v>
      </c>
      <c r="S12" s="30" t="s">
        <v>993</v>
      </c>
      <c r="T12" s="30">
        <v>3.0</v>
      </c>
      <c r="U12" s="30" t="s">
        <v>998</v>
      </c>
      <c r="V12" s="30">
        <v>94.0</v>
      </c>
      <c r="W12" s="30" t="s">
        <v>1751</v>
      </c>
      <c r="X12" s="30">
        <v>51.0</v>
      </c>
      <c r="Y12" s="30" t="s">
        <v>1752</v>
      </c>
      <c r="Z12" s="30" t="s">
        <v>1753</v>
      </c>
      <c r="AA12" s="30">
        <v>100.0</v>
      </c>
      <c r="AB12" s="30" t="s">
        <v>1016</v>
      </c>
      <c r="AC12" s="30">
        <v>10.0</v>
      </c>
      <c r="AD12" s="30" t="s">
        <v>1021</v>
      </c>
      <c r="AE12" s="30">
        <v>100.0</v>
      </c>
      <c r="AF12" s="30" t="s">
        <v>1021</v>
      </c>
      <c r="AG12" s="30">
        <v>4.0</v>
      </c>
      <c r="AH12" s="30" t="s">
        <v>1030</v>
      </c>
      <c r="AI12" s="131">
        <v>45355.0</v>
      </c>
      <c r="AJ12" s="30" t="s">
        <v>1035</v>
      </c>
      <c r="AK12" s="52">
        <v>37319.0</v>
      </c>
      <c r="AL12" s="30" t="s">
        <v>1040</v>
      </c>
      <c r="AM12" s="30">
        <v>2.0</v>
      </c>
      <c r="AN12" s="30" t="s">
        <v>1045</v>
      </c>
      <c r="AO12" s="131">
        <v>45475.0</v>
      </c>
      <c r="AP12" s="30" t="s">
        <v>1050</v>
      </c>
      <c r="AQ12" s="132">
        <v>37439.0</v>
      </c>
      <c r="AR12" s="30" t="s">
        <v>1699</v>
      </c>
      <c r="AS12" s="30" t="s">
        <v>1716</v>
      </c>
      <c r="AT12" s="30" t="s">
        <v>1717</v>
      </c>
      <c r="AU12" s="30" t="s">
        <v>1718</v>
      </c>
      <c r="AV12" s="30" t="s">
        <v>1717</v>
      </c>
      <c r="AW12" s="30">
        <v>2.0</v>
      </c>
      <c r="AX12" s="30" t="s">
        <v>1045</v>
      </c>
      <c r="AY12" s="131">
        <v>45324.0</v>
      </c>
      <c r="AZ12" s="30" t="s">
        <v>1075</v>
      </c>
      <c r="BA12" s="132">
        <v>36924.0</v>
      </c>
      <c r="BB12" s="30" t="s">
        <v>1703</v>
      </c>
      <c r="BC12" s="30" t="s">
        <v>1704</v>
      </c>
      <c r="BD12" s="30" t="s">
        <v>1705</v>
      </c>
      <c r="BE12" s="30" t="s">
        <v>1094</v>
      </c>
      <c r="BF12" s="30" t="s">
        <v>1094</v>
      </c>
      <c r="BG12" s="30" t="s">
        <v>1094</v>
      </c>
      <c r="BH12" s="30" t="s">
        <v>1094</v>
      </c>
      <c r="BI12" s="30" t="s">
        <v>1094</v>
      </c>
      <c r="BJ12" s="30" t="s">
        <v>1094</v>
      </c>
      <c r="BK12" s="30" t="s">
        <v>1094</v>
      </c>
      <c r="BL12" s="30" t="s">
        <v>1094</v>
      </c>
      <c r="BM12" s="30">
        <v>0.0</v>
      </c>
      <c r="BN12" s="30" t="s">
        <v>1109</v>
      </c>
      <c r="BO12" s="30" t="s">
        <v>66</v>
      </c>
      <c r="BP12" s="30" t="s">
        <v>1114</v>
      </c>
      <c r="BQ12" s="30">
        <v>14681.0</v>
      </c>
      <c r="BR12" s="30" t="s">
        <v>1751</v>
      </c>
      <c r="BS12" s="30" t="s">
        <v>1754</v>
      </c>
      <c r="BT12" s="30">
        <v>1.0</v>
      </c>
      <c r="BU12" s="30" t="s">
        <v>1126</v>
      </c>
      <c r="BV12" s="30" t="s">
        <v>66</v>
      </c>
      <c r="BW12" s="30">
        <v>2.0</v>
      </c>
      <c r="BX12" s="30" t="s">
        <v>1720</v>
      </c>
      <c r="BY12" s="30">
        <v>28.0</v>
      </c>
      <c r="BZ12" s="30" t="s">
        <v>1721</v>
      </c>
      <c r="CA12" s="30">
        <v>1.0</v>
      </c>
      <c r="CB12" s="30" t="s">
        <v>1722</v>
      </c>
      <c r="CC12" s="30" t="s">
        <v>1755</v>
      </c>
      <c r="CD12" s="30" t="s">
        <v>1756</v>
      </c>
      <c r="CE12" s="30" t="s">
        <v>194</v>
      </c>
      <c r="CF12" s="30" t="s">
        <v>1756</v>
      </c>
    </row>
    <row r="13" ht="15.75" customHeight="1">
      <c r="B13" s="30" t="s">
        <v>979</v>
      </c>
      <c r="C13" s="32" t="s">
        <v>980</v>
      </c>
      <c r="D13" s="30" t="s">
        <v>1757</v>
      </c>
      <c r="E13" s="31" t="str">
        <f>IFERROR(__xludf.DUMMYFUNCTION("IF(ISBLANK(D13), """", GOOGLETRANSLATE(D13, ""es"", ""en""))"),"Subchapter NAME")</f>
        <v>Subchapter NAME</v>
      </c>
      <c r="G13" s="30" t="s">
        <v>1758</v>
      </c>
      <c r="H13" s="30">
        <v>2024.0</v>
      </c>
      <c r="I13" s="30" t="s">
        <v>967</v>
      </c>
      <c r="J13" s="30" t="s">
        <v>970</v>
      </c>
      <c r="K13" s="30">
        <v>201.0</v>
      </c>
      <c r="L13" s="30" t="s">
        <v>975</v>
      </c>
      <c r="M13" s="30">
        <v>1.0</v>
      </c>
      <c r="N13" s="30" t="s">
        <v>980</v>
      </c>
      <c r="O13" s="30">
        <v>9.0</v>
      </c>
      <c r="P13" s="30" t="s">
        <v>985</v>
      </c>
      <c r="Q13" s="30" t="s">
        <v>988</v>
      </c>
      <c r="R13" s="30">
        <v>22.0</v>
      </c>
      <c r="S13" s="30" t="s">
        <v>993</v>
      </c>
      <c r="T13" s="30">
        <v>3.0</v>
      </c>
      <c r="U13" s="30" t="s">
        <v>998</v>
      </c>
      <c r="V13" s="30">
        <v>94.0</v>
      </c>
      <c r="W13" s="30" t="s">
        <v>1751</v>
      </c>
      <c r="X13" s="30">
        <v>52.0</v>
      </c>
      <c r="Y13" s="30" t="s">
        <v>1729</v>
      </c>
      <c r="Z13" s="30" t="s">
        <v>1759</v>
      </c>
      <c r="AA13" s="30">
        <v>100.0</v>
      </c>
      <c r="AB13" s="30" t="s">
        <v>1016</v>
      </c>
      <c r="AC13" s="30">
        <v>10.0</v>
      </c>
      <c r="AD13" s="30" t="s">
        <v>1021</v>
      </c>
      <c r="AE13" s="30">
        <v>100.0</v>
      </c>
      <c r="AF13" s="30" t="s">
        <v>1021</v>
      </c>
      <c r="AG13" s="30">
        <v>4.0</v>
      </c>
      <c r="AH13" s="30" t="s">
        <v>1030</v>
      </c>
      <c r="AI13" s="131">
        <v>45355.0</v>
      </c>
      <c r="AJ13" s="30" t="s">
        <v>1035</v>
      </c>
      <c r="AK13" s="52">
        <v>37319.0</v>
      </c>
      <c r="AL13" s="30" t="s">
        <v>1040</v>
      </c>
      <c r="AM13" s="30">
        <v>2.0</v>
      </c>
      <c r="AN13" s="30" t="s">
        <v>1045</v>
      </c>
      <c r="AO13" s="131">
        <v>45475.0</v>
      </c>
      <c r="AP13" s="30" t="s">
        <v>1050</v>
      </c>
      <c r="AQ13" s="132">
        <v>37074.0</v>
      </c>
      <c r="AR13" s="30" t="s">
        <v>1055</v>
      </c>
      <c r="AS13" s="30" t="s">
        <v>1058</v>
      </c>
      <c r="AT13" s="30" t="s">
        <v>1061</v>
      </c>
      <c r="AU13" s="30" t="s">
        <v>1064</v>
      </c>
      <c r="AV13" s="30" t="s">
        <v>1061</v>
      </c>
      <c r="AW13" s="30">
        <v>2.0</v>
      </c>
      <c r="AX13" s="30" t="s">
        <v>1045</v>
      </c>
      <c r="AY13" s="131">
        <v>45324.0</v>
      </c>
      <c r="AZ13" s="30" t="s">
        <v>1075</v>
      </c>
      <c r="BA13" s="132">
        <v>37289.0</v>
      </c>
      <c r="BB13" s="30" t="s">
        <v>1080</v>
      </c>
      <c r="BC13" s="30" t="s">
        <v>1083</v>
      </c>
      <c r="BD13" s="30" t="s">
        <v>1086</v>
      </c>
      <c r="BE13" s="30" t="s">
        <v>1089</v>
      </c>
      <c r="BF13" s="30" t="s">
        <v>1061</v>
      </c>
      <c r="BG13" s="30" t="s">
        <v>1094</v>
      </c>
      <c r="BH13" s="30" t="s">
        <v>1094</v>
      </c>
      <c r="BI13" s="30" t="s">
        <v>1094</v>
      </c>
      <c r="BJ13" s="30" t="s">
        <v>1094</v>
      </c>
      <c r="BK13" s="30" t="s">
        <v>1094</v>
      </c>
      <c r="BL13" s="30" t="s">
        <v>1094</v>
      </c>
      <c r="BM13" s="30">
        <v>0.0</v>
      </c>
      <c r="BN13" s="30" t="s">
        <v>1109</v>
      </c>
      <c r="BO13" s="30" t="s">
        <v>66</v>
      </c>
      <c r="BP13" s="30" t="s">
        <v>1114</v>
      </c>
      <c r="BQ13" s="30">
        <v>14681.0</v>
      </c>
      <c r="BR13" s="30" t="s">
        <v>1751</v>
      </c>
      <c r="BS13" s="30" t="s">
        <v>1754</v>
      </c>
      <c r="BT13" s="30">
        <v>1.0</v>
      </c>
      <c r="BU13" s="30" t="s">
        <v>1126</v>
      </c>
      <c r="BV13" s="30" t="s">
        <v>66</v>
      </c>
      <c r="BW13" s="30">
        <v>2.0</v>
      </c>
      <c r="BX13" s="30" t="s">
        <v>1720</v>
      </c>
      <c r="BY13" s="30">
        <v>28.0</v>
      </c>
      <c r="BZ13" s="30" t="s">
        <v>1721</v>
      </c>
      <c r="CA13" s="30">
        <v>1.0</v>
      </c>
      <c r="CB13" s="30" t="s">
        <v>1722</v>
      </c>
      <c r="CC13" s="30" t="s">
        <v>1760</v>
      </c>
      <c r="CD13" s="30" t="s">
        <v>1732</v>
      </c>
      <c r="CE13" s="30" t="s">
        <v>194</v>
      </c>
      <c r="CF13" s="30" t="s">
        <v>1732</v>
      </c>
    </row>
    <row r="14" ht="15.75" customHeight="1">
      <c r="B14" s="30" t="s">
        <v>982</v>
      </c>
      <c r="C14" s="32">
        <v>9.0</v>
      </c>
      <c r="D14" s="30" t="s">
        <v>1761</v>
      </c>
      <c r="E14" s="31" t="str">
        <f>IFERROR(__xludf.DUMMYFUNCTION("IF(ISBLANK(D14), """", GOOGLETRANSLATE(D14, ""es"", ""en""))"),"Executing entity code")</f>
        <v>Executing entity code</v>
      </c>
      <c r="G14" s="30" t="s">
        <v>1762</v>
      </c>
      <c r="H14" s="30">
        <v>2024.0</v>
      </c>
      <c r="I14" s="30" t="s">
        <v>967</v>
      </c>
      <c r="J14" s="30" t="s">
        <v>970</v>
      </c>
      <c r="K14" s="30">
        <v>201.0</v>
      </c>
      <c r="L14" s="30" t="s">
        <v>975</v>
      </c>
      <c r="M14" s="30">
        <v>1.0</v>
      </c>
      <c r="N14" s="30" t="s">
        <v>980</v>
      </c>
      <c r="O14" s="30">
        <v>9.0</v>
      </c>
      <c r="P14" s="30" t="s">
        <v>985</v>
      </c>
      <c r="Q14" s="30" t="s">
        <v>988</v>
      </c>
      <c r="R14" s="30">
        <v>22.0</v>
      </c>
      <c r="S14" s="30" t="s">
        <v>993</v>
      </c>
      <c r="T14" s="30">
        <v>3.0</v>
      </c>
      <c r="U14" s="30" t="s">
        <v>998</v>
      </c>
      <c r="V14" s="30">
        <v>95.0</v>
      </c>
      <c r="W14" s="30" t="s">
        <v>1763</v>
      </c>
      <c r="X14" s="30">
        <v>51.0</v>
      </c>
      <c r="Y14" s="30" t="s">
        <v>1764</v>
      </c>
      <c r="Z14" s="30" t="s">
        <v>1765</v>
      </c>
      <c r="AA14" s="30">
        <v>100.0</v>
      </c>
      <c r="AB14" s="30" t="s">
        <v>1016</v>
      </c>
      <c r="AC14" s="30">
        <v>10.0</v>
      </c>
      <c r="AD14" s="30" t="s">
        <v>1021</v>
      </c>
      <c r="AE14" s="30">
        <v>100.0</v>
      </c>
      <c r="AF14" s="30" t="s">
        <v>1021</v>
      </c>
      <c r="AG14" s="30">
        <v>4.0</v>
      </c>
      <c r="AH14" s="30" t="s">
        <v>1030</v>
      </c>
      <c r="AI14" s="131">
        <v>45355.0</v>
      </c>
      <c r="AJ14" s="30" t="s">
        <v>1035</v>
      </c>
      <c r="AK14" s="52">
        <v>37319.0</v>
      </c>
      <c r="AL14" s="30" t="s">
        <v>1040</v>
      </c>
      <c r="AM14" s="30">
        <v>2.0</v>
      </c>
      <c r="AN14" s="30" t="s">
        <v>1045</v>
      </c>
      <c r="AO14" s="131">
        <v>45475.0</v>
      </c>
      <c r="AP14" s="30" t="s">
        <v>1050</v>
      </c>
      <c r="AQ14" s="132">
        <v>37439.0</v>
      </c>
      <c r="AR14" s="30" t="s">
        <v>1699</v>
      </c>
      <c r="AS14" s="30" t="s">
        <v>1716</v>
      </c>
      <c r="AT14" s="30" t="s">
        <v>1717</v>
      </c>
      <c r="AU14" s="30" t="s">
        <v>1718</v>
      </c>
      <c r="AV14" s="30" t="s">
        <v>1717</v>
      </c>
      <c r="AW14" s="30">
        <v>2.0</v>
      </c>
      <c r="AX14" s="30" t="s">
        <v>1045</v>
      </c>
      <c r="AY14" s="131">
        <v>45324.0</v>
      </c>
      <c r="AZ14" s="30" t="s">
        <v>1075</v>
      </c>
      <c r="BA14" s="132">
        <v>36924.0</v>
      </c>
      <c r="BB14" s="30" t="s">
        <v>1703</v>
      </c>
      <c r="BC14" s="30" t="s">
        <v>1704</v>
      </c>
      <c r="BD14" s="30" t="s">
        <v>1705</v>
      </c>
      <c r="BE14" s="30" t="s">
        <v>1094</v>
      </c>
      <c r="BF14" s="30" t="s">
        <v>1094</v>
      </c>
      <c r="BG14" s="30" t="s">
        <v>1094</v>
      </c>
      <c r="BH14" s="30" t="s">
        <v>1094</v>
      </c>
      <c r="BI14" s="30" t="s">
        <v>1094</v>
      </c>
      <c r="BJ14" s="30" t="s">
        <v>1094</v>
      </c>
      <c r="BK14" s="30" t="s">
        <v>1094</v>
      </c>
      <c r="BL14" s="30" t="s">
        <v>1094</v>
      </c>
      <c r="BM14" s="30">
        <v>0.0</v>
      </c>
      <c r="BN14" s="30" t="s">
        <v>1109</v>
      </c>
      <c r="BO14" s="30" t="s">
        <v>66</v>
      </c>
      <c r="BP14" s="30" t="s">
        <v>1114</v>
      </c>
      <c r="BQ14" s="30">
        <v>14694.0</v>
      </c>
      <c r="BR14" s="30" t="s">
        <v>1763</v>
      </c>
      <c r="BS14" s="30" t="s">
        <v>1766</v>
      </c>
      <c r="BT14" s="30">
        <v>1.0</v>
      </c>
      <c r="BU14" s="30" t="s">
        <v>1126</v>
      </c>
      <c r="BV14" s="30" t="s">
        <v>66</v>
      </c>
      <c r="BW14" s="30">
        <v>7.0</v>
      </c>
      <c r="BX14" s="30" t="s">
        <v>1767</v>
      </c>
      <c r="BY14" s="30">
        <v>22.0</v>
      </c>
      <c r="BZ14" s="30" t="s">
        <v>1768</v>
      </c>
      <c r="CA14" s="30">
        <v>1.0</v>
      </c>
      <c r="CB14" s="30" t="s">
        <v>1768</v>
      </c>
      <c r="CC14" s="30" t="s">
        <v>1769</v>
      </c>
      <c r="CD14" s="30" t="s">
        <v>1770</v>
      </c>
      <c r="CE14" s="30" t="s">
        <v>194</v>
      </c>
      <c r="CF14" s="30" t="s">
        <v>1770</v>
      </c>
    </row>
    <row r="15" ht="15.75" customHeight="1">
      <c r="B15" s="30" t="s">
        <v>984</v>
      </c>
      <c r="C15" s="32" t="s">
        <v>985</v>
      </c>
      <c r="D15" s="30" t="s">
        <v>1771</v>
      </c>
      <c r="E15" s="31" t="str">
        <f>IFERROR(__xludf.DUMMYFUNCTION("IF(ISBLANK(D15), """", GOOGLETRANSLATE(D15, ""es"", ""en""))"),"Name of the executing entity")</f>
        <v>Name of the executing entity</v>
      </c>
      <c r="G15" s="30" t="s">
        <v>1772</v>
      </c>
      <c r="H15" s="30">
        <v>2024.0</v>
      </c>
      <c r="I15" s="30" t="s">
        <v>967</v>
      </c>
      <c r="J15" s="30" t="s">
        <v>970</v>
      </c>
      <c r="K15" s="30">
        <v>201.0</v>
      </c>
      <c r="L15" s="30" t="s">
        <v>975</v>
      </c>
      <c r="M15" s="30">
        <v>1.0</v>
      </c>
      <c r="N15" s="30" t="s">
        <v>980</v>
      </c>
      <c r="O15" s="30">
        <v>9.0</v>
      </c>
      <c r="P15" s="30" t="s">
        <v>985</v>
      </c>
      <c r="Q15" s="30" t="s">
        <v>988</v>
      </c>
      <c r="R15" s="30">
        <v>22.0</v>
      </c>
      <c r="S15" s="30" t="s">
        <v>993</v>
      </c>
      <c r="T15" s="30">
        <v>3.0</v>
      </c>
      <c r="U15" s="30" t="s">
        <v>998</v>
      </c>
      <c r="V15" s="30">
        <v>95.0</v>
      </c>
      <c r="W15" s="30" t="s">
        <v>1763</v>
      </c>
      <c r="X15" s="30">
        <v>52.0</v>
      </c>
      <c r="Y15" s="30" t="s">
        <v>1008</v>
      </c>
      <c r="Z15" s="30" t="s">
        <v>1773</v>
      </c>
      <c r="AA15" s="30">
        <v>100.0</v>
      </c>
      <c r="AB15" s="30" t="s">
        <v>1016</v>
      </c>
      <c r="AC15" s="30">
        <v>10.0</v>
      </c>
      <c r="AD15" s="30" t="s">
        <v>1021</v>
      </c>
      <c r="AE15" s="30">
        <v>100.0</v>
      </c>
      <c r="AF15" s="30" t="s">
        <v>1021</v>
      </c>
      <c r="AG15" s="30">
        <v>4.0</v>
      </c>
      <c r="AH15" s="30" t="s">
        <v>1030</v>
      </c>
      <c r="AI15" s="131">
        <v>45355.0</v>
      </c>
      <c r="AJ15" s="30" t="s">
        <v>1035</v>
      </c>
      <c r="AK15" s="52">
        <v>37319.0</v>
      </c>
      <c r="AL15" s="30" t="s">
        <v>1040</v>
      </c>
      <c r="AM15" s="30">
        <v>2.0</v>
      </c>
      <c r="AN15" s="30" t="s">
        <v>1045</v>
      </c>
      <c r="AO15" s="131">
        <v>45475.0</v>
      </c>
      <c r="AP15" s="30" t="s">
        <v>1050</v>
      </c>
      <c r="AQ15" s="132">
        <v>37074.0</v>
      </c>
      <c r="AR15" s="30" t="s">
        <v>1055</v>
      </c>
      <c r="AS15" s="30" t="s">
        <v>1058</v>
      </c>
      <c r="AT15" s="30" t="s">
        <v>1061</v>
      </c>
      <c r="AU15" s="30" t="s">
        <v>1064</v>
      </c>
      <c r="AV15" s="30" t="s">
        <v>1061</v>
      </c>
      <c r="AW15" s="30">
        <v>2.0</v>
      </c>
      <c r="AX15" s="30" t="s">
        <v>1045</v>
      </c>
      <c r="AY15" s="131">
        <v>45324.0</v>
      </c>
      <c r="AZ15" s="30" t="s">
        <v>1075</v>
      </c>
      <c r="BA15" s="132">
        <v>37289.0</v>
      </c>
      <c r="BB15" s="30" t="s">
        <v>1080</v>
      </c>
      <c r="BC15" s="30" t="s">
        <v>1083</v>
      </c>
      <c r="BD15" s="30" t="s">
        <v>1086</v>
      </c>
      <c r="BE15" s="30" t="s">
        <v>1089</v>
      </c>
      <c r="BF15" s="30" t="s">
        <v>1061</v>
      </c>
      <c r="BG15" s="30" t="s">
        <v>1094</v>
      </c>
      <c r="BH15" s="30" t="s">
        <v>1094</v>
      </c>
      <c r="BI15" s="30" t="s">
        <v>1094</v>
      </c>
      <c r="BJ15" s="30" t="s">
        <v>1094</v>
      </c>
      <c r="BK15" s="30" t="s">
        <v>1094</v>
      </c>
      <c r="BL15" s="30" t="s">
        <v>1094</v>
      </c>
      <c r="BM15" s="30">
        <v>0.0</v>
      </c>
      <c r="BN15" s="30" t="s">
        <v>1109</v>
      </c>
      <c r="BO15" s="30" t="s">
        <v>66</v>
      </c>
      <c r="BP15" s="30" t="s">
        <v>1114</v>
      </c>
      <c r="BQ15" s="30">
        <v>14694.0</v>
      </c>
      <c r="BR15" s="30" t="s">
        <v>1763</v>
      </c>
      <c r="BS15" s="30" t="s">
        <v>1766</v>
      </c>
      <c r="BT15" s="30">
        <v>1.0</v>
      </c>
      <c r="BU15" s="30" t="s">
        <v>1126</v>
      </c>
      <c r="BV15" s="30" t="s">
        <v>66</v>
      </c>
      <c r="BW15" s="30">
        <v>7.0</v>
      </c>
      <c r="BX15" s="30" t="s">
        <v>1767</v>
      </c>
      <c r="BY15" s="30">
        <v>22.0</v>
      </c>
      <c r="BZ15" s="30" t="s">
        <v>1768</v>
      </c>
      <c r="CA15" s="30">
        <v>1.0</v>
      </c>
      <c r="CB15" s="30" t="s">
        <v>1768</v>
      </c>
      <c r="CC15" s="30" t="s">
        <v>1774</v>
      </c>
      <c r="CD15" s="30" t="s">
        <v>1748</v>
      </c>
      <c r="CE15" s="30" t="s">
        <v>194</v>
      </c>
      <c r="CF15" s="30" t="s">
        <v>1748</v>
      </c>
    </row>
    <row r="16" ht="15.75" customHeight="1">
      <c r="B16" s="30" t="s">
        <v>987</v>
      </c>
      <c r="C16" s="32" t="s">
        <v>988</v>
      </c>
      <c r="D16" s="30" t="s">
        <v>1775</v>
      </c>
      <c r="E16" s="31" t="str">
        <f>IFERROR(__xludf.DUMMYFUNCTION("IF(ISBLANK(D16), """", GOOGLETRANSLATE(D16, ""es"", ""en""))"),"Complete description of the executing entity")</f>
        <v>Complete description of the executing entity</v>
      </c>
      <c r="G16" s="30" t="s">
        <v>1776</v>
      </c>
      <c r="H16" s="30">
        <v>2024.0</v>
      </c>
      <c r="I16" s="30" t="s">
        <v>967</v>
      </c>
      <c r="J16" s="30" t="s">
        <v>970</v>
      </c>
      <c r="K16" s="30">
        <v>201.0</v>
      </c>
      <c r="L16" s="30" t="s">
        <v>975</v>
      </c>
      <c r="M16" s="30">
        <v>1.0</v>
      </c>
      <c r="N16" s="30" t="s">
        <v>980</v>
      </c>
      <c r="O16" s="30">
        <v>9.0</v>
      </c>
      <c r="P16" s="30" t="s">
        <v>985</v>
      </c>
      <c r="Q16" s="30" t="s">
        <v>988</v>
      </c>
      <c r="R16" s="30">
        <v>22.0</v>
      </c>
      <c r="S16" s="30" t="s">
        <v>993</v>
      </c>
      <c r="T16" s="30">
        <v>3.0</v>
      </c>
      <c r="U16" s="30" t="s">
        <v>998</v>
      </c>
      <c r="V16" s="30">
        <v>96.0</v>
      </c>
      <c r="W16" s="30" t="s">
        <v>1777</v>
      </c>
      <c r="X16" s="30">
        <v>51.0</v>
      </c>
      <c r="Y16" s="30" t="s">
        <v>1778</v>
      </c>
      <c r="Z16" s="30" t="s">
        <v>1779</v>
      </c>
      <c r="AA16" s="30">
        <v>100.0</v>
      </c>
      <c r="AB16" s="30" t="s">
        <v>1016</v>
      </c>
      <c r="AC16" s="30">
        <v>10.0</v>
      </c>
      <c r="AD16" s="30" t="s">
        <v>1021</v>
      </c>
      <c r="AE16" s="30">
        <v>100.0</v>
      </c>
      <c r="AF16" s="30" t="s">
        <v>1021</v>
      </c>
      <c r="AG16" s="30">
        <v>4.0</v>
      </c>
      <c r="AH16" s="30" t="s">
        <v>1030</v>
      </c>
      <c r="AI16" s="131">
        <v>45355.0</v>
      </c>
      <c r="AJ16" s="30" t="s">
        <v>1035</v>
      </c>
      <c r="AK16" s="52">
        <v>37319.0</v>
      </c>
      <c r="AL16" s="30" t="s">
        <v>1040</v>
      </c>
      <c r="AM16" s="30">
        <v>2.0</v>
      </c>
      <c r="AN16" s="30" t="s">
        <v>1045</v>
      </c>
      <c r="AO16" s="131">
        <v>45475.0</v>
      </c>
      <c r="AP16" s="30" t="s">
        <v>1050</v>
      </c>
      <c r="AQ16" s="132">
        <v>37439.0</v>
      </c>
      <c r="AR16" s="30" t="s">
        <v>1699</v>
      </c>
      <c r="AS16" s="30" t="s">
        <v>1716</v>
      </c>
      <c r="AT16" s="30" t="s">
        <v>1717</v>
      </c>
      <c r="AU16" s="30" t="s">
        <v>1718</v>
      </c>
      <c r="AV16" s="30" t="s">
        <v>1717</v>
      </c>
      <c r="AW16" s="30">
        <v>2.0</v>
      </c>
      <c r="AX16" s="30" t="s">
        <v>1045</v>
      </c>
      <c r="AY16" s="131">
        <v>45324.0</v>
      </c>
      <c r="AZ16" s="30" t="s">
        <v>1075</v>
      </c>
      <c r="BA16" s="132">
        <v>36924.0</v>
      </c>
      <c r="BB16" s="30" t="s">
        <v>1703</v>
      </c>
      <c r="BC16" s="30" t="s">
        <v>1704</v>
      </c>
      <c r="BD16" s="30" t="s">
        <v>1705</v>
      </c>
      <c r="BE16" s="30" t="s">
        <v>1094</v>
      </c>
      <c r="BF16" s="30" t="s">
        <v>1094</v>
      </c>
      <c r="BG16" s="30" t="s">
        <v>1094</v>
      </c>
      <c r="BH16" s="30" t="s">
        <v>1094</v>
      </c>
      <c r="BI16" s="30" t="s">
        <v>1094</v>
      </c>
      <c r="BJ16" s="30" t="s">
        <v>1094</v>
      </c>
      <c r="BK16" s="30" t="s">
        <v>1094</v>
      </c>
      <c r="BL16" s="30" t="s">
        <v>1094</v>
      </c>
      <c r="BM16" s="30">
        <v>0.0</v>
      </c>
      <c r="BN16" s="30" t="s">
        <v>1109</v>
      </c>
      <c r="BO16" s="30" t="s">
        <v>66</v>
      </c>
      <c r="BP16" s="30" t="s">
        <v>1114</v>
      </c>
      <c r="BQ16" s="30">
        <v>14695.0</v>
      </c>
      <c r="BR16" s="30" t="s">
        <v>1777</v>
      </c>
      <c r="BS16" s="30" t="s">
        <v>1780</v>
      </c>
      <c r="BT16" s="30">
        <v>1.0</v>
      </c>
      <c r="BU16" s="30" t="s">
        <v>1126</v>
      </c>
      <c r="BV16" s="30" t="s">
        <v>66</v>
      </c>
      <c r="BW16" s="30">
        <v>7.0</v>
      </c>
      <c r="BX16" s="30" t="s">
        <v>1767</v>
      </c>
      <c r="BY16" s="30">
        <v>22.0</v>
      </c>
      <c r="BZ16" s="30" t="s">
        <v>1768</v>
      </c>
      <c r="CA16" s="30">
        <v>3.0</v>
      </c>
      <c r="CB16" s="30" t="s">
        <v>1781</v>
      </c>
      <c r="CC16" s="30" t="s">
        <v>1782</v>
      </c>
      <c r="CD16" s="30" t="s">
        <v>1770</v>
      </c>
      <c r="CE16" s="30" t="s">
        <v>194</v>
      </c>
      <c r="CF16" s="30" t="s">
        <v>1770</v>
      </c>
    </row>
    <row r="17" ht="15.75" customHeight="1">
      <c r="B17" s="30" t="s">
        <v>990</v>
      </c>
      <c r="C17" s="32">
        <v>22.0</v>
      </c>
      <c r="D17" s="30" t="s">
        <v>1783</v>
      </c>
      <c r="E17" s="31" t="str">
        <f>IFERROR(__xludf.DUMMYFUNCTION("IF(ISBLANK(D17), """", GOOGLETRANSLATE(D17, ""es"", ""en""))"),"Program code")</f>
        <v>Program code</v>
      </c>
      <c r="G17" s="30" t="s">
        <v>1784</v>
      </c>
      <c r="H17" s="30">
        <v>2024.0</v>
      </c>
      <c r="I17" s="30" t="s">
        <v>967</v>
      </c>
      <c r="J17" s="30" t="s">
        <v>970</v>
      </c>
      <c r="K17" s="30">
        <v>201.0</v>
      </c>
      <c r="L17" s="30" t="s">
        <v>975</v>
      </c>
      <c r="M17" s="30">
        <v>1.0</v>
      </c>
      <c r="N17" s="30" t="s">
        <v>980</v>
      </c>
      <c r="O17" s="30">
        <v>9.0</v>
      </c>
      <c r="P17" s="30" t="s">
        <v>985</v>
      </c>
      <c r="Q17" s="30" t="s">
        <v>988</v>
      </c>
      <c r="R17" s="30">
        <v>22.0</v>
      </c>
      <c r="S17" s="30" t="s">
        <v>993</v>
      </c>
      <c r="T17" s="30">
        <v>3.0</v>
      </c>
      <c r="U17" s="30" t="s">
        <v>998</v>
      </c>
      <c r="V17" s="30">
        <v>96.0</v>
      </c>
      <c r="W17" s="30" t="s">
        <v>1777</v>
      </c>
      <c r="X17" s="30">
        <v>52.0</v>
      </c>
      <c r="Y17" s="30" t="s">
        <v>1785</v>
      </c>
      <c r="Z17" s="30" t="s">
        <v>1786</v>
      </c>
      <c r="AA17" s="30">
        <v>100.0</v>
      </c>
      <c r="AB17" s="30" t="s">
        <v>1016</v>
      </c>
      <c r="AC17" s="30">
        <v>10.0</v>
      </c>
      <c r="AD17" s="30" t="s">
        <v>1021</v>
      </c>
      <c r="AE17" s="30">
        <v>100.0</v>
      </c>
      <c r="AF17" s="30" t="s">
        <v>1021</v>
      </c>
      <c r="AG17" s="30">
        <v>4.0</v>
      </c>
      <c r="AH17" s="30" t="s">
        <v>1030</v>
      </c>
      <c r="AI17" s="131">
        <v>45355.0</v>
      </c>
      <c r="AJ17" s="30" t="s">
        <v>1035</v>
      </c>
      <c r="AK17" s="52">
        <v>37319.0</v>
      </c>
      <c r="AL17" s="30" t="s">
        <v>1040</v>
      </c>
      <c r="AM17" s="30">
        <v>2.0</v>
      </c>
      <c r="AN17" s="30" t="s">
        <v>1045</v>
      </c>
      <c r="AO17" s="131">
        <v>45475.0</v>
      </c>
      <c r="AP17" s="30" t="s">
        <v>1050</v>
      </c>
      <c r="AQ17" s="132">
        <v>37074.0</v>
      </c>
      <c r="AR17" s="30" t="s">
        <v>1055</v>
      </c>
      <c r="AS17" s="30" t="s">
        <v>1058</v>
      </c>
      <c r="AT17" s="30" t="s">
        <v>1061</v>
      </c>
      <c r="AU17" s="30" t="s">
        <v>1064</v>
      </c>
      <c r="AV17" s="30" t="s">
        <v>1061</v>
      </c>
      <c r="AW17" s="30">
        <v>2.0</v>
      </c>
      <c r="AX17" s="30" t="s">
        <v>1045</v>
      </c>
      <c r="AY17" s="131">
        <v>45324.0</v>
      </c>
      <c r="AZ17" s="30" t="s">
        <v>1075</v>
      </c>
      <c r="BA17" s="132">
        <v>37289.0</v>
      </c>
      <c r="BB17" s="30" t="s">
        <v>1080</v>
      </c>
      <c r="BC17" s="30" t="s">
        <v>1083</v>
      </c>
      <c r="BD17" s="30" t="s">
        <v>1086</v>
      </c>
      <c r="BE17" s="30" t="s">
        <v>1089</v>
      </c>
      <c r="BF17" s="30" t="s">
        <v>1061</v>
      </c>
      <c r="BG17" s="30" t="s">
        <v>1094</v>
      </c>
      <c r="BH17" s="30" t="s">
        <v>1094</v>
      </c>
      <c r="BI17" s="30" t="s">
        <v>1094</v>
      </c>
      <c r="BJ17" s="30" t="s">
        <v>1094</v>
      </c>
      <c r="BK17" s="30" t="s">
        <v>1094</v>
      </c>
      <c r="BL17" s="30" t="s">
        <v>1094</v>
      </c>
      <c r="BM17" s="30">
        <v>0.0</v>
      </c>
      <c r="BN17" s="30" t="s">
        <v>1109</v>
      </c>
      <c r="BO17" s="30" t="s">
        <v>66</v>
      </c>
      <c r="BP17" s="30" t="s">
        <v>1114</v>
      </c>
      <c r="BQ17" s="30">
        <v>14695.0</v>
      </c>
      <c r="BR17" s="30" t="s">
        <v>1777</v>
      </c>
      <c r="BS17" s="30" t="s">
        <v>1780</v>
      </c>
      <c r="BT17" s="30">
        <v>1.0</v>
      </c>
      <c r="BU17" s="30" t="s">
        <v>1126</v>
      </c>
      <c r="BV17" s="30" t="s">
        <v>66</v>
      </c>
      <c r="BW17" s="30">
        <v>7.0</v>
      </c>
      <c r="BX17" s="30" t="s">
        <v>1767</v>
      </c>
      <c r="BY17" s="30">
        <v>22.0</v>
      </c>
      <c r="BZ17" s="30" t="s">
        <v>1768</v>
      </c>
      <c r="CA17" s="30">
        <v>3.0</v>
      </c>
      <c r="CB17" s="30" t="s">
        <v>1781</v>
      </c>
      <c r="CC17" s="30" t="s">
        <v>1787</v>
      </c>
      <c r="CD17" s="30" t="s">
        <v>1748</v>
      </c>
      <c r="CE17" s="30" t="s">
        <v>194</v>
      </c>
      <c r="CF17" s="30" t="s">
        <v>1748</v>
      </c>
    </row>
    <row r="18" ht="15.75" customHeight="1">
      <c r="B18" s="30" t="s">
        <v>992</v>
      </c>
      <c r="C18" s="32" t="s">
        <v>993</v>
      </c>
      <c r="D18" s="30" t="s">
        <v>1788</v>
      </c>
      <c r="E18" s="31" t="str">
        <f>IFERROR(__xludf.DUMMYFUNCTION("IF(ISBLANK(D18), """", GOOGLETRANSLATE(D18, ""es"", ""en""))"),"Program name")</f>
        <v>Program name</v>
      </c>
      <c r="G18" s="30" t="s">
        <v>1789</v>
      </c>
      <c r="H18" s="30">
        <v>2024.0</v>
      </c>
      <c r="I18" s="30" t="s">
        <v>967</v>
      </c>
      <c r="J18" s="30" t="s">
        <v>970</v>
      </c>
      <c r="K18" s="30">
        <v>201.0</v>
      </c>
      <c r="L18" s="30" t="s">
        <v>975</v>
      </c>
      <c r="M18" s="30">
        <v>1.0</v>
      </c>
      <c r="N18" s="30" t="s">
        <v>980</v>
      </c>
      <c r="O18" s="30">
        <v>9.0</v>
      </c>
      <c r="P18" s="30" t="s">
        <v>985</v>
      </c>
      <c r="Q18" s="30" t="s">
        <v>988</v>
      </c>
      <c r="R18" s="30">
        <v>22.0</v>
      </c>
      <c r="S18" s="30" t="s">
        <v>993</v>
      </c>
      <c r="T18" s="30">
        <v>3.0</v>
      </c>
      <c r="U18" s="30" t="s">
        <v>998</v>
      </c>
      <c r="V18" s="30">
        <v>97.0</v>
      </c>
      <c r="W18" s="30" t="s">
        <v>1790</v>
      </c>
      <c r="X18" s="30">
        <v>51.0</v>
      </c>
      <c r="Y18" s="30" t="s">
        <v>1791</v>
      </c>
      <c r="Z18" s="30" t="s">
        <v>1792</v>
      </c>
      <c r="AA18" s="30">
        <v>100.0</v>
      </c>
      <c r="AB18" s="30" t="s">
        <v>1016</v>
      </c>
      <c r="AC18" s="30">
        <v>10.0</v>
      </c>
      <c r="AD18" s="30" t="s">
        <v>1021</v>
      </c>
      <c r="AE18" s="30">
        <v>100.0</v>
      </c>
      <c r="AF18" s="30" t="s">
        <v>1021</v>
      </c>
      <c r="AG18" s="30">
        <v>4.0</v>
      </c>
      <c r="AH18" s="30" t="s">
        <v>1030</v>
      </c>
      <c r="AI18" s="131">
        <v>45355.0</v>
      </c>
      <c r="AJ18" s="30" t="s">
        <v>1035</v>
      </c>
      <c r="AK18" s="52">
        <v>37319.0</v>
      </c>
      <c r="AL18" s="30" t="s">
        <v>1040</v>
      </c>
      <c r="AM18" s="30">
        <v>2.0</v>
      </c>
      <c r="AN18" s="30" t="s">
        <v>1045</v>
      </c>
      <c r="AO18" s="131">
        <v>45475.0</v>
      </c>
      <c r="AP18" s="30" t="s">
        <v>1050</v>
      </c>
      <c r="AQ18" s="132">
        <v>37439.0</v>
      </c>
      <c r="AR18" s="30" t="s">
        <v>1699</v>
      </c>
      <c r="AS18" s="30" t="s">
        <v>1716</v>
      </c>
      <c r="AT18" s="30" t="s">
        <v>1717</v>
      </c>
      <c r="AU18" s="30" t="s">
        <v>1718</v>
      </c>
      <c r="AV18" s="30" t="s">
        <v>1717</v>
      </c>
      <c r="AW18" s="30">
        <v>2.0</v>
      </c>
      <c r="AX18" s="30" t="s">
        <v>1045</v>
      </c>
      <c r="AY18" s="131">
        <v>45324.0</v>
      </c>
      <c r="AZ18" s="30" t="s">
        <v>1075</v>
      </c>
      <c r="BA18" s="132">
        <v>36924.0</v>
      </c>
      <c r="BB18" s="30" t="s">
        <v>1703</v>
      </c>
      <c r="BC18" s="30" t="s">
        <v>1704</v>
      </c>
      <c r="BD18" s="30" t="s">
        <v>1705</v>
      </c>
      <c r="BE18" s="30" t="s">
        <v>1094</v>
      </c>
      <c r="BF18" s="30" t="s">
        <v>1094</v>
      </c>
      <c r="BG18" s="30" t="s">
        <v>1094</v>
      </c>
      <c r="BH18" s="30" t="s">
        <v>1094</v>
      </c>
      <c r="BI18" s="30" t="s">
        <v>1094</v>
      </c>
      <c r="BJ18" s="30" t="s">
        <v>1094</v>
      </c>
      <c r="BK18" s="30" t="s">
        <v>1094</v>
      </c>
      <c r="BL18" s="30" t="s">
        <v>1094</v>
      </c>
      <c r="BM18" s="30">
        <v>0.0</v>
      </c>
      <c r="BN18" s="30" t="s">
        <v>1109</v>
      </c>
      <c r="BO18" s="30" t="s">
        <v>66</v>
      </c>
      <c r="BP18" s="30" t="s">
        <v>1114</v>
      </c>
      <c r="BQ18" s="30">
        <v>14698.0</v>
      </c>
      <c r="BR18" s="30" t="s">
        <v>1790</v>
      </c>
      <c r="BS18" s="30" t="s">
        <v>1793</v>
      </c>
      <c r="BT18" s="30">
        <v>1.0</v>
      </c>
      <c r="BU18" s="30" t="s">
        <v>1126</v>
      </c>
      <c r="BV18" s="30" t="s">
        <v>66</v>
      </c>
      <c r="BW18" s="30">
        <v>7.0</v>
      </c>
      <c r="BX18" s="30" t="s">
        <v>1767</v>
      </c>
      <c r="BY18" s="30">
        <v>22.0</v>
      </c>
      <c r="BZ18" s="30" t="s">
        <v>1768</v>
      </c>
      <c r="CA18" s="30">
        <v>1.0</v>
      </c>
      <c r="CB18" s="30" t="s">
        <v>1768</v>
      </c>
      <c r="CC18" s="30" t="s">
        <v>1794</v>
      </c>
      <c r="CD18" s="30" t="s">
        <v>1795</v>
      </c>
      <c r="CE18" s="30" t="s">
        <v>194</v>
      </c>
      <c r="CF18" s="30" t="s">
        <v>1795</v>
      </c>
    </row>
    <row r="19" ht="15.75" customHeight="1">
      <c r="B19" s="30" t="s">
        <v>995</v>
      </c>
      <c r="C19" s="32">
        <v>3.0</v>
      </c>
      <c r="D19" s="30" t="s">
        <v>1796</v>
      </c>
      <c r="E19" s="31" t="str">
        <f>IFERROR(__xludf.DUMMYFUNCTION("IF(ISBLANK(D19), """", GOOGLETRANSLATE(D19, ""es"", ""en""))"),"Product code")</f>
        <v>Product code</v>
      </c>
      <c r="G19" s="30" t="s">
        <v>1797</v>
      </c>
      <c r="H19" s="30">
        <v>2024.0</v>
      </c>
      <c r="I19" s="30" t="s">
        <v>967</v>
      </c>
      <c r="J19" s="30" t="s">
        <v>970</v>
      </c>
      <c r="K19" s="30">
        <v>201.0</v>
      </c>
      <c r="L19" s="30" t="s">
        <v>975</v>
      </c>
      <c r="M19" s="30">
        <v>1.0</v>
      </c>
      <c r="N19" s="30" t="s">
        <v>980</v>
      </c>
      <c r="O19" s="30">
        <v>9.0</v>
      </c>
      <c r="P19" s="30" t="s">
        <v>985</v>
      </c>
      <c r="Q19" s="30" t="s">
        <v>988</v>
      </c>
      <c r="R19" s="30">
        <v>22.0</v>
      </c>
      <c r="S19" s="30" t="s">
        <v>993</v>
      </c>
      <c r="T19" s="30">
        <v>3.0</v>
      </c>
      <c r="U19" s="30" t="s">
        <v>998</v>
      </c>
      <c r="V19" s="30">
        <v>97.0</v>
      </c>
      <c r="W19" s="30" t="s">
        <v>1790</v>
      </c>
      <c r="X19" s="30">
        <v>52.0</v>
      </c>
      <c r="Y19" s="30" t="s">
        <v>1729</v>
      </c>
      <c r="Z19" s="30" t="s">
        <v>1798</v>
      </c>
      <c r="AA19" s="30">
        <v>100.0</v>
      </c>
      <c r="AB19" s="30" t="s">
        <v>1016</v>
      </c>
      <c r="AC19" s="30">
        <v>10.0</v>
      </c>
      <c r="AD19" s="30" t="s">
        <v>1021</v>
      </c>
      <c r="AE19" s="30">
        <v>100.0</v>
      </c>
      <c r="AF19" s="30" t="s">
        <v>1021</v>
      </c>
      <c r="AG19" s="30">
        <v>4.0</v>
      </c>
      <c r="AH19" s="30" t="s">
        <v>1030</v>
      </c>
      <c r="AI19" s="131">
        <v>45355.0</v>
      </c>
      <c r="AJ19" s="30" t="s">
        <v>1035</v>
      </c>
      <c r="AK19" s="52">
        <v>37319.0</v>
      </c>
      <c r="AL19" s="30" t="s">
        <v>1040</v>
      </c>
      <c r="AM19" s="30">
        <v>2.0</v>
      </c>
      <c r="AN19" s="30" t="s">
        <v>1045</v>
      </c>
      <c r="AO19" s="131">
        <v>45475.0</v>
      </c>
      <c r="AP19" s="30" t="s">
        <v>1050</v>
      </c>
      <c r="AQ19" s="132">
        <v>37074.0</v>
      </c>
      <c r="AR19" s="30" t="s">
        <v>1055</v>
      </c>
      <c r="AS19" s="30" t="s">
        <v>1058</v>
      </c>
      <c r="AT19" s="30" t="s">
        <v>1061</v>
      </c>
      <c r="AU19" s="30" t="s">
        <v>1064</v>
      </c>
      <c r="AV19" s="30" t="s">
        <v>1061</v>
      </c>
      <c r="AW19" s="30">
        <v>2.0</v>
      </c>
      <c r="AX19" s="30" t="s">
        <v>1045</v>
      </c>
      <c r="AY19" s="131">
        <v>45324.0</v>
      </c>
      <c r="AZ19" s="30" t="s">
        <v>1075</v>
      </c>
      <c r="BA19" s="132">
        <v>37289.0</v>
      </c>
      <c r="BB19" s="30" t="s">
        <v>1080</v>
      </c>
      <c r="BC19" s="30" t="s">
        <v>1083</v>
      </c>
      <c r="BD19" s="30" t="s">
        <v>1086</v>
      </c>
      <c r="BE19" s="30" t="s">
        <v>1089</v>
      </c>
      <c r="BF19" s="30" t="s">
        <v>1061</v>
      </c>
      <c r="BG19" s="30" t="s">
        <v>1094</v>
      </c>
      <c r="BH19" s="30" t="s">
        <v>1094</v>
      </c>
      <c r="BI19" s="30" t="s">
        <v>1094</v>
      </c>
      <c r="BJ19" s="30" t="s">
        <v>1094</v>
      </c>
      <c r="BK19" s="30" t="s">
        <v>1094</v>
      </c>
      <c r="BL19" s="30" t="s">
        <v>1094</v>
      </c>
      <c r="BM19" s="30">
        <v>0.0</v>
      </c>
      <c r="BN19" s="30" t="s">
        <v>1109</v>
      </c>
      <c r="BO19" s="30" t="s">
        <v>66</v>
      </c>
      <c r="BP19" s="30" t="s">
        <v>1114</v>
      </c>
      <c r="BQ19" s="30">
        <v>14698.0</v>
      </c>
      <c r="BR19" s="30" t="s">
        <v>1790</v>
      </c>
      <c r="BS19" s="30" t="s">
        <v>1793</v>
      </c>
      <c r="BT19" s="30">
        <v>1.0</v>
      </c>
      <c r="BU19" s="30" t="s">
        <v>1126</v>
      </c>
      <c r="BV19" s="30" t="s">
        <v>66</v>
      </c>
      <c r="BW19" s="30">
        <v>7.0</v>
      </c>
      <c r="BX19" s="30" t="s">
        <v>1767</v>
      </c>
      <c r="BY19" s="30">
        <v>22.0</v>
      </c>
      <c r="BZ19" s="30" t="s">
        <v>1768</v>
      </c>
      <c r="CA19" s="30">
        <v>1.0</v>
      </c>
      <c r="CB19" s="30" t="s">
        <v>1768</v>
      </c>
      <c r="CC19" s="30" t="s">
        <v>1799</v>
      </c>
      <c r="CD19" s="30" t="s">
        <v>1732</v>
      </c>
      <c r="CE19" s="30" t="s">
        <v>194</v>
      </c>
      <c r="CF19" s="30" t="s">
        <v>1732</v>
      </c>
    </row>
    <row r="20" ht="15.75" customHeight="1">
      <c r="B20" s="30" t="s">
        <v>997</v>
      </c>
      <c r="C20" s="32" t="s">
        <v>998</v>
      </c>
      <c r="D20" s="30" t="s">
        <v>1800</v>
      </c>
      <c r="E20" s="31" t="str">
        <f>IFERROR(__xludf.DUMMYFUNCTION("IF(ISBLANK(D20), """", GOOGLETRANSLATE(D20, ""es"", ""en""))"),"Product name")</f>
        <v>Product name</v>
      </c>
      <c r="G20" s="30" t="s">
        <v>1801</v>
      </c>
      <c r="H20" s="30">
        <v>2024.0</v>
      </c>
      <c r="I20" s="30" t="s">
        <v>967</v>
      </c>
      <c r="J20" s="30" t="s">
        <v>970</v>
      </c>
      <c r="K20" s="30">
        <v>201.0</v>
      </c>
      <c r="L20" s="30" t="s">
        <v>975</v>
      </c>
      <c r="M20" s="30">
        <v>1.0</v>
      </c>
      <c r="N20" s="30" t="s">
        <v>980</v>
      </c>
      <c r="O20" s="30">
        <v>9.0</v>
      </c>
      <c r="P20" s="30" t="s">
        <v>985</v>
      </c>
      <c r="Q20" s="30" t="s">
        <v>988</v>
      </c>
      <c r="R20" s="30">
        <v>22.0</v>
      </c>
      <c r="S20" s="30" t="s">
        <v>993</v>
      </c>
      <c r="T20" s="30">
        <v>3.0</v>
      </c>
      <c r="U20" s="30" t="s">
        <v>998</v>
      </c>
      <c r="V20" s="30">
        <v>99.0</v>
      </c>
      <c r="W20" s="30" t="s">
        <v>1802</v>
      </c>
      <c r="X20" s="30">
        <v>51.0</v>
      </c>
      <c r="Y20" s="30" t="s">
        <v>1803</v>
      </c>
      <c r="Z20" s="30" t="s">
        <v>1804</v>
      </c>
      <c r="AA20" s="30">
        <v>100.0</v>
      </c>
      <c r="AB20" s="30" t="s">
        <v>1016</v>
      </c>
      <c r="AC20" s="30">
        <v>10.0</v>
      </c>
      <c r="AD20" s="30" t="s">
        <v>1021</v>
      </c>
      <c r="AE20" s="30">
        <v>100.0</v>
      </c>
      <c r="AF20" s="30" t="s">
        <v>1021</v>
      </c>
      <c r="AG20" s="30">
        <v>4.0</v>
      </c>
      <c r="AH20" s="30" t="s">
        <v>1030</v>
      </c>
      <c r="AI20" s="131">
        <v>45355.0</v>
      </c>
      <c r="AJ20" s="30" t="s">
        <v>1035</v>
      </c>
      <c r="AK20" s="52">
        <v>37319.0</v>
      </c>
      <c r="AL20" s="30" t="s">
        <v>1040</v>
      </c>
      <c r="AM20" s="30">
        <v>2.0</v>
      </c>
      <c r="AN20" s="30" t="s">
        <v>1045</v>
      </c>
      <c r="AO20" s="131">
        <v>45475.0</v>
      </c>
      <c r="AP20" s="30" t="s">
        <v>1050</v>
      </c>
      <c r="AQ20" s="132">
        <v>37439.0</v>
      </c>
      <c r="AR20" s="30" t="s">
        <v>1699</v>
      </c>
      <c r="AS20" s="30" t="s">
        <v>1716</v>
      </c>
      <c r="AT20" s="30" t="s">
        <v>1717</v>
      </c>
      <c r="AU20" s="30" t="s">
        <v>1718</v>
      </c>
      <c r="AV20" s="30" t="s">
        <v>1717</v>
      </c>
      <c r="AW20" s="30">
        <v>2.0</v>
      </c>
      <c r="AX20" s="30" t="s">
        <v>1045</v>
      </c>
      <c r="AY20" s="131">
        <v>45324.0</v>
      </c>
      <c r="AZ20" s="30" t="s">
        <v>1075</v>
      </c>
      <c r="BA20" s="132">
        <v>36924.0</v>
      </c>
      <c r="BB20" s="30" t="s">
        <v>1703</v>
      </c>
      <c r="BC20" s="30" t="s">
        <v>1704</v>
      </c>
      <c r="BD20" s="30" t="s">
        <v>1705</v>
      </c>
      <c r="BE20" s="30" t="s">
        <v>1094</v>
      </c>
      <c r="BF20" s="30" t="s">
        <v>1094</v>
      </c>
      <c r="BG20" s="30" t="s">
        <v>1094</v>
      </c>
      <c r="BH20" s="30" t="s">
        <v>1094</v>
      </c>
      <c r="BI20" s="30" t="s">
        <v>1094</v>
      </c>
      <c r="BJ20" s="30" t="s">
        <v>1094</v>
      </c>
      <c r="BK20" s="30" t="s">
        <v>1094</v>
      </c>
      <c r="BL20" s="30" t="s">
        <v>1094</v>
      </c>
      <c r="BM20" s="30">
        <v>0.0</v>
      </c>
      <c r="BN20" s="30" t="s">
        <v>1109</v>
      </c>
      <c r="BO20" s="30" t="s">
        <v>66</v>
      </c>
      <c r="BP20" s="30" t="s">
        <v>1114</v>
      </c>
      <c r="BQ20" s="30">
        <v>14704.0</v>
      </c>
      <c r="BR20" s="30" t="s">
        <v>1802</v>
      </c>
      <c r="BS20" s="30" t="s">
        <v>1805</v>
      </c>
      <c r="BT20" s="30">
        <v>1.0</v>
      </c>
      <c r="BU20" s="30" t="s">
        <v>1126</v>
      </c>
      <c r="BV20" s="30" t="s">
        <v>66</v>
      </c>
      <c r="BW20" s="30">
        <v>10.0</v>
      </c>
      <c r="BX20" s="30" t="s">
        <v>1806</v>
      </c>
      <c r="BY20" s="30">
        <v>1.0</v>
      </c>
      <c r="BZ20" s="30" t="s">
        <v>932</v>
      </c>
      <c r="CA20" s="30">
        <v>1.0</v>
      </c>
      <c r="CB20" s="30" t="s">
        <v>1807</v>
      </c>
      <c r="CC20" s="30" t="s">
        <v>1808</v>
      </c>
      <c r="CD20" s="30" t="s">
        <v>1809</v>
      </c>
      <c r="CE20" s="30" t="s">
        <v>194</v>
      </c>
      <c r="CF20" s="30" t="s">
        <v>1809</v>
      </c>
    </row>
    <row r="21" ht="15.75" customHeight="1">
      <c r="B21" s="30" t="s">
        <v>1000</v>
      </c>
      <c r="C21" s="32">
        <v>90.0</v>
      </c>
      <c r="D21" s="30" t="s">
        <v>1810</v>
      </c>
      <c r="E21" s="31" t="str">
        <f>IFERROR(__xludf.DUMMYFUNCTION("IF(ISBLANK(D21), """", GOOGLETRANSLATE(D21, ""es"", ""en""))"),"Project Code")</f>
        <v>Project Code</v>
      </c>
      <c r="G21" s="30" t="s">
        <v>1811</v>
      </c>
      <c r="H21" s="30">
        <v>2024.0</v>
      </c>
      <c r="I21" s="30" t="s">
        <v>967</v>
      </c>
      <c r="J21" s="30" t="s">
        <v>970</v>
      </c>
      <c r="K21" s="30">
        <v>201.0</v>
      </c>
      <c r="L21" s="30" t="s">
        <v>975</v>
      </c>
      <c r="M21" s="30">
        <v>1.0</v>
      </c>
      <c r="N21" s="30" t="s">
        <v>980</v>
      </c>
      <c r="O21" s="30">
        <v>9.0</v>
      </c>
      <c r="P21" s="30" t="s">
        <v>985</v>
      </c>
      <c r="Q21" s="30" t="s">
        <v>988</v>
      </c>
      <c r="R21" s="30">
        <v>22.0</v>
      </c>
      <c r="S21" s="30" t="s">
        <v>993</v>
      </c>
      <c r="T21" s="30">
        <v>3.0</v>
      </c>
      <c r="U21" s="30" t="s">
        <v>998</v>
      </c>
      <c r="V21" s="30">
        <v>99.0</v>
      </c>
      <c r="W21" s="30" t="s">
        <v>1802</v>
      </c>
      <c r="X21" s="30">
        <v>52.0</v>
      </c>
      <c r="Y21" s="30" t="s">
        <v>1729</v>
      </c>
      <c r="Z21" s="30" t="s">
        <v>1812</v>
      </c>
      <c r="AA21" s="30">
        <v>100.0</v>
      </c>
      <c r="AB21" s="30" t="s">
        <v>1016</v>
      </c>
      <c r="AC21" s="30">
        <v>10.0</v>
      </c>
      <c r="AD21" s="30" t="s">
        <v>1021</v>
      </c>
      <c r="AE21" s="30">
        <v>100.0</v>
      </c>
      <c r="AF21" s="30" t="s">
        <v>1021</v>
      </c>
      <c r="AG21" s="30">
        <v>4.0</v>
      </c>
      <c r="AH21" s="30" t="s">
        <v>1030</v>
      </c>
      <c r="AI21" s="131">
        <v>45355.0</v>
      </c>
      <c r="AJ21" s="30" t="s">
        <v>1035</v>
      </c>
      <c r="AK21" s="52">
        <v>37319.0</v>
      </c>
      <c r="AL21" s="30" t="s">
        <v>1040</v>
      </c>
      <c r="AM21" s="30">
        <v>2.0</v>
      </c>
      <c r="AN21" s="30" t="s">
        <v>1045</v>
      </c>
      <c r="AO21" s="131">
        <v>45475.0</v>
      </c>
      <c r="AP21" s="30" t="s">
        <v>1050</v>
      </c>
      <c r="AQ21" s="132">
        <v>37074.0</v>
      </c>
      <c r="AR21" s="30" t="s">
        <v>1055</v>
      </c>
      <c r="AS21" s="30" t="s">
        <v>1058</v>
      </c>
      <c r="AT21" s="30" t="s">
        <v>1061</v>
      </c>
      <c r="AU21" s="30" t="s">
        <v>1064</v>
      </c>
      <c r="AV21" s="30" t="s">
        <v>1061</v>
      </c>
      <c r="AW21" s="30">
        <v>2.0</v>
      </c>
      <c r="AX21" s="30" t="s">
        <v>1045</v>
      </c>
      <c r="AY21" s="131">
        <v>45324.0</v>
      </c>
      <c r="AZ21" s="30" t="s">
        <v>1075</v>
      </c>
      <c r="BA21" s="132">
        <v>37289.0</v>
      </c>
      <c r="BB21" s="30" t="s">
        <v>1080</v>
      </c>
      <c r="BC21" s="30" t="s">
        <v>1083</v>
      </c>
      <c r="BD21" s="30" t="s">
        <v>1086</v>
      </c>
      <c r="BE21" s="30" t="s">
        <v>1089</v>
      </c>
      <c r="BF21" s="30" t="s">
        <v>1061</v>
      </c>
      <c r="BG21" s="30" t="s">
        <v>1094</v>
      </c>
      <c r="BH21" s="30" t="s">
        <v>1094</v>
      </c>
      <c r="BI21" s="30" t="s">
        <v>1094</v>
      </c>
      <c r="BJ21" s="30" t="s">
        <v>1094</v>
      </c>
      <c r="BK21" s="30" t="s">
        <v>1094</v>
      </c>
      <c r="BL21" s="30" t="s">
        <v>1094</v>
      </c>
      <c r="BM21" s="30">
        <v>0.0</v>
      </c>
      <c r="BN21" s="30" t="s">
        <v>1109</v>
      </c>
      <c r="BO21" s="30" t="s">
        <v>66</v>
      </c>
      <c r="BP21" s="30" t="s">
        <v>1114</v>
      </c>
      <c r="BQ21" s="30">
        <v>14704.0</v>
      </c>
      <c r="BR21" s="30" t="s">
        <v>1802</v>
      </c>
      <c r="BS21" s="30" t="s">
        <v>1805</v>
      </c>
      <c r="BT21" s="30">
        <v>1.0</v>
      </c>
      <c r="BU21" s="30" t="s">
        <v>1126</v>
      </c>
      <c r="BV21" s="30" t="s">
        <v>66</v>
      </c>
      <c r="BW21" s="30">
        <v>10.0</v>
      </c>
      <c r="BX21" s="30" t="s">
        <v>1806</v>
      </c>
      <c r="BY21" s="30">
        <v>1.0</v>
      </c>
      <c r="BZ21" s="30" t="s">
        <v>932</v>
      </c>
      <c r="CA21" s="30">
        <v>1.0</v>
      </c>
      <c r="CB21" s="30" t="s">
        <v>1807</v>
      </c>
      <c r="CC21" s="30" t="s">
        <v>1813</v>
      </c>
      <c r="CD21" s="30" t="s">
        <v>1814</v>
      </c>
      <c r="CE21" s="30" t="s">
        <v>194</v>
      </c>
      <c r="CF21" s="30" t="s">
        <v>1814</v>
      </c>
    </row>
    <row r="22" ht="15.75" customHeight="1">
      <c r="B22" s="30" t="s">
        <v>1002</v>
      </c>
      <c r="C22" s="32" t="s">
        <v>1003</v>
      </c>
      <c r="D22" s="30" t="s">
        <v>1815</v>
      </c>
      <c r="E22" s="31" t="str">
        <f>IFERROR(__xludf.DUMMYFUNCTION("IF(ISBLANK(D22), """", GOOGLETRANSLATE(D22, ""es"", ""en""))"),"Project's name")</f>
        <v>Project's name</v>
      </c>
      <c r="G22" s="30" t="s">
        <v>1816</v>
      </c>
      <c r="H22" s="30">
        <v>2024.0</v>
      </c>
      <c r="I22" s="30" t="s">
        <v>967</v>
      </c>
      <c r="J22" s="30" t="s">
        <v>970</v>
      </c>
      <c r="K22" s="30">
        <v>201.0</v>
      </c>
      <c r="L22" s="30" t="s">
        <v>975</v>
      </c>
      <c r="M22" s="30">
        <v>1.0</v>
      </c>
      <c r="N22" s="30" t="s">
        <v>980</v>
      </c>
      <c r="O22" s="30">
        <v>9.0</v>
      </c>
      <c r="P22" s="30" t="s">
        <v>985</v>
      </c>
      <c r="Q22" s="30" t="s">
        <v>988</v>
      </c>
      <c r="R22" s="30">
        <v>22.0</v>
      </c>
      <c r="S22" s="30" t="s">
        <v>993</v>
      </c>
      <c r="T22" s="30">
        <v>4.0</v>
      </c>
      <c r="U22" s="30" t="s">
        <v>1817</v>
      </c>
      <c r="V22" s="30">
        <v>1.0</v>
      </c>
      <c r="W22" s="30" t="s">
        <v>1818</v>
      </c>
      <c r="X22" s="30">
        <v>51.0</v>
      </c>
      <c r="Y22" s="30" t="s">
        <v>1818</v>
      </c>
      <c r="Z22" s="30" t="s">
        <v>1819</v>
      </c>
      <c r="AA22" s="30">
        <v>100.0</v>
      </c>
      <c r="AB22" s="30" t="s">
        <v>1016</v>
      </c>
      <c r="AC22" s="30">
        <v>10.0</v>
      </c>
      <c r="AD22" s="30" t="s">
        <v>1021</v>
      </c>
      <c r="AE22" s="30">
        <v>100.0</v>
      </c>
      <c r="AF22" s="30" t="s">
        <v>1021</v>
      </c>
      <c r="AG22" s="30">
        <v>4.0</v>
      </c>
      <c r="AH22" s="30" t="s">
        <v>1030</v>
      </c>
      <c r="AI22" s="131">
        <v>45295.0</v>
      </c>
      <c r="AJ22" s="30" t="s">
        <v>1820</v>
      </c>
      <c r="AK22" s="52">
        <v>37260.0</v>
      </c>
      <c r="AL22" s="30" t="s">
        <v>1509</v>
      </c>
      <c r="AM22" s="30">
        <v>2.0</v>
      </c>
      <c r="AN22" s="30" t="s">
        <v>1045</v>
      </c>
      <c r="AO22" s="131">
        <v>45475.0</v>
      </c>
      <c r="AP22" s="30" t="s">
        <v>1050</v>
      </c>
      <c r="AQ22" s="132">
        <v>37074.0</v>
      </c>
      <c r="AR22" s="30" t="s">
        <v>1055</v>
      </c>
      <c r="AS22" s="30" t="s">
        <v>1821</v>
      </c>
      <c r="AT22" s="30" t="s">
        <v>721</v>
      </c>
      <c r="AU22" s="30" t="s">
        <v>722</v>
      </c>
      <c r="AV22" s="30" t="s">
        <v>721</v>
      </c>
      <c r="AW22" s="30">
        <v>2.0</v>
      </c>
      <c r="AX22" s="30" t="s">
        <v>1045</v>
      </c>
      <c r="AY22" s="131">
        <v>45324.0</v>
      </c>
      <c r="AZ22" s="30" t="s">
        <v>1075</v>
      </c>
      <c r="BA22" s="132">
        <v>37289.0</v>
      </c>
      <c r="BB22" s="30" t="s">
        <v>1080</v>
      </c>
      <c r="BC22" s="30" t="s">
        <v>1083</v>
      </c>
      <c r="BD22" s="30" t="s">
        <v>1086</v>
      </c>
      <c r="BE22" s="30" t="s">
        <v>1822</v>
      </c>
      <c r="BF22" s="30" t="s">
        <v>1823</v>
      </c>
      <c r="BG22" s="30" t="s">
        <v>1094</v>
      </c>
      <c r="BH22" s="30" t="s">
        <v>1094</v>
      </c>
      <c r="BI22" s="30" t="s">
        <v>1094</v>
      </c>
      <c r="BJ22" s="30" t="s">
        <v>1094</v>
      </c>
      <c r="BK22" s="30" t="s">
        <v>1094</v>
      </c>
      <c r="BL22" s="30" t="s">
        <v>1094</v>
      </c>
      <c r="BM22" s="30">
        <v>0.0</v>
      </c>
      <c r="BN22" s="30" t="s">
        <v>1109</v>
      </c>
      <c r="BO22" s="30" t="s">
        <v>66</v>
      </c>
      <c r="BP22" s="30" t="s">
        <v>1114</v>
      </c>
      <c r="BQ22" s="30">
        <v>14756.0</v>
      </c>
      <c r="BR22" s="30" t="s">
        <v>1818</v>
      </c>
      <c r="BS22" s="30" t="s">
        <v>1824</v>
      </c>
      <c r="BT22" s="30">
        <v>1.0</v>
      </c>
      <c r="BU22" s="30" t="s">
        <v>1126</v>
      </c>
      <c r="BV22" s="30" t="s">
        <v>66</v>
      </c>
      <c r="BW22" s="30">
        <v>5.0</v>
      </c>
      <c r="BX22" s="30" t="s">
        <v>1133</v>
      </c>
      <c r="BY22" s="30">
        <v>17.0</v>
      </c>
      <c r="BZ22" s="30" t="s">
        <v>926</v>
      </c>
      <c r="CA22" s="30">
        <v>1.0</v>
      </c>
      <c r="CB22" s="30" t="s">
        <v>1825</v>
      </c>
      <c r="CC22" s="30" t="s">
        <v>1826</v>
      </c>
      <c r="CD22" s="30" t="s">
        <v>1827</v>
      </c>
      <c r="CE22" s="30" t="s">
        <v>194</v>
      </c>
      <c r="CF22" s="30" t="s">
        <v>1827</v>
      </c>
    </row>
    <row r="23" ht="15.75" customHeight="1">
      <c r="B23" s="30" t="s">
        <v>1005</v>
      </c>
      <c r="C23" s="32">
        <v>52.0</v>
      </c>
      <c r="D23" s="30" t="s">
        <v>1828</v>
      </c>
      <c r="E23" s="31" t="str">
        <f>IFERROR(__xludf.DUMMYFUNCTION("IF(ISBLANK(D23), """", GOOGLETRANSLATE(D23, ""es"", ""en""))"),"Work Activity Code")</f>
        <v>Work Activity Code</v>
      </c>
      <c r="G23" s="30" t="s">
        <v>1829</v>
      </c>
      <c r="H23" s="30">
        <v>2024.0</v>
      </c>
      <c r="I23" s="30" t="s">
        <v>967</v>
      </c>
      <c r="J23" s="30" t="s">
        <v>970</v>
      </c>
      <c r="K23" s="30">
        <v>201.0</v>
      </c>
      <c r="L23" s="30" t="s">
        <v>975</v>
      </c>
      <c r="M23" s="30">
        <v>1.0</v>
      </c>
      <c r="N23" s="30" t="s">
        <v>980</v>
      </c>
      <c r="O23" s="30">
        <v>9.0</v>
      </c>
      <c r="P23" s="30" t="s">
        <v>985</v>
      </c>
      <c r="Q23" s="30" t="s">
        <v>988</v>
      </c>
      <c r="R23" s="30">
        <v>22.0</v>
      </c>
      <c r="S23" s="30" t="s">
        <v>993</v>
      </c>
      <c r="T23" s="30">
        <v>4.0</v>
      </c>
      <c r="U23" s="30" t="s">
        <v>1817</v>
      </c>
      <c r="V23" s="30">
        <v>1.0</v>
      </c>
      <c r="W23" s="30" t="s">
        <v>1818</v>
      </c>
      <c r="X23" s="30">
        <v>52.0</v>
      </c>
      <c r="Y23" s="30" t="s">
        <v>1830</v>
      </c>
      <c r="Z23" s="30" t="s">
        <v>1831</v>
      </c>
      <c r="AA23" s="30">
        <v>100.0</v>
      </c>
      <c r="AB23" s="30" t="s">
        <v>1016</v>
      </c>
      <c r="AC23" s="30">
        <v>10.0</v>
      </c>
      <c r="AD23" s="30" t="s">
        <v>1021</v>
      </c>
      <c r="AE23" s="30">
        <v>100.0</v>
      </c>
      <c r="AF23" s="30" t="s">
        <v>1021</v>
      </c>
      <c r="AG23" s="30">
        <v>4.0</v>
      </c>
      <c r="AH23" s="30" t="s">
        <v>1030</v>
      </c>
      <c r="AI23" s="131">
        <v>45295.0</v>
      </c>
      <c r="AJ23" s="30" t="s">
        <v>1820</v>
      </c>
      <c r="AK23" s="52">
        <v>37260.0</v>
      </c>
      <c r="AL23" s="30" t="s">
        <v>1509</v>
      </c>
      <c r="AM23" s="30">
        <v>2.0</v>
      </c>
      <c r="AN23" s="30" t="s">
        <v>1045</v>
      </c>
      <c r="AO23" s="131">
        <v>45475.0</v>
      </c>
      <c r="AP23" s="30" t="s">
        <v>1050</v>
      </c>
      <c r="AQ23" s="132">
        <v>37074.0</v>
      </c>
      <c r="AR23" s="30" t="s">
        <v>1055</v>
      </c>
      <c r="AS23" s="30" t="s">
        <v>1058</v>
      </c>
      <c r="AT23" s="30" t="s">
        <v>1061</v>
      </c>
      <c r="AU23" s="30" t="s">
        <v>1064</v>
      </c>
      <c r="AV23" s="30" t="s">
        <v>1061</v>
      </c>
      <c r="AW23" s="30">
        <v>2.0</v>
      </c>
      <c r="AX23" s="30" t="s">
        <v>1045</v>
      </c>
      <c r="AY23" s="131">
        <v>45324.0</v>
      </c>
      <c r="AZ23" s="30" t="s">
        <v>1075</v>
      </c>
      <c r="BA23" s="132">
        <v>37289.0</v>
      </c>
      <c r="BB23" s="30" t="s">
        <v>1080</v>
      </c>
      <c r="BC23" s="30" t="s">
        <v>1083</v>
      </c>
      <c r="BD23" s="30" t="s">
        <v>1086</v>
      </c>
      <c r="BE23" s="30" t="s">
        <v>1089</v>
      </c>
      <c r="BF23" s="30" t="s">
        <v>1061</v>
      </c>
      <c r="BG23" s="30" t="s">
        <v>1094</v>
      </c>
      <c r="BH23" s="30" t="s">
        <v>1094</v>
      </c>
      <c r="BI23" s="30" t="s">
        <v>1094</v>
      </c>
      <c r="BJ23" s="30" t="s">
        <v>1094</v>
      </c>
      <c r="BK23" s="30" t="s">
        <v>1094</v>
      </c>
      <c r="BL23" s="30" t="s">
        <v>1094</v>
      </c>
      <c r="BM23" s="30">
        <v>0.0</v>
      </c>
      <c r="BN23" s="30" t="s">
        <v>1109</v>
      </c>
      <c r="BO23" s="30" t="s">
        <v>66</v>
      </c>
      <c r="BP23" s="30" t="s">
        <v>1114</v>
      </c>
      <c r="BQ23" s="30">
        <v>14756.0</v>
      </c>
      <c r="BR23" s="30" t="s">
        <v>1818</v>
      </c>
      <c r="BS23" s="30" t="s">
        <v>1824</v>
      </c>
      <c r="BT23" s="30">
        <v>1.0</v>
      </c>
      <c r="BU23" s="30" t="s">
        <v>1126</v>
      </c>
      <c r="BV23" s="30" t="s">
        <v>66</v>
      </c>
      <c r="BW23" s="30">
        <v>5.0</v>
      </c>
      <c r="BX23" s="30" t="s">
        <v>1133</v>
      </c>
      <c r="BY23" s="30">
        <v>17.0</v>
      </c>
      <c r="BZ23" s="30" t="s">
        <v>926</v>
      </c>
      <c r="CA23" s="30">
        <v>1.0</v>
      </c>
      <c r="CB23" s="30" t="s">
        <v>1825</v>
      </c>
      <c r="CC23" s="30" t="s">
        <v>1832</v>
      </c>
      <c r="CD23" s="30" t="s">
        <v>1833</v>
      </c>
      <c r="CE23" s="30" t="s">
        <v>194</v>
      </c>
      <c r="CF23" s="30" t="s">
        <v>1833</v>
      </c>
    </row>
    <row r="24" ht="15.75" customHeight="1">
      <c r="B24" s="30" t="s">
        <v>1007</v>
      </c>
      <c r="C24" s="32" t="s">
        <v>1008</v>
      </c>
      <c r="D24" s="30" t="s">
        <v>1834</v>
      </c>
      <c r="E24" s="31" t="str">
        <f>IFERROR(__xludf.DUMMYFUNCTION("IF(ISBLANK(D24), """", GOOGLETRANSLATE(D24, ""es"", ""en""))"),"Name of the Work Activity")</f>
        <v>Name of the Work Activity</v>
      </c>
      <c r="G24" s="30" t="s">
        <v>1835</v>
      </c>
      <c r="H24" s="30">
        <v>2024.0</v>
      </c>
      <c r="I24" s="30" t="s">
        <v>967</v>
      </c>
      <c r="J24" s="30" t="s">
        <v>970</v>
      </c>
      <c r="K24" s="30">
        <v>201.0</v>
      </c>
      <c r="L24" s="30" t="s">
        <v>975</v>
      </c>
      <c r="M24" s="30">
        <v>1.0</v>
      </c>
      <c r="N24" s="30" t="s">
        <v>980</v>
      </c>
      <c r="O24" s="30">
        <v>9.0</v>
      </c>
      <c r="P24" s="30" t="s">
        <v>985</v>
      </c>
      <c r="Q24" s="30" t="s">
        <v>988</v>
      </c>
      <c r="R24" s="30">
        <v>22.0</v>
      </c>
      <c r="S24" s="30" t="s">
        <v>993</v>
      </c>
      <c r="T24" s="30">
        <v>4.0</v>
      </c>
      <c r="U24" s="30" t="s">
        <v>1817</v>
      </c>
      <c r="V24" s="30">
        <v>2.0</v>
      </c>
      <c r="W24" s="30" t="s">
        <v>1836</v>
      </c>
      <c r="X24" s="30">
        <v>51.0</v>
      </c>
      <c r="Y24" s="30" t="s">
        <v>1836</v>
      </c>
      <c r="Z24" s="30" t="s">
        <v>1837</v>
      </c>
      <c r="AA24" s="30">
        <v>100.0</v>
      </c>
      <c r="AB24" s="30" t="s">
        <v>1016</v>
      </c>
      <c r="AC24" s="30">
        <v>10.0</v>
      </c>
      <c r="AD24" s="30" t="s">
        <v>1021</v>
      </c>
      <c r="AE24" s="30">
        <v>100.0</v>
      </c>
      <c r="AF24" s="30" t="s">
        <v>1021</v>
      </c>
      <c r="AG24" s="30">
        <v>4.0</v>
      </c>
      <c r="AH24" s="30" t="s">
        <v>1030</v>
      </c>
      <c r="AI24" s="131">
        <v>45295.0</v>
      </c>
      <c r="AJ24" s="30" t="s">
        <v>1820</v>
      </c>
      <c r="AK24" s="52">
        <v>37260.0</v>
      </c>
      <c r="AL24" s="30" t="s">
        <v>1509</v>
      </c>
      <c r="AM24" s="30">
        <v>2.0</v>
      </c>
      <c r="AN24" s="30" t="s">
        <v>1045</v>
      </c>
      <c r="AO24" s="131">
        <v>45475.0</v>
      </c>
      <c r="AP24" s="30" t="s">
        <v>1050</v>
      </c>
      <c r="AQ24" s="132">
        <v>37439.0</v>
      </c>
      <c r="AR24" s="30" t="s">
        <v>1699</v>
      </c>
      <c r="AS24" s="30" t="s">
        <v>1838</v>
      </c>
      <c r="AT24" s="30" t="s">
        <v>1839</v>
      </c>
      <c r="AU24" s="30" t="s">
        <v>1840</v>
      </c>
      <c r="AV24" s="30" t="s">
        <v>1839</v>
      </c>
      <c r="AW24" s="30">
        <v>2.0</v>
      </c>
      <c r="AX24" s="30" t="s">
        <v>1045</v>
      </c>
      <c r="AY24" s="131">
        <v>45324.0</v>
      </c>
      <c r="AZ24" s="30" t="s">
        <v>1075</v>
      </c>
      <c r="BA24" s="132">
        <v>36924.0</v>
      </c>
      <c r="BB24" s="30" t="s">
        <v>1703</v>
      </c>
      <c r="BC24" s="30" t="s">
        <v>1704</v>
      </c>
      <c r="BD24" s="30" t="s">
        <v>1705</v>
      </c>
      <c r="BE24" s="30" t="s">
        <v>1094</v>
      </c>
      <c r="BF24" s="30" t="s">
        <v>1094</v>
      </c>
      <c r="BG24" s="30" t="s">
        <v>1094</v>
      </c>
      <c r="BH24" s="30" t="s">
        <v>1094</v>
      </c>
      <c r="BI24" s="30" t="s">
        <v>1094</v>
      </c>
      <c r="BJ24" s="30" t="s">
        <v>1094</v>
      </c>
      <c r="BK24" s="30" t="s">
        <v>1094</v>
      </c>
      <c r="BL24" s="30" t="s">
        <v>1094</v>
      </c>
      <c r="BM24" s="30">
        <v>0.0</v>
      </c>
      <c r="BN24" s="30" t="s">
        <v>1109</v>
      </c>
      <c r="BO24" s="30" t="s">
        <v>66</v>
      </c>
      <c r="BP24" s="30" t="s">
        <v>1114</v>
      </c>
      <c r="BQ24" s="30">
        <v>14710.0</v>
      </c>
      <c r="BR24" s="30" t="s">
        <v>1836</v>
      </c>
      <c r="BS24" s="30" t="s">
        <v>1841</v>
      </c>
      <c r="BT24" s="30">
        <v>1.0</v>
      </c>
      <c r="BU24" s="30" t="s">
        <v>1126</v>
      </c>
      <c r="BV24" s="30" t="s">
        <v>66</v>
      </c>
      <c r="BW24" s="30">
        <v>6.0</v>
      </c>
      <c r="BX24" s="30" t="s">
        <v>1842</v>
      </c>
      <c r="BY24" s="30">
        <v>3.0</v>
      </c>
      <c r="BZ24" s="30" t="s">
        <v>1843</v>
      </c>
      <c r="CA24" s="30">
        <v>5.0</v>
      </c>
      <c r="CB24" s="30" t="s">
        <v>1844</v>
      </c>
      <c r="CC24" s="30" t="s">
        <v>1845</v>
      </c>
      <c r="CD24" s="30" t="s">
        <v>1846</v>
      </c>
      <c r="CE24" s="30" t="s">
        <v>194</v>
      </c>
      <c r="CF24" s="30" t="s">
        <v>1846</v>
      </c>
    </row>
    <row r="25" ht="15.75" customHeight="1">
      <c r="B25" s="30" t="s">
        <v>1010</v>
      </c>
      <c r="C25" s="32" t="s">
        <v>1011</v>
      </c>
      <c r="D25" s="30" t="s">
        <v>1847</v>
      </c>
      <c r="E25" s="31" t="str">
        <f>IFERROR(__xludf.DUMMYFUNCTION("IF(ISBLANK(D25), """", GOOGLETRANSLATE(D25, ""es"", ""en""))"),"Description of the work activity")</f>
        <v>Description of the work activity</v>
      </c>
      <c r="G25" s="30" t="s">
        <v>1848</v>
      </c>
      <c r="H25" s="30">
        <v>2024.0</v>
      </c>
      <c r="I25" s="30" t="s">
        <v>967</v>
      </c>
      <c r="J25" s="30" t="s">
        <v>970</v>
      </c>
      <c r="K25" s="30">
        <v>201.0</v>
      </c>
      <c r="L25" s="30" t="s">
        <v>975</v>
      </c>
      <c r="M25" s="30">
        <v>1.0</v>
      </c>
      <c r="N25" s="30" t="s">
        <v>980</v>
      </c>
      <c r="O25" s="30">
        <v>9.0</v>
      </c>
      <c r="P25" s="30" t="s">
        <v>985</v>
      </c>
      <c r="Q25" s="30" t="s">
        <v>988</v>
      </c>
      <c r="R25" s="30">
        <v>22.0</v>
      </c>
      <c r="S25" s="30" t="s">
        <v>993</v>
      </c>
      <c r="T25" s="30">
        <v>4.0</v>
      </c>
      <c r="U25" s="30" t="s">
        <v>1817</v>
      </c>
      <c r="V25" s="30">
        <v>2.0</v>
      </c>
      <c r="W25" s="30" t="s">
        <v>1836</v>
      </c>
      <c r="X25" s="30">
        <v>52.0</v>
      </c>
      <c r="Y25" s="30" t="s">
        <v>1849</v>
      </c>
      <c r="Z25" s="30" t="s">
        <v>1850</v>
      </c>
      <c r="AA25" s="30">
        <v>100.0</v>
      </c>
      <c r="AB25" s="30" t="s">
        <v>1016</v>
      </c>
      <c r="AC25" s="30">
        <v>10.0</v>
      </c>
      <c r="AD25" s="30" t="s">
        <v>1021</v>
      </c>
      <c r="AE25" s="30">
        <v>100.0</v>
      </c>
      <c r="AF25" s="30" t="s">
        <v>1021</v>
      </c>
      <c r="AG25" s="30">
        <v>4.0</v>
      </c>
      <c r="AH25" s="30" t="s">
        <v>1030</v>
      </c>
      <c r="AI25" s="131">
        <v>45295.0</v>
      </c>
      <c r="AJ25" s="30" t="s">
        <v>1820</v>
      </c>
      <c r="AK25" s="52">
        <v>37260.0</v>
      </c>
      <c r="AL25" s="30" t="s">
        <v>1509</v>
      </c>
      <c r="AM25" s="30">
        <v>2.0</v>
      </c>
      <c r="AN25" s="30" t="s">
        <v>1045</v>
      </c>
      <c r="AO25" s="131">
        <v>45475.0</v>
      </c>
      <c r="AP25" s="30" t="s">
        <v>1050</v>
      </c>
      <c r="AQ25" s="132">
        <v>37074.0</v>
      </c>
      <c r="AR25" s="30" t="s">
        <v>1055</v>
      </c>
      <c r="AS25" s="30" t="s">
        <v>1058</v>
      </c>
      <c r="AT25" s="30" t="s">
        <v>1061</v>
      </c>
      <c r="AU25" s="30" t="s">
        <v>1064</v>
      </c>
      <c r="AV25" s="30" t="s">
        <v>1061</v>
      </c>
      <c r="AW25" s="30">
        <v>2.0</v>
      </c>
      <c r="AX25" s="30" t="s">
        <v>1045</v>
      </c>
      <c r="AY25" s="131">
        <v>45324.0</v>
      </c>
      <c r="AZ25" s="30" t="s">
        <v>1075</v>
      </c>
      <c r="BA25" s="132">
        <v>37289.0</v>
      </c>
      <c r="BB25" s="30" t="s">
        <v>1080</v>
      </c>
      <c r="BC25" s="30" t="s">
        <v>1083</v>
      </c>
      <c r="BD25" s="30" t="s">
        <v>1086</v>
      </c>
      <c r="BE25" s="30" t="s">
        <v>1089</v>
      </c>
      <c r="BF25" s="30" t="s">
        <v>1061</v>
      </c>
      <c r="BG25" s="30" t="s">
        <v>1094</v>
      </c>
      <c r="BH25" s="30" t="s">
        <v>1094</v>
      </c>
      <c r="BI25" s="30" t="s">
        <v>1094</v>
      </c>
      <c r="BJ25" s="30" t="s">
        <v>1094</v>
      </c>
      <c r="BK25" s="30" t="s">
        <v>1094</v>
      </c>
      <c r="BL25" s="30" t="s">
        <v>1094</v>
      </c>
      <c r="BM25" s="30">
        <v>0.0</v>
      </c>
      <c r="BN25" s="30" t="s">
        <v>1109</v>
      </c>
      <c r="BO25" s="30" t="s">
        <v>66</v>
      </c>
      <c r="BP25" s="30" t="s">
        <v>1114</v>
      </c>
      <c r="BQ25" s="30">
        <v>14710.0</v>
      </c>
      <c r="BR25" s="30" t="s">
        <v>1836</v>
      </c>
      <c r="BS25" s="30" t="s">
        <v>1841</v>
      </c>
      <c r="BT25" s="30">
        <v>1.0</v>
      </c>
      <c r="BU25" s="30" t="s">
        <v>1126</v>
      </c>
      <c r="BV25" s="30" t="s">
        <v>66</v>
      </c>
      <c r="BW25" s="30">
        <v>6.0</v>
      </c>
      <c r="BX25" s="30" t="s">
        <v>1842</v>
      </c>
      <c r="BY25" s="30">
        <v>3.0</v>
      </c>
      <c r="BZ25" s="30" t="s">
        <v>1843</v>
      </c>
      <c r="CA25" s="30">
        <v>5.0</v>
      </c>
      <c r="CB25" s="30" t="s">
        <v>1844</v>
      </c>
      <c r="CC25" s="30" t="s">
        <v>1851</v>
      </c>
      <c r="CD25" s="30" t="s">
        <v>1852</v>
      </c>
      <c r="CE25" s="30" t="s">
        <v>194</v>
      </c>
      <c r="CF25" s="30" t="s">
        <v>1852</v>
      </c>
    </row>
    <row r="26" ht="15.75" customHeight="1">
      <c r="B26" s="30" t="s">
        <v>1013</v>
      </c>
      <c r="C26" s="32">
        <v>100.0</v>
      </c>
      <c r="D26" s="30" t="s">
        <v>1853</v>
      </c>
      <c r="E26" s="31" t="str">
        <f>IFERROR(__xludf.DUMMYFUNCTION("IF(ISBLANK(D26), """", GOOGLETRANSLATE(D26, ""es"", ""en""))"),"Funding body code")</f>
        <v>Funding body code</v>
      </c>
      <c r="G26" s="30" t="s">
        <v>1854</v>
      </c>
      <c r="H26" s="30">
        <v>2024.0</v>
      </c>
      <c r="I26" s="30" t="s">
        <v>967</v>
      </c>
      <c r="J26" s="30" t="s">
        <v>970</v>
      </c>
      <c r="K26" s="30">
        <v>201.0</v>
      </c>
      <c r="L26" s="30" t="s">
        <v>975</v>
      </c>
      <c r="M26" s="30">
        <v>1.0</v>
      </c>
      <c r="N26" s="30" t="s">
        <v>980</v>
      </c>
      <c r="O26" s="30">
        <v>9.0</v>
      </c>
      <c r="P26" s="30" t="s">
        <v>985</v>
      </c>
      <c r="Q26" s="30" t="s">
        <v>988</v>
      </c>
      <c r="R26" s="30">
        <v>22.0</v>
      </c>
      <c r="S26" s="30" t="s">
        <v>993</v>
      </c>
      <c r="T26" s="30">
        <v>4.0</v>
      </c>
      <c r="U26" s="30" t="s">
        <v>1817</v>
      </c>
      <c r="V26" s="30">
        <v>3.0</v>
      </c>
      <c r="W26" s="30" t="s">
        <v>1855</v>
      </c>
      <c r="X26" s="30">
        <v>51.0</v>
      </c>
      <c r="Y26" s="30" t="s">
        <v>1803</v>
      </c>
      <c r="Z26" s="30" t="s">
        <v>1856</v>
      </c>
      <c r="AA26" s="30">
        <v>100.0</v>
      </c>
      <c r="AB26" s="30" t="s">
        <v>1016</v>
      </c>
      <c r="AC26" s="30">
        <v>10.0</v>
      </c>
      <c r="AD26" s="30" t="s">
        <v>1021</v>
      </c>
      <c r="AE26" s="30">
        <v>100.0</v>
      </c>
      <c r="AF26" s="30" t="s">
        <v>1021</v>
      </c>
      <c r="AG26" s="30">
        <v>4.0</v>
      </c>
      <c r="AH26" s="30" t="s">
        <v>1030</v>
      </c>
      <c r="AI26" s="131">
        <v>45355.0</v>
      </c>
      <c r="AJ26" s="30" t="s">
        <v>1035</v>
      </c>
      <c r="AK26" s="52">
        <v>37319.0</v>
      </c>
      <c r="AL26" s="30" t="s">
        <v>1040</v>
      </c>
      <c r="AM26" s="30">
        <v>2.0</v>
      </c>
      <c r="AN26" s="30" t="s">
        <v>1045</v>
      </c>
      <c r="AO26" s="131">
        <v>45475.0</v>
      </c>
      <c r="AP26" s="30" t="s">
        <v>1050</v>
      </c>
      <c r="AQ26" s="132">
        <v>37439.0</v>
      </c>
      <c r="AR26" s="30" t="s">
        <v>1699</v>
      </c>
      <c r="AS26" s="30" t="s">
        <v>1716</v>
      </c>
      <c r="AT26" s="30" t="s">
        <v>1717</v>
      </c>
      <c r="AU26" s="30" t="s">
        <v>1718</v>
      </c>
      <c r="AV26" s="30" t="s">
        <v>1717</v>
      </c>
      <c r="AW26" s="30">
        <v>2.0</v>
      </c>
      <c r="AX26" s="30" t="s">
        <v>1045</v>
      </c>
      <c r="AY26" s="131">
        <v>45324.0</v>
      </c>
      <c r="AZ26" s="30" t="s">
        <v>1075</v>
      </c>
      <c r="BA26" s="132">
        <v>36924.0</v>
      </c>
      <c r="BB26" s="30" t="s">
        <v>1703</v>
      </c>
      <c r="BC26" s="30" t="s">
        <v>1704</v>
      </c>
      <c r="BD26" s="30" t="s">
        <v>1705</v>
      </c>
      <c r="BE26" s="30" t="s">
        <v>1094</v>
      </c>
      <c r="BF26" s="30" t="s">
        <v>1094</v>
      </c>
      <c r="BG26" s="30" t="s">
        <v>1094</v>
      </c>
      <c r="BH26" s="30" t="s">
        <v>1094</v>
      </c>
      <c r="BI26" s="30" t="s">
        <v>1094</v>
      </c>
      <c r="BJ26" s="30" t="s">
        <v>1094</v>
      </c>
      <c r="BK26" s="30" t="s">
        <v>1094</v>
      </c>
      <c r="BL26" s="30" t="s">
        <v>1094</v>
      </c>
      <c r="BM26" s="30">
        <v>0.0</v>
      </c>
      <c r="BN26" s="30" t="s">
        <v>1109</v>
      </c>
      <c r="BO26" s="30" t="s">
        <v>66</v>
      </c>
      <c r="BP26" s="30" t="s">
        <v>1114</v>
      </c>
      <c r="BQ26" s="30">
        <v>14730.0</v>
      </c>
      <c r="BR26" s="30" t="s">
        <v>1855</v>
      </c>
      <c r="BS26" s="30" t="s">
        <v>1857</v>
      </c>
      <c r="BT26" s="30">
        <v>1.0</v>
      </c>
      <c r="BU26" s="30" t="s">
        <v>1126</v>
      </c>
      <c r="BV26" s="30" t="s">
        <v>66</v>
      </c>
      <c r="BW26" s="30">
        <v>5.0</v>
      </c>
      <c r="BX26" s="30" t="s">
        <v>1133</v>
      </c>
      <c r="BY26" s="30">
        <v>21.0</v>
      </c>
      <c r="BZ26" s="30" t="s">
        <v>1138</v>
      </c>
      <c r="CA26" s="30">
        <v>3.0</v>
      </c>
      <c r="CB26" s="30" t="s">
        <v>1858</v>
      </c>
      <c r="CC26" s="30" t="s">
        <v>1859</v>
      </c>
      <c r="CD26" s="30" t="s">
        <v>1860</v>
      </c>
      <c r="CE26" s="30" t="s">
        <v>194</v>
      </c>
      <c r="CF26" s="30" t="s">
        <v>1860</v>
      </c>
    </row>
    <row r="27" ht="15.75" customHeight="1">
      <c r="B27" s="30" t="s">
        <v>1015</v>
      </c>
      <c r="C27" s="32" t="s">
        <v>1016</v>
      </c>
      <c r="D27" s="30" t="s">
        <v>1861</v>
      </c>
      <c r="E27" s="31" t="str">
        <f>IFERROR(__xludf.DUMMYFUNCTION("IF(ISBLANK(D27), """", GOOGLETRANSLATE(D27, ""es"", ""en""))"),"Description of the financing organization")</f>
        <v>Description of the financing organization</v>
      </c>
      <c r="G27" s="30" t="s">
        <v>1862</v>
      </c>
      <c r="H27" s="30">
        <v>2024.0</v>
      </c>
      <c r="I27" s="30" t="s">
        <v>967</v>
      </c>
      <c r="J27" s="30" t="s">
        <v>970</v>
      </c>
      <c r="K27" s="30">
        <v>201.0</v>
      </c>
      <c r="L27" s="30" t="s">
        <v>975</v>
      </c>
      <c r="M27" s="30">
        <v>1.0</v>
      </c>
      <c r="N27" s="30" t="s">
        <v>980</v>
      </c>
      <c r="O27" s="30">
        <v>9.0</v>
      </c>
      <c r="P27" s="30" t="s">
        <v>985</v>
      </c>
      <c r="Q27" s="30" t="s">
        <v>988</v>
      </c>
      <c r="R27" s="30">
        <v>22.0</v>
      </c>
      <c r="S27" s="30" t="s">
        <v>993</v>
      </c>
      <c r="T27" s="30">
        <v>4.0</v>
      </c>
      <c r="U27" s="30" t="s">
        <v>1817</v>
      </c>
      <c r="V27" s="30">
        <v>4.0</v>
      </c>
      <c r="W27" s="30" t="s">
        <v>1863</v>
      </c>
      <c r="X27" s="30">
        <v>51.0</v>
      </c>
      <c r="Y27" s="30" t="s">
        <v>1864</v>
      </c>
      <c r="Z27" s="30" t="s">
        <v>1865</v>
      </c>
      <c r="AA27" s="30">
        <v>100.0</v>
      </c>
      <c r="AB27" s="30" t="s">
        <v>1016</v>
      </c>
      <c r="AC27" s="30">
        <v>10.0</v>
      </c>
      <c r="AD27" s="30" t="s">
        <v>1021</v>
      </c>
      <c r="AE27" s="30">
        <v>100.0</v>
      </c>
      <c r="AF27" s="30" t="s">
        <v>1021</v>
      </c>
      <c r="AG27" s="30">
        <v>4.0</v>
      </c>
      <c r="AH27" s="30" t="s">
        <v>1030</v>
      </c>
      <c r="AI27" s="131">
        <v>45295.0</v>
      </c>
      <c r="AJ27" s="30" t="s">
        <v>1820</v>
      </c>
      <c r="AK27" s="52">
        <v>37260.0</v>
      </c>
      <c r="AL27" s="30" t="s">
        <v>1509</v>
      </c>
      <c r="AM27" s="30">
        <v>2.0</v>
      </c>
      <c r="AN27" s="30" t="s">
        <v>1045</v>
      </c>
      <c r="AO27" s="131">
        <v>45475.0</v>
      </c>
      <c r="AP27" s="30" t="s">
        <v>1050</v>
      </c>
      <c r="AQ27" s="132">
        <v>37074.0</v>
      </c>
      <c r="AR27" s="30" t="s">
        <v>1055</v>
      </c>
      <c r="AS27" s="30" t="s">
        <v>1821</v>
      </c>
      <c r="AT27" s="30" t="s">
        <v>721</v>
      </c>
      <c r="AU27" s="30" t="s">
        <v>722</v>
      </c>
      <c r="AV27" s="30" t="s">
        <v>721</v>
      </c>
      <c r="AW27" s="30">
        <v>2.0</v>
      </c>
      <c r="AX27" s="30" t="s">
        <v>1045</v>
      </c>
      <c r="AY27" s="131">
        <v>45324.0</v>
      </c>
      <c r="AZ27" s="30" t="s">
        <v>1075</v>
      </c>
      <c r="BA27" s="132">
        <v>37289.0</v>
      </c>
      <c r="BB27" s="30" t="s">
        <v>1080</v>
      </c>
      <c r="BC27" s="30" t="s">
        <v>1083</v>
      </c>
      <c r="BD27" s="30" t="s">
        <v>1086</v>
      </c>
      <c r="BE27" s="30" t="s">
        <v>1822</v>
      </c>
      <c r="BF27" s="30" t="s">
        <v>1823</v>
      </c>
      <c r="BG27" s="30" t="s">
        <v>1094</v>
      </c>
      <c r="BH27" s="30" t="s">
        <v>1094</v>
      </c>
      <c r="BI27" s="30" t="s">
        <v>1094</v>
      </c>
      <c r="BJ27" s="30" t="s">
        <v>1094</v>
      </c>
      <c r="BK27" s="30" t="s">
        <v>1094</v>
      </c>
      <c r="BL27" s="30" t="s">
        <v>1094</v>
      </c>
      <c r="BM27" s="30">
        <v>0.0</v>
      </c>
      <c r="BN27" s="30" t="s">
        <v>1109</v>
      </c>
      <c r="BO27" s="30" t="s">
        <v>66</v>
      </c>
      <c r="BP27" s="30" t="s">
        <v>1114</v>
      </c>
      <c r="BQ27" s="30">
        <v>14785.0</v>
      </c>
      <c r="BR27" s="30" t="s">
        <v>1863</v>
      </c>
      <c r="BS27" s="30" t="s">
        <v>1866</v>
      </c>
      <c r="BT27" s="30">
        <v>1.0</v>
      </c>
      <c r="BU27" s="30" t="s">
        <v>1126</v>
      </c>
      <c r="BV27" s="30" t="s">
        <v>66</v>
      </c>
      <c r="BW27" s="30">
        <v>7.0</v>
      </c>
      <c r="BX27" s="30" t="s">
        <v>1767</v>
      </c>
      <c r="BY27" s="30">
        <v>22.0</v>
      </c>
      <c r="BZ27" s="30" t="s">
        <v>1768</v>
      </c>
      <c r="CA27" s="30">
        <v>6.0</v>
      </c>
      <c r="CB27" s="30" t="s">
        <v>1867</v>
      </c>
      <c r="CC27" s="30" t="s">
        <v>1868</v>
      </c>
      <c r="CD27" s="30" t="s">
        <v>1869</v>
      </c>
      <c r="CE27" s="30" t="s">
        <v>194</v>
      </c>
      <c r="CF27" s="30" t="s">
        <v>1869</v>
      </c>
    </row>
    <row r="28" ht="15.75" customHeight="1">
      <c r="B28" s="30" t="s">
        <v>1018</v>
      </c>
      <c r="C28" s="32">
        <v>10.0</v>
      </c>
      <c r="D28" s="30" t="s">
        <v>1870</v>
      </c>
      <c r="E28" s="31" t="str">
        <f>IFERROR(__xludf.DUMMYFUNCTION("IF(ISBLANK(D28), """", GOOGLETRANSLATE(D28, ""es"", ""en""))"),"Financing Source Code")</f>
        <v>Financing Source Code</v>
      </c>
      <c r="G28" s="30" t="s">
        <v>1871</v>
      </c>
      <c r="H28" s="30">
        <v>2024.0</v>
      </c>
      <c r="I28" s="30" t="s">
        <v>967</v>
      </c>
      <c r="J28" s="30" t="s">
        <v>970</v>
      </c>
      <c r="K28" s="30">
        <v>201.0</v>
      </c>
      <c r="L28" s="30" t="s">
        <v>975</v>
      </c>
      <c r="M28" s="30">
        <v>1.0</v>
      </c>
      <c r="N28" s="30" t="s">
        <v>980</v>
      </c>
      <c r="O28" s="30">
        <v>9.0</v>
      </c>
      <c r="P28" s="30" t="s">
        <v>985</v>
      </c>
      <c r="Q28" s="30" t="s">
        <v>988</v>
      </c>
      <c r="R28" s="30">
        <v>22.0</v>
      </c>
      <c r="S28" s="30" t="s">
        <v>993</v>
      </c>
      <c r="T28" s="30">
        <v>4.0</v>
      </c>
      <c r="U28" s="30" t="s">
        <v>1817</v>
      </c>
      <c r="V28" s="30">
        <v>4.0</v>
      </c>
      <c r="W28" s="30" t="s">
        <v>1863</v>
      </c>
      <c r="X28" s="30">
        <v>52.0</v>
      </c>
      <c r="Y28" s="30" t="s">
        <v>1872</v>
      </c>
      <c r="Z28" s="30" t="s">
        <v>1873</v>
      </c>
      <c r="AA28" s="30">
        <v>100.0</v>
      </c>
      <c r="AB28" s="30" t="s">
        <v>1016</v>
      </c>
      <c r="AC28" s="30">
        <v>10.0</v>
      </c>
      <c r="AD28" s="30" t="s">
        <v>1021</v>
      </c>
      <c r="AE28" s="30">
        <v>100.0</v>
      </c>
      <c r="AF28" s="30" t="s">
        <v>1021</v>
      </c>
      <c r="AG28" s="30">
        <v>4.0</v>
      </c>
      <c r="AH28" s="30" t="s">
        <v>1030</v>
      </c>
      <c r="AI28" s="131">
        <v>45295.0</v>
      </c>
      <c r="AJ28" s="30" t="s">
        <v>1820</v>
      </c>
      <c r="AK28" s="52">
        <v>37260.0</v>
      </c>
      <c r="AL28" s="30" t="s">
        <v>1509</v>
      </c>
      <c r="AM28" s="30">
        <v>2.0</v>
      </c>
      <c r="AN28" s="30" t="s">
        <v>1045</v>
      </c>
      <c r="AO28" s="131">
        <v>45475.0</v>
      </c>
      <c r="AP28" s="30" t="s">
        <v>1050</v>
      </c>
      <c r="AQ28" s="132">
        <v>37074.0</v>
      </c>
      <c r="AR28" s="30" t="s">
        <v>1055</v>
      </c>
      <c r="AS28" s="30" t="s">
        <v>1058</v>
      </c>
      <c r="AT28" s="30" t="s">
        <v>1061</v>
      </c>
      <c r="AU28" s="30" t="s">
        <v>1064</v>
      </c>
      <c r="AV28" s="30" t="s">
        <v>1061</v>
      </c>
      <c r="AW28" s="30">
        <v>2.0</v>
      </c>
      <c r="AX28" s="30" t="s">
        <v>1045</v>
      </c>
      <c r="AY28" s="131">
        <v>45324.0</v>
      </c>
      <c r="AZ28" s="30" t="s">
        <v>1075</v>
      </c>
      <c r="BA28" s="132">
        <v>37289.0</v>
      </c>
      <c r="BB28" s="30" t="s">
        <v>1080</v>
      </c>
      <c r="BC28" s="30" t="s">
        <v>1083</v>
      </c>
      <c r="BD28" s="30" t="s">
        <v>1086</v>
      </c>
      <c r="BE28" s="30" t="s">
        <v>1089</v>
      </c>
      <c r="BF28" s="30" t="s">
        <v>1061</v>
      </c>
      <c r="BG28" s="30" t="s">
        <v>1094</v>
      </c>
      <c r="BH28" s="30" t="s">
        <v>1094</v>
      </c>
      <c r="BI28" s="30" t="s">
        <v>1094</v>
      </c>
      <c r="BJ28" s="30" t="s">
        <v>1094</v>
      </c>
      <c r="BK28" s="30" t="s">
        <v>1094</v>
      </c>
      <c r="BL28" s="30" t="s">
        <v>1094</v>
      </c>
      <c r="BM28" s="30">
        <v>0.0</v>
      </c>
      <c r="BN28" s="30" t="s">
        <v>1109</v>
      </c>
      <c r="BO28" s="30" t="s">
        <v>66</v>
      </c>
      <c r="BP28" s="30" t="s">
        <v>1114</v>
      </c>
      <c r="BQ28" s="30">
        <v>14785.0</v>
      </c>
      <c r="BR28" s="30" t="s">
        <v>1863</v>
      </c>
      <c r="BS28" s="30" t="s">
        <v>1866</v>
      </c>
      <c r="BT28" s="30">
        <v>1.0</v>
      </c>
      <c r="BU28" s="30" t="s">
        <v>1126</v>
      </c>
      <c r="BV28" s="30" t="s">
        <v>66</v>
      </c>
      <c r="BW28" s="30">
        <v>7.0</v>
      </c>
      <c r="BX28" s="30" t="s">
        <v>1767</v>
      </c>
      <c r="BY28" s="30">
        <v>22.0</v>
      </c>
      <c r="BZ28" s="30" t="s">
        <v>1768</v>
      </c>
      <c r="CA28" s="30">
        <v>6.0</v>
      </c>
      <c r="CB28" s="30" t="s">
        <v>1867</v>
      </c>
      <c r="CC28" s="30" t="s">
        <v>1874</v>
      </c>
      <c r="CD28" s="30" t="s">
        <v>1875</v>
      </c>
      <c r="CE28" s="30" t="s">
        <v>194</v>
      </c>
      <c r="CF28" s="30" t="s">
        <v>1875</v>
      </c>
    </row>
    <row r="29" ht="15.75" customHeight="1">
      <c r="B29" s="30" t="s">
        <v>1020</v>
      </c>
      <c r="C29" s="32" t="s">
        <v>1021</v>
      </c>
      <c r="D29" s="30" t="s">
        <v>1876</v>
      </c>
      <c r="E29" s="31" t="str">
        <f>IFERROR(__xludf.DUMMYFUNCTION("IF(ISBLANK(D29), """", GOOGLETRANSLATE(D29, ""es"", ""en""))"),"Name of funding source")</f>
        <v>Name of funding source</v>
      </c>
      <c r="G29" s="30" t="s">
        <v>1877</v>
      </c>
      <c r="H29" s="30">
        <v>2024.0</v>
      </c>
      <c r="I29" s="30" t="s">
        <v>967</v>
      </c>
      <c r="J29" s="30" t="s">
        <v>970</v>
      </c>
      <c r="K29" s="30">
        <v>201.0</v>
      </c>
      <c r="L29" s="30" t="s">
        <v>975</v>
      </c>
      <c r="M29" s="30">
        <v>1.0</v>
      </c>
      <c r="N29" s="30" t="s">
        <v>980</v>
      </c>
      <c r="O29" s="30">
        <v>9.0</v>
      </c>
      <c r="P29" s="30" t="s">
        <v>985</v>
      </c>
      <c r="Q29" s="30" t="s">
        <v>988</v>
      </c>
      <c r="R29" s="30">
        <v>22.0</v>
      </c>
      <c r="S29" s="30" t="s">
        <v>993</v>
      </c>
      <c r="T29" s="30">
        <v>4.0</v>
      </c>
      <c r="U29" s="30" t="s">
        <v>1817</v>
      </c>
      <c r="V29" s="30">
        <v>5.0</v>
      </c>
      <c r="W29" s="30" t="s">
        <v>1878</v>
      </c>
      <c r="X29" s="30">
        <v>51.0</v>
      </c>
      <c r="Y29" s="30" t="s">
        <v>1879</v>
      </c>
      <c r="Z29" s="30" t="s">
        <v>1880</v>
      </c>
      <c r="AA29" s="30">
        <v>100.0</v>
      </c>
      <c r="AB29" s="30" t="s">
        <v>1016</v>
      </c>
      <c r="AC29" s="30">
        <v>10.0</v>
      </c>
      <c r="AD29" s="30" t="s">
        <v>1021</v>
      </c>
      <c r="AE29" s="30">
        <v>100.0</v>
      </c>
      <c r="AF29" s="30" t="s">
        <v>1021</v>
      </c>
      <c r="AG29" s="30">
        <v>4.0</v>
      </c>
      <c r="AH29" s="30" t="s">
        <v>1030</v>
      </c>
      <c r="AI29" s="131">
        <v>45295.0</v>
      </c>
      <c r="AJ29" s="30" t="s">
        <v>1820</v>
      </c>
      <c r="AK29" s="52">
        <v>37260.0</v>
      </c>
      <c r="AL29" s="30" t="s">
        <v>1509</v>
      </c>
      <c r="AM29" s="30">
        <v>2.0</v>
      </c>
      <c r="AN29" s="30" t="s">
        <v>1045</v>
      </c>
      <c r="AO29" s="131">
        <v>45475.0</v>
      </c>
      <c r="AP29" s="30" t="s">
        <v>1050</v>
      </c>
      <c r="AQ29" s="132">
        <v>37074.0</v>
      </c>
      <c r="AR29" s="30" t="s">
        <v>1055</v>
      </c>
      <c r="AS29" s="30" t="s">
        <v>1821</v>
      </c>
      <c r="AT29" s="30" t="s">
        <v>721</v>
      </c>
      <c r="AU29" s="30" t="s">
        <v>722</v>
      </c>
      <c r="AV29" s="30" t="s">
        <v>721</v>
      </c>
      <c r="AW29" s="30">
        <v>2.0</v>
      </c>
      <c r="AX29" s="30" t="s">
        <v>1045</v>
      </c>
      <c r="AY29" s="131">
        <v>45324.0</v>
      </c>
      <c r="AZ29" s="30" t="s">
        <v>1075</v>
      </c>
      <c r="BA29" s="132">
        <v>37289.0</v>
      </c>
      <c r="BB29" s="30" t="s">
        <v>1080</v>
      </c>
      <c r="BC29" s="30" t="s">
        <v>1083</v>
      </c>
      <c r="BD29" s="30" t="s">
        <v>1086</v>
      </c>
      <c r="BE29" s="30" t="s">
        <v>1822</v>
      </c>
      <c r="BF29" s="30" t="s">
        <v>1823</v>
      </c>
      <c r="BG29" s="30" t="s">
        <v>1094</v>
      </c>
      <c r="BH29" s="30" t="s">
        <v>1094</v>
      </c>
      <c r="BI29" s="30" t="s">
        <v>1094</v>
      </c>
      <c r="BJ29" s="30" t="s">
        <v>1094</v>
      </c>
      <c r="BK29" s="30" t="s">
        <v>1094</v>
      </c>
      <c r="BL29" s="30" t="s">
        <v>1094</v>
      </c>
      <c r="BM29" s="30">
        <v>0.0</v>
      </c>
      <c r="BN29" s="30" t="s">
        <v>1109</v>
      </c>
      <c r="BO29" s="30" t="s">
        <v>66</v>
      </c>
      <c r="BP29" s="30" t="s">
        <v>1114</v>
      </c>
      <c r="BQ29" s="30">
        <v>14786.0</v>
      </c>
      <c r="BR29" s="30" t="s">
        <v>1878</v>
      </c>
      <c r="BS29" s="30" t="s">
        <v>1881</v>
      </c>
      <c r="BT29" s="30">
        <v>1.0</v>
      </c>
      <c r="BU29" s="30" t="s">
        <v>1126</v>
      </c>
      <c r="BV29" s="30" t="s">
        <v>66</v>
      </c>
      <c r="BW29" s="30">
        <v>7.0</v>
      </c>
      <c r="BX29" s="30" t="s">
        <v>1767</v>
      </c>
      <c r="BY29" s="30">
        <v>22.0</v>
      </c>
      <c r="BZ29" s="30" t="s">
        <v>1768</v>
      </c>
      <c r="CA29" s="30">
        <v>1.0</v>
      </c>
      <c r="CB29" s="30" t="s">
        <v>1768</v>
      </c>
      <c r="CC29" s="30" t="s">
        <v>1882</v>
      </c>
      <c r="CD29" s="30" t="s">
        <v>1883</v>
      </c>
      <c r="CE29" s="30" t="s">
        <v>194</v>
      </c>
      <c r="CF29" s="30" t="s">
        <v>1883</v>
      </c>
    </row>
    <row r="30" ht="15.75" customHeight="1">
      <c r="B30" s="30" t="s">
        <v>1023</v>
      </c>
      <c r="C30" s="32">
        <v>100.0</v>
      </c>
      <c r="D30" s="30" t="s">
        <v>1884</v>
      </c>
      <c r="E30" s="31" t="str">
        <f>IFERROR(__xludf.DUMMYFUNCTION("IF(ISBLANK(D30), """", GOOGLETRANSLATE(D30, ""es"", ""en""))"),"Specific Source Code")</f>
        <v>Specific Source Code</v>
      </c>
      <c r="G30" s="30" t="s">
        <v>1885</v>
      </c>
      <c r="H30" s="30">
        <v>2024.0</v>
      </c>
      <c r="I30" s="30" t="s">
        <v>967</v>
      </c>
      <c r="J30" s="30" t="s">
        <v>970</v>
      </c>
      <c r="K30" s="30">
        <v>201.0</v>
      </c>
      <c r="L30" s="30" t="s">
        <v>975</v>
      </c>
      <c r="M30" s="30">
        <v>1.0</v>
      </c>
      <c r="N30" s="30" t="s">
        <v>980</v>
      </c>
      <c r="O30" s="30">
        <v>9.0</v>
      </c>
      <c r="P30" s="30" t="s">
        <v>985</v>
      </c>
      <c r="Q30" s="30" t="s">
        <v>988</v>
      </c>
      <c r="R30" s="30">
        <v>22.0</v>
      </c>
      <c r="S30" s="30" t="s">
        <v>993</v>
      </c>
      <c r="T30" s="30">
        <v>4.0</v>
      </c>
      <c r="U30" s="30" t="s">
        <v>1817</v>
      </c>
      <c r="V30" s="30">
        <v>5.0</v>
      </c>
      <c r="W30" s="30" t="s">
        <v>1878</v>
      </c>
      <c r="X30" s="30">
        <v>52.0</v>
      </c>
      <c r="Y30" s="30" t="s">
        <v>1886</v>
      </c>
      <c r="Z30" s="30" t="s">
        <v>1887</v>
      </c>
      <c r="AA30" s="30">
        <v>100.0</v>
      </c>
      <c r="AB30" s="30" t="s">
        <v>1016</v>
      </c>
      <c r="AC30" s="30">
        <v>10.0</v>
      </c>
      <c r="AD30" s="30" t="s">
        <v>1021</v>
      </c>
      <c r="AE30" s="30">
        <v>100.0</v>
      </c>
      <c r="AF30" s="30" t="s">
        <v>1021</v>
      </c>
      <c r="AG30" s="30">
        <v>4.0</v>
      </c>
      <c r="AH30" s="30" t="s">
        <v>1030</v>
      </c>
      <c r="AI30" s="131">
        <v>45295.0</v>
      </c>
      <c r="AJ30" s="30" t="s">
        <v>1820</v>
      </c>
      <c r="AK30" s="52">
        <v>37260.0</v>
      </c>
      <c r="AL30" s="30" t="s">
        <v>1509</v>
      </c>
      <c r="AM30" s="30">
        <v>2.0</v>
      </c>
      <c r="AN30" s="30" t="s">
        <v>1045</v>
      </c>
      <c r="AO30" s="131">
        <v>45475.0</v>
      </c>
      <c r="AP30" s="30" t="s">
        <v>1050</v>
      </c>
      <c r="AQ30" s="132">
        <v>37074.0</v>
      </c>
      <c r="AR30" s="30" t="s">
        <v>1055</v>
      </c>
      <c r="AS30" s="30" t="s">
        <v>1058</v>
      </c>
      <c r="AT30" s="30" t="s">
        <v>1061</v>
      </c>
      <c r="AU30" s="30" t="s">
        <v>1064</v>
      </c>
      <c r="AV30" s="30" t="s">
        <v>1061</v>
      </c>
      <c r="AW30" s="30">
        <v>2.0</v>
      </c>
      <c r="AX30" s="30" t="s">
        <v>1045</v>
      </c>
      <c r="AY30" s="131">
        <v>45324.0</v>
      </c>
      <c r="AZ30" s="30" t="s">
        <v>1075</v>
      </c>
      <c r="BA30" s="132">
        <v>37289.0</v>
      </c>
      <c r="BB30" s="30" t="s">
        <v>1080</v>
      </c>
      <c r="BC30" s="30" t="s">
        <v>1083</v>
      </c>
      <c r="BD30" s="30" t="s">
        <v>1086</v>
      </c>
      <c r="BE30" s="30" t="s">
        <v>1089</v>
      </c>
      <c r="BF30" s="30" t="s">
        <v>1061</v>
      </c>
      <c r="BG30" s="30" t="s">
        <v>1094</v>
      </c>
      <c r="BH30" s="30" t="s">
        <v>1094</v>
      </c>
      <c r="BI30" s="30" t="s">
        <v>1094</v>
      </c>
      <c r="BJ30" s="30" t="s">
        <v>1094</v>
      </c>
      <c r="BK30" s="30" t="s">
        <v>1094</v>
      </c>
      <c r="BL30" s="30" t="s">
        <v>1094</v>
      </c>
      <c r="BM30" s="30">
        <v>0.0</v>
      </c>
      <c r="BN30" s="30" t="s">
        <v>1109</v>
      </c>
      <c r="BO30" s="30" t="s">
        <v>66</v>
      </c>
      <c r="BP30" s="30" t="s">
        <v>1114</v>
      </c>
      <c r="BQ30" s="30">
        <v>14786.0</v>
      </c>
      <c r="BR30" s="30" t="s">
        <v>1878</v>
      </c>
      <c r="BS30" s="30" t="s">
        <v>1881</v>
      </c>
      <c r="BT30" s="30">
        <v>1.0</v>
      </c>
      <c r="BU30" s="30" t="s">
        <v>1126</v>
      </c>
      <c r="BV30" s="30" t="s">
        <v>66</v>
      </c>
      <c r="BW30" s="30">
        <v>7.0</v>
      </c>
      <c r="BX30" s="30" t="s">
        <v>1767</v>
      </c>
      <c r="BY30" s="30">
        <v>22.0</v>
      </c>
      <c r="BZ30" s="30" t="s">
        <v>1768</v>
      </c>
      <c r="CA30" s="30">
        <v>1.0</v>
      </c>
      <c r="CB30" s="30" t="s">
        <v>1768</v>
      </c>
      <c r="CC30" s="30" t="s">
        <v>1888</v>
      </c>
      <c r="CD30" s="30" t="s">
        <v>1889</v>
      </c>
      <c r="CE30" s="30" t="s">
        <v>194</v>
      </c>
      <c r="CF30" s="30" t="s">
        <v>1889</v>
      </c>
    </row>
    <row r="31" ht="15.75" customHeight="1">
      <c r="B31" s="30" t="s">
        <v>1025</v>
      </c>
      <c r="C31" s="32" t="s">
        <v>1021</v>
      </c>
      <c r="D31" s="30" t="s">
        <v>1890</v>
      </c>
      <c r="E31" s="31" t="str">
        <f>IFERROR(__xludf.DUMMYFUNCTION("IF(ISBLANK(D31), """", GOOGLETRANSLATE(D31, ""es"", ""en""))"),"Specific font name")</f>
        <v>Specific font name</v>
      </c>
      <c r="G31" s="30" t="s">
        <v>1891</v>
      </c>
      <c r="H31" s="30">
        <v>2024.0</v>
      </c>
      <c r="I31" s="30" t="s">
        <v>967</v>
      </c>
      <c r="J31" s="30" t="s">
        <v>970</v>
      </c>
      <c r="K31" s="30">
        <v>201.0</v>
      </c>
      <c r="L31" s="30" t="s">
        <v>975</v>
      </c>
      <c r="M31" s="30">
        <v>1.0</v>
      </c>
      <c r="N31" s="30" t="s">
        <v>980</v>
      </c>
      <c r="O31" s="30">
        <v>9.0</v>
      </c>
      <c r="P31" s="30" t="s">
        <v>985</v>
      </c>
      <c r="Q31" s="30" t="s">
        <v>988</v>
      </c>
      <c r="R31" s="30">
        <v>22.0</v>
      </c>
      <c r="S31" s="30" t="s">
        <v>993</v>
      </c>
      <c r="T31" s="30">
        <v>4.0</v>
      </c>
      <c r="U31" s="30" t="s">
        <v>1817</v>
      </c>
      <c r="V31" s="30">
        <v>6.0</v>
      </c>
      <c r="W31" s="30" t="s">
        <v>1892</v>
      </c>
      <c r="X31" s="30">
        <v>51.0</v>
      </c>
      <c r="Y31" s="30" t="s">
        <v>1893</v>
      </c>
      <c r="Z31" s="30" t="s">
        <v>1894</v>
      </c>
      <c r="AA31" s="30">
        <v>100.0</v>
      </c>
      <c r="AB31" s="30" t="s">
        <v>1016</v>
      </c>
      <c r="AC31" s="30">
        <v>10.0</v>
      </c>
      <c r="AD31" s="30" t="s">
        <v>1021</v>
      </c>
      <c r="AE31" s="30">
        <v>100.0</v>
      </c>
      <c r="AF31" s="30" t="s">
        <v>1021</v>
      </c>
      <c r="AG31" s="30">
        <v>4.0</v>
      </c>
      <c r="AH31" s="30" t="s">
        <v>1030</v>
      </c>
      <c r="AI31" s="131">
        <v>45295.0</v>
      </c>
      <c r="AJ31" s="30" t="s">
        <v>1820</v>
      </c>
      <c r="AK31" s="52">
        <v>37260.0</v>
      </c>
      <c r="AL31" s="30" t="s">
        <v>1509</v>
      </c>
      <c r="AM31" s="30">
        <v>2.0</v>
      </c>
      <c r="AN31" s="30" t="s">
        <v>1045</v>
      </c>
      <c r="AO31" s="131">
        <v>45475.0</v>
      </c>
      <c r="AP31" s="30" t="s">
        <v>1050</v>
      </c>
      <c r="AQ31" s="132">
        <v>37074.0</v>
      </c>
      <c r="AR31" s="30" t="s">
        <v>1055</v>
      </c>
      <c r="AS31" s="30" t="s">
        <v>1821</v>
      </c>
      <c r="AT31" s="30" t="s">
        <v>721</v>
      </c>
      <c r="AU31" s="30" t="s">
        <v>722</v>
      </c>
      <c r="AV31" s="30" t="s">
        <v>721</v>
      </c>
      <c r="AW31" s="30">
        <v>2.0</v>
      </c>
      <c r="AX31" s="30" t="s">
        <v>1045</v>
      </c>
      <c r="AY31" s="131">
        <v>45324.0</v>
      </c>
      <c r="AZ31" s="30" t="s">
        <v>1075</v>
      </c>
      <c r="BA31" s="132">
        <v>37289.0</v>
      </c>
      <c r="BB31" s="30" t="s">
        <v>1080</v>
      </c>
      <c r="BC31" s="30" t="s">
        <v>1083</v>
      </c>
      <c r="BD31" s="30" t="s">
        <v>1086</v>
      </c>
      <c r="BE31" s="30" t="s">
        <v>1822</v>
      </c>
      <c r="BF31" s="30" t="s">
        <v>1823</v>
      </c>
      <c r="BG31" s="30" t="s">
        <v>1094</v>
      </c>
      <c r="BH31" s="30" t="s">
        <v>1094</v>
      </c>
      <c r="BI31" s="30" t="s">
        <v>1094</v>
      </c>
      <c r="BJ31" s="30" t="s">
        <v>1094</v>
      </c>
      <c r="BK31" s="30" t="s">
        <v>1094</v>
      </c>
      <c r="BL31" s="30" t="s">
        <v>1094</v>
      </c>
      <c r="BM31" s="30">
        <v>0.0</v>
      </c>
      <c r="BN31" s="30" t="s">
        <v>1109</v>
      </c>
      <c r="BO31" s="30" t="s">
        <v>66</v>
      </c>
      <c r="BP31" s="30" t="s">
        <v>1114</v>
      </c>
      <c r="BQ31" s="30">
        <v>14787.0</v>
      </c>
      <c r="BR31" s="30" t="s">
        <v>1892</v>
      </c>
      <c r="BS31" s="30" t="s">
        <v>1895</v>
      </c>
      <c r="BT31" s="30">
        <v>1.0</v>
      </c>
      <c r="BU31" s="30" t="s">
        <v>1126</v>
      </c>
      <c r="BV31" s="30" t="s">
        <v>66</v>
      </c>
      <c r="BW31" s="30">
        <v>7.0</v>
      </c>
      <c r="BX31" s="30" t="s">
        <v>1767</v>
      </c>
      <c r="BY31" s="30">
        <v>22.0</v>
      </c>
      <c r="BZ31" s="30" t="s">
        <v>1768</v>
      </c>
      <c r="CA31" s="30">
        <v>1.0</v>
      </c>
      <c r="CB31" s="30" t="s">
        <v>1768</v>
      </c>
      <c r="CC31" s="30" t="s">
        <v>1896</v>
      </c>
      <c r="CD31" s="30" t="s">
        <v>1897</v>
      </c>
      <c r="CE31" s="30" t="s">
        <v>194</v>
      </c>
      <c r="CF31" s="30" t="s">
        <v>1897</v>
      </c>
    </row>
    <row r="32" ht="15.75" customHeight="1">
      <c r="B32" s="30" t="s">
        <v>1027</v>
      </c>
      <c r="C32" s="32">
        <v>4.0</v>
      </c>
      <c r="D32" s="30" t="s">
        <v>1898</v>
      </c>
      <c r="E32" s="31" t="str">
        <f>IFERROR(__xludf.DUMMYFUNCTION("IF(ISBLANK(D32), """", GOOGLETRANSLATE(D32, ""es"", ""en""))"),"Purpose Code")</f>
        <v>Purpose Code</v>
      </c>
      <c r="G32" s="30" t="s">
        <v>1899</v>
      </c>
      <c r="H32" s="30">
        <v>2024.0</v>
      </c>
      <c r="I32" s="30" t="s">
        <v>967</v>
      </c>
      <c r="J32" s="30" t="s">
        <v>970</v>
      </c>
      <c r="K32" s="30">
        <v>201.0</v>
      </c>
      <c r="L32" s="30" t="s">
        <v>975</v>
      </c>
      <c r="M32" s="30">
        <v>1.0</v>
      </c>
      <c r="N32" s="30" t="s">
        <v>980</v>
      </c>
      <c r="O32" s="30">
        <v>9.0</v>
      </c>
      <c r="P32" s="30" t="s">
        <v>985</v>
      </c>
      <c r="Q32" s="30" t="s">
        <v>988</v>
      </c>
      <c r="R32" s="30">
        <v>22.0</v>
      </c>
      <c r="S32" s="30" t="s">
        <v>993</v>
      </c>
      <c r="T32" s="30">
        <v>4.0</v>
      </c>
      <c r="U32" s="30" t="s">
        <v>1817</v>
      </c>
      <c r="V32" s="30">
        <v>6.0</v>
      </c>
      <c r="W32" s="30" t="s">
        <v>1892</v>
      </c>
      <c r="X32" s="30">
        <v>52.0</v>
      </c>
      <c r="Y32" s="30" t="s">
        <v>1900</v>
      </c>
      <c r="Z32" s="30" t="s">
        <v>1901</v>
      </c>
      <c r="AA32" s="30">
        <v>100.0</v>
      </c>
      <c r="AB32" s="30" t="s">
        <v>1016</v>
      </c>
      <c r="AC32" s="30">
        <v>10.0</v>
      </c>
      <c r="AD32" s="30" t="s">
        <v>1021</v>
      </c>
      <c r="AE32" s="30">
        <v>100.0</v>
      </c>
      <c r="AF32" s="30" t="s">
        <v>1021</v>
      </c>
      <c r="AG32" s="30">
        <v>4.0</v>
      </c>
      <c r="AH32" s="30" t="s">
        <v>1030</v>
      </c>
      <c r="AI32" s="131">
        <v>45295.0</v>
      </c>
      <c r="AJ32" s="30" t="s">
        <v>1820</v>
      </c>
      <c r="AK32" s="52">
        <v>37260.0</v>
      </c>
      <c r="AL32" s="30" t="s">
        <v>1509</v>
      </c>
      <c r="AM32" s="30">
        <v>2.0</v>
      </c>
      <c r="AN32" s="30" t="s">
        <v>1045</v>
      </c>
      <c r="AO32" s="131">
        <v>45475.0</v>
      </c>
      <c r="AP32" s="30" t="s">
        <v>1050</v>
      </c>
      <c r="AQ32" s="132">
        <v>37074.0</v>
      </c>
      <c r="AR32" s="30" t="s">
        <v>1055</v>
      </c>
      <c r="AS32" s="30" t="s">
        <v>1058</v>
      </c>
      <c r="AT32" s="30" t="s">
        <v>1061</v>
      </c>
      <c r="AU32" s="30" t="s">
        <v>1064</v>
      </c>
      <c r="AV32" s="30" t="s">
        <v>1061</v>
      </c>
      <c r="AW32" s="30">
        <v>2.0</v>
      </c>
      <c r="AX32" s="30" t="s">
        <v>1045</v>
      </c>
      <c r="AY32" s="131">
        <v>45324.0</v>
      </c>
      <c r="AZ32" s="30" t="s">
        <v>1075</v>
      </c>
      <c r="BA32" s="132">
        <v>37289.0</v>
      </c>
      <c r="BB32" s="30" t="s">
        <v>1080</v>
      </c>
      <c r="BC32" s="30" t="s">
        <v>1083</v>
      </c>
      <c r="BD32" s="30" t="s">
        <v>1086</v>
      </c>
      <c r="BE32" s="30" t="s">
        <v>1089</v>
      </c>
      <c r="BF32" s="30" t="s">
        <v>1061</v>
      </c>
      <c r="BG32" s="30" t="s">
        <v>1094</v>
      </c>
      <c r="BH32" s="30" t="s">
        <v>1094</v>
      </c>
      <c r="BI32" s="30" t="s">
        <v>1094</v>
      </c>
      <c r="BJ32" s="30" t="s">
        <v>1094</v>
      </c>
      <c r="BK32" s="30" t="s">
        <v>1094</v>
      </c>
      <c r="BL32" s="30" t="s">
        <v>1094</v>
      </c>
      <c r="BM32" s="30">
        <v>0.0</v>
      </c>
      <c r="BN32" s="30" t="s">
        <v>1109</v>
      </c>
      <c r="BO32" s="30" t="s">
        <v>66</v>
      </c>
      <c r="BP32" s="30" t="s">
        <v>1114</v>
      </c>
      <c r="BQ32" s="30">
        <v>14787.0</v>
      </c>
      <c r="BR32" s="30" t="s">
        <v>1892</v>
      </c>
      <c r="BS32" s="30" t="s">
        <v>1895</v>
      </c>
      <c r="BT32" s="30">
        <v>1.0</v>
      </c>
      <c r="BU32" s="30" t="s">
        <v>1126</v>
      </c>
      <c r="BV32" s="30" t="s">
        <v>66</v>
      </c>
      <c r="BW32" s="30">
        <v>7.0</v>
      </c>
      <c r="BX32" s="30" t="s">
        <v>1767</v>
      </c>
      <c r="BY32" s="30">
        <v>22.0</v>
      </c>
      <c r="BZ32" s="30" t="s">
        <v>1768</v>
      </c>
      <c r="CA32" s="30">
        <v>1.0</v>
      </c>
      <c r="CB32" s="30" t="s">
        <v>1768</v>
      </c>
      <c r="CC32" s="30" t="s">
        <v>1902</v>
      </c>
      <c r="CD32" s="30" t="s">
        <v>1875</v>
      </c>
      <c r="CE32" s="30" t="s">
        <v>194</v>
      </c>
      <c r="CF32" s="30" t="s">
        <v>1875</v>
      </c>
    </row>
    <row r="33" ht="15.75" customHeight="1">
      <c r="B33" s="30" t="s">
        <v>1029</v>
      </c>
      <c r="C33" s="32" t="s">
        <v>1030</v>
      </c>
      <c r="D33" s="30" t="s">
        <v>1903</v>
      </c>
      <c r="E33" s="31" t="str">
        <f>IFERROR(__xludf.DUMMYFUNCTION("IF(ISBLANK(D33), """", GOOGLETRANSLATE(D33, ""es"", ""en""))"),"Purpose Description")</f>
        <v>Purpose Description</v>
      </c>
      <c r="G33" s="30" t="s">
        <v>1904</v>
      </c>
      <c r="H33" s="30">
        <v>2024.0</v>
      </c>
      <c r="I33" s="30" t="s">
        <v>967</v>
      </c>
      <c r="J33" s="30" t="s">
        <v>970</v>
      </c>
      <c r="K33" s="30">
        <v>201.0</v>
      </c>
      <c r="L33" s="30" t="s">
        <v>975</v>
      </c>
      <c r="M33" s="30">
        <v>1.0</v>
      </c>
      <c r="N33" s="30" t="s">
        <v>980</v>
      </c>
      <c r="O33" s="30">
        <v>9.0</v>
      </c>
      <c r="P33" s="30" t="s">
        <v>985</v>
      </c>
      <c r="Q33" s="30" t="s">
        <v>988</v>
      </c>
      <c r="R33" s="30">
        <v>22.0</v>
      </c>
      <c r="S33" s="30" t="s">
        <v>993</v>
      </c>
      <c r="T33" s="30">
        <v>4.0</v>
      </c>
      <c r="U33" s="30" t="s">
        <v>1817</v>
      </c>
      <c r="V33" s="30">
        <v>7.0</v>
      </c>
      <c r="W33" s="30" t="s">
        <v>1905</v>
      </c>
      <c r="X33" s="30">
        <v>51.0</v>
      </c>
      <c r="Y33" s="30" t="s">
        <v>1906</v>
      </c>
      <c r="Z33" s="30" t="s">
        <v>1907</v>
      </c>
      <c r="AA33" s="30">
        <v>100.0</v>
      </c>
      <c r="AB33" s="30" t="s">
        <v>1016</v>
      </c>
      <c r="AC33" s="30">
        <v>10.0</v>
      </c>
      <c r="AD33" s="30" t="s">
        <v>1021</v>
      </c>
      <c r="AE33" s="30">
        <v>100.0</v>
      </c>
      <c r="AF33" s="30" t="s">
        <v>1021</v>
      </c>
      <c r="AG33" s="30">
        <v>4.0</v>
      </c>
      <c r="AH33" s="30" t="s">
        <v>1030</v>
      </c>
      <c r="AI33" s="131">
        <v>45295.0</v>
      </c>
      <c r="AJ33" s="30" t="s">
        <v>1820</v>
      </c>
      <c r="AK33" s="52">
        <v>37260.0</v>
      </c>
      <c r="AL33" s="30" t="s">
        <v>1509</v>
      </c>
      <c r="AM33" s="30">
        <v>2.0</v>
      </c>
      <c r="AN33" s="30" t="s">
        <v>1045</v>
      </c>
      <c r="AO33" s="131">
        <v>45475.0</v>
      </c>
      <c r="AP33" s="30" t="s">
        <v>1050</v>
      </c>
      <c r="AQ33" s="132">
        <v>37074.0</v>
      </c>
      <c r="AR33" s="30" t="s">
        <v>1055</v>
      </c>
      <c r="AS33" s="30" t="s">
        <v>1821</v>
      </c>
      <c r="AT33" s="30" t="s">
        <v>721</v>
      </c>
      <c r="AU33" s="30" t="s">
        <v>722</v>
      </c>
      <c r="AV33" s="30" t="s">
        <v>721</v>
      </c>
      <c r="AW33" s="30">
        <v>2.0</v>
      </c>
      <c r="AX33" s="30" t="s">
        <v>1045</v>
      </c>
      <c r="AY33" s="131">
        <v>45324.0</v>
      </c>
      <c r="AZ33" s="30" t="s">
        <v>1075</v>
      </c>
      <c r="BA33" s="132">
        <v>37289.0</v>
      </c>
      <c r="BB33" s="30" t="s">
        <v>1080</v>
      </c>
      <c r="BC33" s="30" t="s">
        <v>1083</v>
      </c>
      <c r="BD33" s="30" t="s">
        <v>1086</v>
      </c>
      <c r="BE33" s="30" t="s">
        <v>1822</v>
      </c>
      <c r="BF33" s="30" t="s">
        <v>1823</v>
      </c>
      <c r="BG33" s="30" t="s">
        <v>1094</v>
      </c>
      <c r="BH33" s="30" t="s">
        <v>1094</v>
      </c>
      <c r="BI33" s="30" t="s">
        <v>1094</v>
      </c>
      <c r="BJ33" s="30" t="s">
        <v>1094</v>
      </c>
      <c r="BK33" s="30" t="s">
        <v>1094</v>
      </c>
      <c r="BL33" s="30" t="s">
        <v>1094</v>
      </c>
      <c r="BM33" s="30">
        <v>0.0</v>
      </c>
      <c r="BN33" s="30" t="s">
        <v>1109</v>
      </c>
      <c r="BO33" s="30" t="s">
        <v>66</v>
      </c>
      <c r="BP33" s="30" t="s">
        <v>1114</v>
      </c>
      <c r="BQ33" s="30">
        <v>14788.0</v>
      </c>
      <c r="BR33" s="30" t="s">
        <v>1905</v>
      </c>
      <c r="BS33" s="30" t="s">
        <v>1908</v>
      </c>
      <c r="BT33" s="30">
        <v>1.0</v>
      </c>
      <c r="BU33" s="30" t="s">
        <v>1126</v>
      </c>
      <c r="BV33" s="30" t="s">
        <v>66</v>
      </c>
      <c r="BW33" s="30">
        <v>7.0</v>
      </c>
      <c r="BX33" s="30" t="s">
        <v>1767</v>
      </c>
      <c r="BY33" s="30">
        <v>22.0</v>
      </c>
      <c r="BZ33" s="30" t="s">
        <v>1768</v>
      </c>
      <c r="CA33" s="30">
        <v>1.0</v>
      </c>
      <c r="CB33" s="30" t="s">
        <v>1768</v>
      </c>
      <c r="CC33" s="30" t="s">
        <v>1909</v>
      </c>
      <c r="CD33" s="30" t="s">
        <v>1897</v>
      </c>
      <c r="CE33" s="30" t="s">
        <v>1910</v>
      </c>
      <c r="CF33" s="30" t="s">
        <v>1911</v>
      </c>
    </row>
    <row r="34" ht="15.75" customHeight="1">
      <c r="B34" s="30" t="s">
        <v>1032</v>
      </c>
      <c r="C34" s="66">
        <v>45355.0</v>
      </c>
      <c r="D34" s="30" t="s">
        <v>1912</v>
      </c>
      <c r="E34" s="31" t="str">
        <f>IFERROR(__xludf.DUMMYFUNCTION("IF(ISBLANK(D34), """", GOOGLETRANSLATE(D34, ""es"", ""en""))"),"Function Code")</f>
        <v>Function Code</v>
      </c>
      <c r="G34" s="30" t="s">
        <v>1913</v>
      </c>
      <c r="H34" s="30">
        <v>2024.0</v>
      </c>
      <c r="I34" s="30" t="s">
        <v>967</v>
      </c>
      <c r="J34" s="30" t="s">
        <v>970</v>
      </c>
      <c r="K34" s="30">
        <v>201.0</v>
      </c>
      <c r="L34" s="30" t="s">
        <v>975</v>
      </c>
      <c r="M34" s="30">
        <v>1.0</v>
      </c>
      <c r="N34" s="30" t="s">
        <v>980</v>
      </c>
      <c r="O34" s="30">
        <v>9.0</v>
      </c>
      <c r="P34" s="30" t="s">
        <v>985</v>
      </c>
      <c r="Q34" s="30" t="s">
        <v>988</v>
      </c>
      <c r="R34" s="30">
        <v>22.0</v>
      </c>
      <c r="S34" s="30" t="s">
        <v>993</v>
      </c>
      <c r="T34" s="30">
        <v>4.0</v>
      </c>
      <c r="U34" s="30" t="s">
        <v>1817</v>
      </c>
      <c r="V34" s="30">
        <v>7.0</v>
      </c>
      <c r="W34" s="30" t="s">
        <v>1905</v>
      </c>
      <c r="X34" s="30">
        <v>52.0</v>
      </c>
      <c r="Y34" s="30" t="s">
        <v>1914</v>
      </c>
      <c r="Z34" s="30" t="s">
        <v>1915</v>
      </c>
      <c r="AA34" s="30">
        <v>100.0</v>
      </c>
      <c r="AB34" s="30" t="s">
        <v>1016</v>
      </c>
      <c r="AC34" s="30">
        <v>10.0</v>
      </c>
      <c r="AD34" s="30" t="s">
        <v>1021</v>
      </c>
      <c r="AE34" s="30">
        <v>100.0</v>
      </c>
      <c r="AF34" s="30" t="s">
        <v>1021</v>
      </c>
      <c r="AG34" s="30">
        <v>4.0</v>
      </c>
      <c r="AH34" s="30" t="s">
        <v>1030</v>
      </c>
      <c r="AI34" s="131">
        <v>45295.0</v>
      </c>
      <c r="AJ34" s="30" t="s">
        <v>1820</v>
      </c>
      <c r="AK34" s="52">
        <v>37260.0</v>
      </c>
      <c r="AL34" s="30" t="s">
        <v>1509</v>
      </c>
      <c r="AM34" s="30">
        <v>2.0</v>
      </c>
      <c r="AN34" s="30" t="s">
        <v>1045</v>
      </c>
      <c r="AO34" s="131">
        <v>45475.0</v>
      </c>
      <c r="AP34" s="30" t="s">
        <v>1050</v>
      </c>
      <c r="AQ34" s="132">
        <v>37074.0</v>
      </c>
      <c r="AR34" s="30" t="s">
        <v>1055</v>
      </c>
      <c r="AS34" s="30" t="s">
        <v>1058</v>
      </c>
      <c r="AT34" s="30" t="s">
        <v>1061</v>
      </c>
      <c r="AU34" s="30" t="s">
        <v>1064</v>
      </c>
      <c r="AV34" s="30" t="s">
        <v>1061</v>
      </c>
      <c r="AW34" s="30">
        <v>2.0</v>
      </c>
      <c r="AX34" s="30" t="s">
        <v>1045</v>
      </c>
      <c r="AY34" s="131">
        <v>45324.0</v>
      </c>
      <c r="AZ34" s="30" t="s">
        <v>1075</v>
      </c>
      <c r="BA34" s="132">
        <v>37289.0</v>
      </c>
      <c r="BB34" s="30" t="s">
        <v>1080</v>
      </c>
      <c r="BC34" s="30" t="s">
        <v>1083</v>
      </c>
      <c r="BD34" s="30" t="s">
        <v>1086</v>
      </c>
      <c r="BE34" s="30" t="s">
        <v>1089</v>
      </c>
      <c r="BF34" s="30" t="s">
        <v>1061</v>
      </c>
      <c r="BG34" s="30" t="s">
        <v>1094</v>
      </c>
      <c r="BH34" s="30" t="s">
        <v>1094</v>
      </c>
      <c r="BI34" s="30" t="s">
        <v>1094</v>
      </c>
      <c r="BJ34" s="30" t="s">
        <v>1094</v>
      </c>
      <c r="BK34" s="30" t="s">
        <v>1094</v>
      </c>
      <c r="BL34" s="30" t="s">
        <v>1094</v>
      </c>
      <c r="BM34" s="30">
        <v>0.0</v>
      </c>
      <c r="BN34" s="30" t="s">
        <v>1109</v>
      </c>
      <c r="BO34" s="30" t="s">
        <v>66</v>
      </c>
      <c r="BP34" s="30" t="s">
        <v>1114</v>
      </c>
      <c r="BQ34" s="30">
        <v>14788.0</v>
      </c>
      <c r="BR34" s="30" t="s">
        <v>1905</v>
      </c>
      <c r="BS34" s="30" t="s">
        <v>1908</v>
      </c>
      <c r="BT34" s="30">
        <v>1.0</v>
      </c>
      <c r="BU34" s="30" t="s">
        <v>1126</v>
      </c>
      <c r="BV34" s="30" t="s">
        <v>66</v>
      </c>
      <c r="BW34" s="30">
        <v>7.0</v>
      </c>
      <c r="BX34" s="30" t="s">
        <v>1767</v>
      </c>
      <c r="BY34" s="30">
        <v>22.0</v>
      </c>
      <c r="BZ34" s="30" t="s">
        <v>1768</v>
      </c>
      <c r="CA34" s="30">
        <v>1.0</v>
      </c>
      <c r="CB34" s="30" t="s">
        <v>1768</v>
      </c>
      <c r="CC34" s="30" t="s">
        <v>1916</v>
      </c>
      <c r="CD34" s="30" t="s">
        <v>1875</v>
      </c>
      <c r="CE34" s="30" t="s">
        <v>194</v>
      </c>
      <c r="CF34" s="30" t="s">
        <v>1875</v>
      </c>
    </row>
    <row r="35" ht="15.75" customHeight="1">
      <c r="B35" s="30" t="s">
        <v>1034</v>
      </c>
      <c r="C35" s="32" t="s">
        <v>1035</v>
      </c>
      <c r="D35" s="30" t="s">
        <v>1917</v>
      </c>
      <c r="E35" s="31" t="str">
        <f>IFERROR(__xludf.DUMMYFUNCTION("IF(ISBLANK(D35), """", GOOGLETRANSLATE(D35, ""es"", ""en""))"),"Function Description")</f>
        <v>Function Description</v>
      </c>
      <c r="G35" s="30" t="s">
        <v>1918</v>
      </c>
      <c r="H35" s="30">
        <v>2024.0</v>
      </c>
      <c r="I35" s="30" t="s">
        <v>967</v>
      </c>
      <c r="J35" s="30" t="s">
        <v>970</v>
      </c>
      <c r="K35" s="30">
        <v>201.0</v>
      </c>
      <c r="L35" s="30" t="s">
        <v>975</v>
      </c>
      <c r="M35" s="30">
        <v>1.0</v>
      </c>
      <c r="N35" s="30" t="s">
        <v>980</v>
      </c>
      <c r="O35" s="30">
        <v>9.0</v>
      </c>
      <c r="P35" s="30" t="s">
        <v>985</v>
      </c>
      <c r="Q35" s="30" t="s">
        <v>988</v>
      </c>
      <c r="R35" s="30">
        <v>22.0</v>
      </c>
      <c r="S35" s="30" t="s">
        <v>993</v>
      </c>
      <c r="T35" s="30">
        <v>4.0</v>
      </c>
      <c r="U35" s="30" t="s">
        <v>1817</v>
      </c>
      <c r="V35" s="30">
        <v>9.0</v>
      </c>
      <c r="W35" s="30" t="s">
        <v>1919</v>
      </c>
      <c r="X35" s="30">
        <v>51.0</v>
      </c>
      <c r="Y35" s="30" t="s">
        <v>1920</v>
      </c>
      <c r="Z35" s="30" t="s">
        <v>1921</v>
      </c>
      <c r="AA35" s="30">
        <v>100.0</v>
      </c>
      <c r="AB35" s="30" t="s">
        <v>1016</v>
      </c>
      <c r="AC35" s="30">
        <v>10.0</v>
      </c>
      <c r="AD35" s="30" t="s">
        <v>1021</v>
      </c>
      <c r="AE35" s="30">
        <v>100.0</v>
      </c>
      <c r="AF35" s="30" t="s">
        <v>1021</v>
      </c>
      <c r="AG35" s="30">
        <v>4.0</v>
      </c>
      <c r="AH35" s="30" t="s">
        <v>1030</v>
      </c>
      <c r="AI35" s="131">
        <v>45295.0</v>
      </c>
      <c r="AJ35" s="30" t="s">
        <v>1820</v>
      </c>
      <c r="AK35" s="52">
        <v>37260.0</v>
      </c>
      <c r="AL35" s="30" t="s">
        <v>1509</v>
      </c>
      <c r="AM35" s="30">
        <v>2.0</v>
      </c>
      <c r="AN35" s="30" t="s">
        <v>1045</v>
      </c>
      <c r="AO35" s="131">
        <v>45475.0</v>
      </c>
      <c r="AP35" s="30" t="s">
        <v>1050</v>
      </c>
      <c r="AQ35" s="132">
        <v>37074.0</v>
      </c>
      <c r="AR35" s="30" t="s">
        <v>1055</v>
      </c>
      <c r="AS35" s="30" t="s">
        <v>1821</v>
      </c>
      <c r="AT35" s="30" t="s">
        <v>721</v>
      </c>
      <c r="AU35" s="30" t="s">
        <v>722</v>
      </c>
      <c r="AV35" s="30" t="s">
        <v>721</v>
      </c>
      <c r="AW35" s="30">
        <v>2.0</v>
      </c>
      <c r="AX35" s="30" t="s">
        <v>1045</v>
      </c>
      <c r="AY35" s="131">
        <v>45324.0</v>
      </c>
      <c r="AZ35" s="30" t="s">
        <v>1075</v>
      </c>
      <c r="BA35" s="132">
        <v>37289.0</v>
      </c>
      <c r="BB35" s="30" t="s">
        <v>1080</v>
      </c>
      <c r="BC35" s="30" t="s">
        <v>1083</v>
      </c>
      <c r="BD35" s="30" t="s">
        <v>1086</v>
      </c>
      <c r="BE35" s="30" t="s">
        <v>1822</v>
      </c>
      <c r="BF35" s="30" t="s">
        <v>1823</v>
      </c>
      <c r="BG35" s="30" t="s">
        <v>1094</v>
      </c>
      <c r="BH35" s="30" t="s">
        <v>1094</v>
      </c>
      <c r="BI35" s="30" t="s">
        <v>1094</v>
      </c>
      <c r="BJ35" s="30" t="s">
        <v>1094</v>
      </c>
      <c r="BK35" s="30" t="s">
        <v>1094</v>
      </c>
      <c r="BL35" s="30" t="s">
        <v>1094</v>
      </c>
      <c r="BM35" s="30">
        <v>0.0</v>
      </c>
      <c r="BN35" s="30" t="s">
        <v>1109</v>
      </c>
      <c r="BO35" s="30" t="s">
        <v>66</v>
      </c>
      <c r="BP35" s="30" t="s">
        <v>1114</v>
      </c>
      <c r="BQ35" s="30">
        <v>14645.0</v>
      </c>
      <c r="BR35" s="30" t="s">
        <v>1919</v>
      </c>
      <c r="BS35" s="30" t="s">
        <v>1922</v>
      </c>
      <c r="BT35" s="30">
        <v>1.0</v>
      </c>
      <c r="BU35" s="30" t="s">
        <v>1126</v>
      </c>
      <c r="BV35" s="30" t="s">
        <v>66</v>
      </c>
      <c r="BW35" s="30">
        <v>6.0</v>
      </c>
      <c r="BX35" s="30" t="s">
        <v>1842</v>
      </c>
      <c r="BY35" s="30">
        <v>4.0</v>
      </c>
      <c r="BZ35" s="30" t="s">
        <v>915</v>
      </c>
      <c r="CA35" s="30">
        <v>2.0</v>
      </c>
      <c r="CB35" s="30" t="s">
        <v>1923</v>
      </c>
      <c r="CC35" s="30" t="s">
        <v>1924</v>
      </c>
      <c r="CD35" s="30" t="s">
        <v>1925</v>
      </c>
      <c r="CE35" s="30" t="s">
        <v>1926</v>
      </c>
      <c r="CF35" s="30" t="s">
        <v>1927</v>
      </c>
    </row>
    <row r="36" ht="15.75" customHeight="1">
      <c r="B36" s="30" t="s">
        <v>1037</v>
      </c>
      <c r="C36" s="53">
        <v>37319.0</v>
      </c>
      <c r="D36" s="30" t="s">
        <v>1928</v>
      </c>
      <c r="E36" s="31" t="str">
        <f>IFERROR(__xludf.DUMMYFUNCTION("IF(ISBLANK(D36), """", GOOGLETRANSLATE(D36, ""es"", ""en""))"),"Subfunction Code")</f>
        <v>Subfunction Code</v>
      </c>
    </row>
    <row r="37" ht="15.75" customHeight="1">
      <c r="B37" s="30" t="s">
        <v>1039</v>
      </c>
      <c r="C37" s="32" t="s">
        <v>1040</v>
      </c>
      <c r="D37" s="30" t="s">
        <v>1929</v>
      </c>
      <c r="E37" s="31" t="str">
        <f>IFERROR(__xludf.DUMMYFUNCTION("IF(ISBLANK(D37), """", GOOGLETRANSLATE(D37, ""es"", ""en""))"),"Subfunction Description")</f>
        <v>Subfunction Description</v>
      </c>
    </row>
    <row r="38" ht="15.75" customHeight="1">
      <c r="B38" s="30" t="s">
        <v>1042</v>
      </c>
      <c r="C38" s="32">
        <v>2.0</v>
      </c>
      <c r="D38" s="30" t="s">
        <v>1930</v>
      </c>
      <c r="E38" s="31" t="str">
        <f>IFERROR(__xludf.DUMMYFUNCTION("IF(ISBLANK(D38), """", GOOGLETRANSLATE(D38, ""es"", ""en""))"),"Account Type Code")</f>
        <v>Account Type Code</v>
      </c>
    </row>
    <row r="39" ht="15.75" customHeight="1">
      <c r="B39" s="30" t="s">
        <v>1044</v>
      </c>
      <c r="C39" s="32" t="s">
        <v>1045</v>
      </c>
      <c r="D39" s="30" t="s">
        <v>1931</v>
      </c>
      <c r="E39" s="31" t="str">
        <f>IFERROR(__xludf.DUMMYFUNCTION("IF(ISBLANK(D39), """", GOOGLETRANSLATE(D39, ""es"", ""en""))"),"Account Type Description")</f>
        <v>Account Type Description</v>
      </c>
    </row>
    <row r="40" ht="15.75" customHeight="1">
      <c r="B40" s="30" t="s">
        <v>1047</v>
      </c>
      <c r="C40" s="66">
        <v>45475.0</v>
      </c>
      <c r="D40" s="30" t="s">
        <v>1932</v>
      </c>
      <c r="E40" s="31" t="str">
        <f>IFERROR(__xludf.DUMMYFUNCTION("IF(ISBLANK(D40), """", GOOGLETRANSLATE(D40, ""es"", ""en""))"),"Account concept code")</f>
        <v>Account concept code</v>
      </c>
    </row>
    <row r="41" ht="15.75" customHeight="1">
      <c r="B41" s="30" t="s">
        <v>1049</v>
      </c>
      <c r="C41" s="32" t="s">
        <v>1050</v>
      </c>
      <c r="D41" s="30" t="s">
        <v>1933</v>
      </c>
      <c r="E41" s="31" t="str">
        <f>IFERROR(__xludf.DUMMYFUNCTION("IF(ISBLANK(D41), """", GOOGLETRANSLATE(D41, ""es"", ""en""))"),"Description of the account concept")</f>
        <v>Description of the account concept</v>
      </c>
    </row>
    <row r="42" ht="15.75" customHeight="1">
      <c r="B42" s="30" t="s">
        <v>1052</v>
      </c>
      <c r="C42" s="67">
        <v>37074.0</v>
      </c>
      <c r="D42" s="30" t="s">
        <v>1934</v>
      </c>
      <c r="E42" s="31" t="str">
        <f>IFERROR(__xludf.DUMMYFUNCTION("IF(ISBLANK(D42), """", GOOGLETRANSLATE(D42, ""es"", ""en""))"),"Account code")</f>
        <v>Account code</v>
      </c>
    </row>
    <row r="43" ht="15.75" customHeight="1">
      <c r="B43" s="30" t="s">
        <v>1054</v>
      </c>
      <c r="C43" s="32" t="s">
        <v>1055</v>
      </c>
      <c r="D43" s="30" t="s">
        <v>1935</v>
      </c>
      <c r="E43" s="31" t="str">
        <f>IFERROR(__xludf.DUMMYFUNCTION("IF(ISBLANK(D43), """", GOOGLETRANSLATE(D43, ""es"", ""en""))"),"Account Description")</f>
        <v>Account Description</v>
      </c>
    </row>
    <row r="44" ht="15.75" customHeight="1">
      <c r="B44" s="30" t="s">
        <v>1057</v>
      </c>
      <c r="C44" s="32" t="s">
        <v>1058</v>
      </c>
      <c r="D44" s="30" t="s">
        <v>1936</v>
      </c>
      <c r="E44" s="31" t="str">
        <f>IFERROR(__xludf.DUMMYFUNCTION("IF(ISBLANK(D44), """", GOOGLETRANSLATE(D44, ""es"", ""en""))"),"Subaccount Code")</f>
        <v>Subaccount Code</v>
      </c>
    </row>
    <row r="45" ht="15.75" customHeight="1">
      <c r="B45" s="30" t="s">
        <v>1060</v>
      </c>
      <c r="C45" s="32" t="s">
        <v>1061</v>
      </c>
      <c r="D45" s="30" t="s">
        <v>1937</v>
      </c>
      <c r="E45" s="31" t="str">
        <f>IFERROR(__xludf.DUMMYFUNCTION("IF(ISBLANK(D45), """", GOOGLETRANSLATE(D45, ""es"", ""en""))"),"Subaccount Description")</f>
        <v>Subaccount Description</v>
      </c>
    </row>
    <row r="46" ht="15.75" customHeight="1">
      <c r="B46" s="30" t="s">
        <v>1063</v>
      </c>
      <c r="C46" s="32" t="s">
        <v>1064</v>
      </c>
      <c r="D46" s="30" t="s">
        <v>1938</v>
      </c>
      <c r="E46" s="31" t="str">
        <f>IFERROR(__xludf.DUMMYFUNCTION("IF(ISBLANK(D46), """", GOOGLETRANSLATE(D46, ""es"", ""en""))"),"Auxiliary code")</f>
        <v>Auxiliary code</v>
      </c>
    </row>
    <row r="47" ht="15.75" customHeight="1">
      <c r="B47" s="30" t="s">
        <v>1066</v>
      </c>
      <c r="C47" s="32" t="s">
        <v>1061</v>
      </c>
      <c r="D47" s="30" t="s">
        <v>1939</v>
      </c>
      <c r="E47" s="31" t="str">
        <f>IFERROR(__xludf.DUMMYFUNCTION("IF(ISBLANK(D47), """", GOOGLETRANSLATE(D47, ""es"", ""en""))"),"Auxiliary Description")</f>
        <v>Auxiliary Description</v>
      </c>
    </row>
    <row r="48" ht="15.75" customHeight="1">
      <c r="B48" s="30" t="s">
        <v>1068</v>
      </c>
      <c r="C48" s="32">
        <v>2.0</v>
      </c>
      <c r="D48" s="30"/>
      <c r="E48" s="31" t="str">
        <f>IFERROR(__xludf.DUMMYFUNCTION("IF(ISBLANK(D48), """", GOOGLETRANSLATE(D48, ""es"", ""en""))"),"")</f>
        <v/>
      </c>
    </row>
    <row r="49" ht="15.75" customHeight="1">
      <c r="B49" s="30" t="s">
        <v>1070</v>
      </c>
      <c r="C49" s="32" t="s">
        <v>1045</v>
      </c>
      <c r="D49" s="30"/>
      <c r="E49" s="31" t="str">
        <f>IFERROR(__xludf.DUMMYFUNCTION("IF(ISBLANK(D49), """", GOOGLETRANSLATE(D49, ""es"", ""en""))"),"")</f>
        <v/>
      </c>
    </row>
    <row r="50" ht="15.75" customHeight="1">
      <c r="B50" s="30" t="s">
        <v>1072</v>
      </c>
      <c r="C50" s="66">
        <v>45324.0</v>
      </c>
      <c r="D50" s="30"/>
      <c r="E50" s="31" t="str">
        <f>IFERROR(__xludf.DUMMYFUNCTION("IF(ISBLANK(D50), """", GOOGLETRANSLATE(D50, ""es"", ""en""))"),"")</f>
        <v/>
      </c>
    </row>
    <row r="51" ht="15.75" customHeight="1">
      <c r="B51" s="30" t="s">
        <v>1074</v>
      </c>
      <c r="C51" s="32" t="s">
        <v>1075</v>
      </c>
      <c r="D51" s="30"/>
      <c r="E51" s="31" t="str">
        <f>IFERROR(__xludf.DUMMYFUNCTION("IF(ISBLANK(D51), """", GOOGLETRANSLATE(D51, ""es"", ""en""))"),"")</f>
        <v/>
      </c>
    </row>
    <row r="52" ht="15.75" customHeight="1">
      <c r="B52" s="30" t="s">
        <v>1077</v>
      </c>
      <c r="C52" s="67">
        <v>37289.0</v>
      </c>
      <c r="D52" s="30"/>
      <c r="E52" s="31" t="str">
        <f>IFERROR(__xludf.DUMMYFUNCTION("IF(ISBLANK(D52), """", GOOGLETRANSLATE(D52, ""es"", ""en""))"),"")</f>
        <v/>
      </c>
    </row>
    <row r="53" ht="15.75" customHeight="1">
      <c r="B53" s="30" t="s">
        <v>1079</v>
      </c>
      <c r="C53" s="32" t="s">
        <v>1080</v>
      </c>
      <c r="D53" s="30"/>
      <c r="E53" s="31" t="str">
        <f>IFERROR(__xludf.DUMMYFUNCTION("IF(ISBLANK(D53), """", GOOGLETRANSLATE(D53, ""es"", ""en""))"),"")</f>
        <v/>
      </c>
    </row>
    <row r="54" ht="15.75" customHeight="1">
      <c r="B54" s="30" t="s">
        <v>1082</v>
      </c>
      <c r="C54" s="32" t="s">
        <v>1083</v>
      </c>
      <c r="D54" s="30"/>
      <c r="E54" s="31" t="str">
        <f>IFERROR(__xludf.DUMMYFUNCTION("IF(ISBLANK(D54), """", GOOGLETRANSLATE(D54, ""es"", ""en""))"),"")</f>
        <v/>
      </c>
    </row>
    <row r="55" ht="15.75" customHeight="1">
      <c r="B55" s="30" t="s">
        <v>1085</v>
      </c>
      <c r="C55" s="32" t="s">
        <v>1086</v>
      </c>
      <c r="D55" s="30"/>
      <c r="E55" s="31" t="str">
        <f>IFERROR(__xludf.DUMMYFUNCTION("IF(ISBLANK(D55), """", GOOGLETRANSLATE(D55, ""es"", ""en""))"),"")</f>
        <v/>
      </c>
    </row>
    <row r="56" ht="15.75" customHeight="1">
      <c r="B56" s="30" t="s">
        <v>1088</v>
      </c>
      <c r="C56" s="32" t="s">
        <v>1089</v>
      </c>
      <c r="D56" s="30"/>
      <c r="E56" s="31" t="str">
        <f>IFERROR(__xludf.DUMMYFUNCTION("IF(ISBLANK(D56), """", GOOGLETRANSLATE(D56, ""es"", ""en""))"),"")</f>
        <v/>
      </c>
    </row>
    <row r="57" ht="15.75" customHeight="1">
      <c r="B57" s="30" t="s">
        <v>1091</v>
      </c>
      <c r="C57" s="32" t="s">
        <v>1061</v>
      </c>
      <c r="D57" s="30"/>
      <c r="E57" s="31" t="str">
        <f>IFERROR(__xludf.DUMMYFUNCTION("IF(ISBLANK(D57), """", GOOGLETRANSLATE(D57, ""es"", ""en""))"),"")</f>
        <v/>
      </c>
    </row>
    <row r="58" ht="15.75" customHeight="1">
      <c r="B58" s="30" t="s">
        <v>1093</v>
      </c>
      <c r="C58" s="32" t="s">
        <v>1094</v>
      </c>
      <c r="D58" s="30"/>
      <c r="E58" s="31" t="str">
        <f>IFERROR(__xludf.DUMMYFUNCTION("IF(ISBLANK(D58), """", GOOGLETRANSLATE(D58, ""es"", ""en""))"),"")</f>
        <v/>
      </c>
    </row>
    <row r="59" ht="15.75" customHeight="1">
      <c r="B59" s="30" t="s">
        <v>1096</v>
      </c>
      <c r="C59" s="32" t="s">
        <v>1094</v>
      </c>
      <c r="D59" s="30"/>
      <c r="E59" s="31" t="str">
        <f>IFERROR(__xludf.DUMMYFUNCTION("IF(ISBLANK(D59), """", GOOGLETRANSLATE(D59, ""es"", ""en""))"),"")</f>
        <v/>
      </c>
    </row>
    <row r="60" ht="15.75" customHeight="1">
      <c r="B60" s="30" t="s">
        <v>1098</v>
      </c>
      <c r="C60" s="32" t="s">
        <v>1094</v>
      </c>
      <c r="D60" s="30"/>
      <c r="E60" s="31" t="str">
        <f>IFERROR(__xludf.DUMMYFUNCTION("IF(ISBLANK(D60), """", GOOGLETRANSLATE(D60, ""es"", ""en""))"),"")</f>
        <v/>
      </c>
    </row>
    <row r="61" ht="15.75" customHeight="1">
      <c r="B61" s="30" t="s">
        <v>1100</v>
      </c>
      <c r="C61" s="32" t="s">
        <v>1094</v>
      </c>
      <c r="D61" s="30"/>
      <c r="E61" s="31" t="str">
        <f>IFERROR(__xludf.DUMMYFUNCTION("IF(ISBLANK(D61), """", GOOGLETRANSLATE(D61, ""es"", ""en""))"),"")</f>
        <v/>
      </c>
    </row>
    <row r="62" ht="15.75" customHeight="1">
      <c r="B62" s="30" t="s">
        <v>1102</v>
      </c>
      <c r="C62" s="32" t="s">
        <v>1094</v>
      </c>
      <c r="D62" s="30"/>
      <c r="E62" s="31" t="str">
        <f>IFERROR(__xludf.DUMMYFUNCTION("IF(ISBLANK(D62), """", GOOGLETRANSLATE(D62, ""es"", ""en""))"),"")</f>
        <v/>
      </c>
    </row>
    <row r="63" ht="15.75" customHeight="1">
      <c r="B63" s="30" t="s">
        <v>1104</v>
      </c>
      <c r="C63" s="32" t="s">
        <v>1094</v>
      </c>
      <c r="D63" s="30"/>
      <c r="E63" s="31" t="str">
        <f>IFERROR(__xludf.DUMMYFUNCTION("IF(ISBLANK(D63), """", GOOGLETRANSLATE(D63, ""es"", ""en""))"),"")</f>
        <v/>
      </c>
    </row>
    <row r="64" ht="15.75" customHeight="1">
      <c r="B64" s="30" t="s">
        <v>1106</v>
      </c>
      <c r="C64" s="32">
        <v>0.0</v>
      </c>
      <c r="D64" s="30" t="s">
        <v>1940</v>
      </c>
      <c r="E64" s="31" t="str">
        <f>IFERROR(__xludf.DUMMYFUNCTION("IF(ISBLANK(D64), """", GOOGLETRANSLATE(D64, ""es"", ""en""))"),"Receiving Institution Code")</f>
        <v>Receiving Institution Code</v>
      </c>
    </row>
    <row r="65" ht="15.75" customHeight="1">
      <c r="B65" s="30" t="s">
        <v>1108</v>
      </c>
      <c r="C65" s="32" t="s">
        <v>1109</v>
      </c>
      <c r="D65" s="30" t="s">
        <v>1941</v>
      </c>
      <c r="E65" s="31" t="str">
        <f>IFERROR(__xludf.DUMMYFUNCTION("IF(ISBLANK(D65), """", GOOGLETRANSLATE(D65, ""es"", ""en""))"),"Name of the Receiving Institution")</f>
        <v>Name of the Receiving Institution</v>
      </c>
    </row>
    <row r="66" ht="15.75" customHeight="1">
      <c r="B66" s="30" t="s">
        <v>1111</v>
      </c>
      <c r="C66" s="32" t="s">
        <v>66</v>
      </c>
      <c r="D66" s="30" t="s">
        <v>1942</v>
      </c>
      <c r="E66" s="31" t="str">
        <f>IFERROR(__xludf.DUMMYFUNCTION("IF(ISBLANK(D66), """", GOOGLETRANSLATE(D66, ""es"", ""en""))"),"Type Capital Code")</f>
        <v>Type Capital Code</v>
      </c>
    </row>
    <row r="67" ht="15.75" customHeight="1">
      <c r="B67" s="30" t="s">
        <v>1113</v>
      </c>
      <c r="C67" s="32" t="s">
        <v>1114</v>
      </c>
      <c r="D67" s="30"/>
      <c r="E67" s="31" t="str">
        <f>IFERROR(__xludf.DUMMYFUNCTION("IF(ISBLANK(D67), """", GOOGLETRANSLATE(D67, ""es"", ""en""))"),"")</f>
        <v/>
      </c>
    </row>
    <row r="68" ht="15.75" customHeight="1">
      <c r="B68" s="30" t="s">
        <v>1116</v>
      </c>
      <c r="C68" s="32">
        <v>14676.0</v>
      </c>
      <c r="D68" s="30" t="s">
        <v>1943</v>
      </c>
      <c r="E68" s="31" t="str">
        <f>IFERROR(__xludf.DUMMYFUNCTION("IF(ISBLANK(D68), """", GOOGLETRANSLATE(D68, ""es"", ""en""))"),"Investment project code")</f>
        <v>Investment project code</v>
      </c>
    </row>
    <row r="69" ht="15.75" customHeight="1">
      <c r="B69" s="30" t="s">
        <v>1118</v>
      </c>
      <c r="C69" s="32" t="s">
        <v>1003</v>
      </c>
      <c r="D69" s="30" t="s">
        <v>1944</v>
      </c>
      <c r="E69" s="31" t="str">
        <f>IFERROR(__xludf.DUMMYFUNCTION("IF(ISBLANK(D69), """", GOOGLETRANSLATE(D69, ""es"", ""en""))"),"Investment project name")</f>
        <v>Investment project name</v>
      </c>
    </row>
    <row r="70" ht="15.75" customHeight="1">
      <c r="B70" s="30" t="s">
        <v>1120</v>
      </c>
      <c r="C70" s="32" t="s">
        <v>1121</v>
      </c>
      <c r="D70" s="30" t="s">
        <v>1945</v>
      </c>
      <c r="E70" s="31" t="str">
        <f>IFERROR(__xludf.DUMMYFUNCTION("IF(ISBLANK(D70), """", GOOGLETRANSLATE(D70, ""es"", ""en""))"),"Description of the investment project")</f>
        <v>Description of the investment project</v>
      </c>
    </row>
    <row r="71" ht="15.75" customHeight="1">
      <c r="B71" s="30" t="s">
        <v>1123</v>
      </c>
      <c r="C71" s="32">
        <v>1.0</v>
      </c>
      <c r="D71" s="30" t="s">
        <v>1946</v>
      </c>
      <c r="E71" s="31" t="str">
        <f>IFERROR(__xludf.DUMMYFUNCTION("IF(ISBLANK(D71), """", GOOGLETRANSLATE(D71, ""es"", ""en""))"),"Typology Code")</f>
        <v>Typology Code</v>
      </c>
    </row>
    <row r="72" ht="15.75" customHeight="1">
      <c r="B72" s="30" t="s">
        <v>1125</v>
      </c>
      <c r="C72" s="32" t="s">
        <v>1126</v>
      </c>
      <c r="D72" s="30" t="s">
        <v>1947</v>
      </c>
      <c r="E72" s="31" t="str">
        <f>IFERROR(__xludf.DUMMYFUNCTION("IF(ISBLANK(D72), """", GOOGLETRANSLATE(D72, ""es"", ""en""))"),"Description Typology")</f>
        <v>Description Typology</v>
      </c>
    </row>
    <row r="73" ht="15.75" customHeight="1">
      <c r="B73" s="30" t="s">
        <v>1128</v>
      </c>
      <c r="C73" s="32" t="s">
        <v>66</v>
      </c>
      <c r="D73" s="30" t="s">
        <v>1948</v>
      </c>
      <c r="E73" s="31" t="str">
        <f>IFERROR(__xludf.DUMMYFUNCTION("IF(ISBLANK(D73), """", GOOGLETRANSLATE(D73, ""es"", ""en""))"),"Type of Activity Investment")</f>
        <v>Type of Activity Investment</v>
      </c>
    </row>
    <row r="74" ht="15.75" customHeight="1">
      <c r="B74" s="30" t="s">
        <v>1130</v>
      </c>
      <c r="C74" s="32">
        <v>5.0</v>
      </c>
      <c r="D74" s="30" t="s">
        <v>1949</v>
      </c>
      <c r="E74" s="31" t="str">
        <f>IFERROR(__xludf.DUMMYFUNCTION("IF(ISBLANK(D74), """", GOOGLETRANSLATE(D74, ""es"", ""en""))"),"Region Code")</f>
        <v>Region Code</v>
      </c>
    </row>
    <row r="75" ht="15.75" customHeight="1">
      <c r="B75" s="30" t="s">
        <v>1132</v>
      </c>
      <c r="C75" s="32" t="s">
        <v>1133</v>
      </c>
      <c r="D75" s="30" t="s">
        <v>1950</v>
      </c>
      <c r="E75" s="31" t="str">
        <f>IFERROR(__xludf.DUMMYFUNCTION("IF(ISBLANK(D75), """", GOOGLETRANSLATE(D75, ""es"", ""en""))"),"Region Name")</f>
        <v>Region Name</v>
      </c>
    </row>
    <row r="76" ht="15.75" customHeight="1">
      <c r="B76" s="30" t="s">
        <v>1135</v>
      </c>
      <c r="C76" s="32">
        <v>21.0</v>
      </c>
      <c r="D76" s="30" t="s">
        <v>1951</v>
      </c>
      <c r="E76" s="31" t="str">
        <f>IFERROR(__xludf.DUMMYFUNCTION("IF(ISBLANK(D76), """", GOOGLETRANSLATE(D76, ""es"", ""en""))"),"Province Code")</f>
        <v>Province Code</v>
      </c>
    </row>
    <row r="77" ht="15.75" customHeight="1">
      <c r="B77" s="30" t="s">
        <v>1137</v>
      </c>
      <c r="C77" s="32" t="s">
        <v>1138</v>
      </c>
      <c r="D77" s="30" t="s">
        <v>1952</v>
      </c>
      <c r="E77" s="31" t="str">
        <f>IFERROR(__xludf.DUMMYFUNCTION("IF(ISBLANK(D77), """", GOOGLETRANSLATE(D77, ""es"", ""en""))"),"Name of the Province")</f>
        <v>Name of the Province</v>
      </c>
    </row>
    <row r="78" ht="15.75" customHeight="1">
      <c r="B78" s="30" t="s">
        <v>1140</v>
      </c>
      <c r="C78" s="32">
        <v>1.0</v>
      </c>
      <c r="D78" s="30" t="s">
        <v>1953</v>
      </c>
      <c r="E78" s="31" t="str">
        <f>IFERROR(__xludf.DUMMYFUNCTION("IF(ISBLANK(D78), """", GOOGLETRANSLATE(D78, ""es"", ""en""))"),"Municipality Code")</f>
        <v>Municipality Code</v>
      </c>
    </row>
    <row r="79" ht="15.75" customHeight="1">
      <c r="B79" s="30" t="s">
        <v>1142</v>
      </c>
      <c r="C79" s="32" t="s">
        <v>1138</v>
      </c>
      <c r="D79" s="30" t="s">
        <v>1954</v>
      </c>
      <c r="E79" s="31" t="str">
        <f>IFERROR(__xludf.DUMMYFUNCTION("IF(ISBLANK(D79), """", GOOGLETRANSLATE(D79, ""es"", ""en""))"),"Municipality Name")</f>
        <v>Municipality Name</v>
      </c>
    </row>
    <row r="80" ht="15.75" customHeight="1">
      <c r="B80" s="30" t="s">
        <v>1144</v>
      </c>
      <c r="C80" s="32" t="s">
        <v>1145</v>
      </c>
      <c r="D80" s="30" t="s">
        <v>1955</v>
      </c>
      <c r="E80" s="31" t="str">
        <f>IFERROR(__xludf.DUMMYFUNCTION("IF(ISBLANK(D80), """", GOOGLETRANSLATE(D80, ""es"", ""en""))"),"Description of the expense item")</f>
        <v>Description of the expense item</v>
      </c>
    </row>
    <row r="81" ht="15.75" customHeight="1">
      <c r="B81" s="30" t="s">
        <v>1147</v>
      </c>
      <c r="C81" s="32" t="s">
        <v>1148</v>
      </c>
      <c r="D81" s="30" t="s">
        <v>1956</v>
      </c>
      <c r="E81" s="31" t="str">
        <f>IFERROR(__xludf.DUMMYFUNCTION("IF(ISBLANK(D81), """", GOOGLETRANSLATE(D81, ""es"", ""en""))"),"Initial value")</f>
        <v>Initial value</v>
      </c>
    </row>
    <row r="82" ht="15.75" customHeight="1">
      <c r="B82" s="30" t="s">
        <v>1150</v>
      </c>
      <c r="C82" s="32" t="s">
        <v>194</v>
      </c>
      <c r="D82" s="30" t="s">
        <v>1957</v>
      </c>
      <c r="E82" s="31" t="str">
        <f>IFERROR(__xludf.DUMMYFUNCTION("IF(ISBLANK(D82), """", GOOGLETRANSLATE(D82, ""es"", ""en""))"),"Approved Value")</f>
        <v>Approved Value</v>
      </c>
    </row>
    <row r="83" ht="15.75" customHeight="1">
      <c r="B83" s="30" t="s">
        <v>1152</v>
      </c>
      <c r="C83" s="32" t="s">
        <v>1148</v>
      </c>
      <c r="D83" s="30" t="s">
        <v>1958</v>
      </c>
      <c r="E83" s="31" t="str">
        <f>IFERROR(__xludf.DUMMYFUNCTION("IF(ISBLANK(D83), """", GOOGLETRANSLATE(D83, ""es"", ""en""))"),"Current Value")</f>
        <v>Current Value</v>
      </c>
    </row>
    <row r="84" ht="15.75" customHeight="1">
      <c r="C84" s="3"/>
    </row>
    <row r="85" ht="15.75" customHeight="1">
      <c r="C85" s="3"/>
    </row>
    <row r="86" ht="15.75" customHeight="1">
      <c r="C86" s="3"/>
    </row>
    <row r="87" ht="15.75" customHeight="1">
      <c r="C87" s="3"/>
    </row>
    <row r="88" ht="15.75" customHeight="1">
      <c r="C88" s="3"/>
    </row>
    <row r="89" ht="15.75" customHeight="1">
      <c r="C89" s="3"/>
    </row>
    <row r="90" ht="15.75" customHeight="1">
      <c r="C90" s="3"/>
    </row>
    <row r="91" ht="15.75" customHeight="1">
      <c r="C91" s="3"/>
    </row>
    <row r="92" ht="15.75" customHeight="1">
      <c r="C92" s="3"/>
    </row>
    <row r="93" ht="15.75" customHeight="1">
      <c r="C93" s="3"/>
    </row>
    <row r="94" ht="15.75" customHeight="1">
      <c r="C94" s="3"/>
    </row>
    <row r="95" ht="15.75" customHeight="1">
      <c r="C95" s="3"/>
    </row>
    <row r="96" ht="15.75" customHeight="1">
      <c r="C96" s="3"/>
    </row>
    <row r="97" ht="15.75" customHeight="1">
      <c r="C97" s="3"/>
    </row>
    <row r="98" ht="15.75" customHeight="1">
      <c r="C98" s="3"/>
    </row>
    <row r="99" ht="15.75" customHeight="1">
      <c r="C99" s="3"/>
    </row>
    <row r="100" ht="15.75" customHeight="1">
      <c r="C100" s="3"/>
    </row>
    <row r="101" ht="15.75" customHeight="1">
      <c r="C101" s="3"/>
    </row>
    <row r="102" ht="15.75" customHeight="1">
      <c r="C102" s="3"/>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c r="C254" s="3"/>
    </row>
    <row r="255" ht="15.75" customHeight="1">
      <c r="C255" s="3"/>
    </row>
    <row r="256" ht="15.75" customHeight="1">
      <c r="C256" s="3"/>
    </row>
    <row r="257" ht="15.75" customHeight="1">
      <c r="C257" s="3"/>
    </row>
    <row r="258" ht="15.75" customHeight="1">
      <c r="C258" s="3"/>
    </row>
    <row r="259" ht="15.75" customHeight="1">
      <c r="C259" s="3"/>
    </row>
    <row r="260" ht="15.75" customHeight="1">
      <c r="C260" s="3"/>
    </row>
    <row r="261" ht="15.75" customHeight="1">
      <c r="C261" s="3"/>
    </row>
    <row r="262" ht="15.75" customHeight="1">
      <c r="C262" s="3"/>
    </row>
    <row r="263" ht="15.75" customHeight="1">
      <c r="C263" s="3"/>
    </row>
    <row r="264" ht="15.75" customHeight="1">
      <c r="C264" s="3"/>
    </row>
    <row r="265" ht="15.75" customHeight="1">
      <c r="C265" s="3"/>
    </row>
    <row r="266" ht="15.75" customHeight="1">
      <c r="C266" s="3"/>
    </row>
    <row r="267" ht="15.75" customHeight="1">
      <c r="C267" s="3"/>
    </row>
    <row r="268" ht="15.75" customHeight="1">
      <c r="C268" s="3"/>
    </row>
    <row r="269" ht="15.75" customHeight="1">
      <c r="C269" s="3"/>
    </row>
    <row r="270" ht="15.75" customHeight="1">
      <c r="C270" s="3"/>
    </row>
    <row r="271" ht="15.75" customHeight="1">
      <c r="C271" s="3"/>
    </row>
    <row r="272" ht="15.75" customHeight="1">
      <c r="C272" s="3"/>
    </row>
    <row r="273" ht="15.75" customHeight="1">
      <c r="C273" s="3"/>
    </row>
    <row r="274" ht="15.75" customHeight="1">
      <c r="C274" s="3"/>
    </row>
    <row r="275" ht="15.75" customHeight="1">
      <c r="C275" s="3"/>
    </row>
    <row r="276" ht="15.75" customHeight="1">
      <c r="C276" s="3"/>
    </row>
    <row r="277" ht="15.75" customHeight="1">
      <c r="C277" s="3"/>
    </row>
    <row r="278" ht="15.75" customHeight="1">
      <c r="C278" s="3"/>
    </row>
    <row r="279" ht="15.75" customHeight="1">
      <c r="C279" s="3"/>
    </row>
    <row r="280" ht="15.75" customHeight="1">
      <c r="C280" s="3"/>
    </row>
    <row r="281" ht="15.75" customHeight="1">
      <c r="C281" s="3"/>
    </row>
    <row r="282" ht="15.75" customHeight="1">
      <c r="C282" s="3"/>
    </row>
    <row r="283" ht="15.75" customHeight="1">
      <c r="C283" s="3"/>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0"/>
  <cols>
    <col customWidth="1" min="1" max="1" width="4.38"/>
    <col customWidth="1" min="2" max="2" width="39.0"/>
    <col customWidth="1" min="3" max="3" width="63.5"/>
    <col customWidth="1" min="4" max="5" width="39.38"/>
    <col customWidth="1" min="7" max="58" width="14.63"/>
  </cols>
  <sheetData>
    <row r="1" ht="15.75" customHeight="1"/>
    <row r="2" ht="15.75" customHeight="1">
      <c r="A2" s="129"/>
      <c r="B2" s="133" t="s">
        <v>1959</v>
      </c>
    </row>
    <row r="3" ht="15.75" customHeight="1">
      <c r="B3" s="129" t="s">
        <v>1960</v>
      </c>
      <c r="C3" s="4"/>
    </row>
    <row r="4" ht="15.75" customHeight="1"/>
    <row r="5" ht="15.75" customHeight="1">
      <c r="B5" s="134" t="s">
        <v>1961</v>
      </c>
      <c r="G5" s="128" t="s">
        <v>33</v>
      </c>
    </row>
    <row r="6" ht="33.0" customHeight="1">
      <c r="A6" s="8"/>
      <c r="B6" s="135" t="s">
        <v>1962</v>
      </c>
      <c r="D6" s="136" t="str">
        <f>IFERROR(__xludf.DUMMYFUNCTION("IF(ISBLANK(B6), """", GOOGLETRANSLATE(B6, ""es"", ""en""))"),"Contains information on contractual processes related to the Hurricane Fiona emergency		
")</f>
        <v>Contains information on contractual processes related to the Hurricane Fiona emergency		
</v>
      </c>
    </row>
    <row r="7" ht="15.75" customHeight="1">
      <c r="B7" s="26" t="s">
        <v>1689</v>
      </c>
      <c r="C7" s="26" t="s">
        <v>1690</v>
      </c>
      <c r="D7" s="26" t="s">
        <v>1691</v>
      </c>
      <c r="E7" s="26" t="s">
        <v>1692</v>
      </c>
      <c r="G7" s="137" t="s">
        <v>1963</v>
      </c>
      <c r="H7" s="137" t="s">
        <v>1964</v>
      </c>
      <c r="I7" s="137" t="s">
        <v>1965</v>
      </c>
      <c r="J7" s="137" t="s">
        <v>1966</v>
      </c>
      <c r="K7" s="137" t="s">
        <v>1967</v>
      </c>
      <c r="L7" s="137" t="s">
        <v>1968</v>
      </c>
      <c r="M7" s="137" t="s">
        <v>1969</v>
      </c>
      <c r="N7" s="137" t="s">
        <v>1970</v>
      </c>
      <c r="O7" s="137" t="s">
        <v>1971</v>
      </c>
      <c r="P7" s="137" t="s">
        <v>1972</v>
      </c>
      <c r="Q7" s="137" t="s">
        <v>1973</v>
      </c>
      <c r="R7" s="137" t="s">
        <v>1974</v>
      </c>
      <c r="S7" s="137" t="s">
        <v>1975</v>
      </c>
      <c r="T7" s="137" t="s">
        <v>1976</v>
      </c>
      <c r="U7" s="137" t="s">
        <v>1977</v>
      </c>
      <c r="V7" s="137" t="s">
        <v>1978</v>
      </c>
      <c r="W7" s="137" t="s">
        <v>1979</v>
      </c>
      <c r="X7" s="137" t="s">
        <v>1980</v>
      </c>
      <c r="Y7" s="137" t="s">
        <v>1981</v>
      </c>
      <c r="Z7" s="137" t="s">
        <v>1982</v>
      </c>
      <c r="AA7" s="137" t="s">
        <v>1983</v>
      </c>
      <c r="AB7" s="137" t="s">
        <v>1984</v>
      </c>
      <c r="AC7" s="137" t="s">
        <v>1985</v>
      </c>
      <c r="AD7" s="137" t="s">
        <v>1986</v>
      </c>
      <c r="AE7" s="137" t="s">
        <v>1987</v>
      </c>
      <c r="AF7" s="137" t="s">
        <v>1988</v>
      </c>
      <c r="AG7" s="137" t="s">
        <v>1989</v>
      </c>
      <c r="AH7" s="137" t="s">
        <v>1990</v>
      </c>
      <c r="AI7" s="137" t="s">
        <v>1991</v>
      </c>
      <c r="AJ7" s="137" t="s">
        <v>1992</v>
      </c>
      <c r="AK7" s="137" t="s">
        <v>1993</v>
      </c>
      <c r="AL7" s="137" t="s">
        <v>1994</v>
      </c>
      <c r="AM7" s="137" t="s">
        <v>1995</v>
      </c>
      <c r="AN7" s="137" t="s">
        <v>3</v>
      </c>
      <c r="AO7" s="137" t="s">
        <v>1996</v>
      </c>
      <c r="AP7" s="137" t="s">
        <v>1997</v>
      </c>
      <c r="AQ7" s="137" t="s">
        <v>1998</v>
      </c>
      <c r="AR7" s="137" t="s">
        <v>1999</v>
      </c>
    </row>
    <row r="8" ht="15.75" customHeight="1">
      <c r="A8" s="138"/>
      <c r="B8" s="139" t="s">
        <v>1963</v>
      </c>
      <c r="C8" s="140">
        <v>363219.0</v>
      </c>
      <c r="D8" s="31" t="s">
        <v>2000</v>
      </c>
      <c r="E8" s="31" t="str">
        <f>IFERROR(__xludf.DUMMYFUNCTION("IF(ISBLANK(D8), """", GOOGLETRANSLATE(D8, ""es"", ""en""))"),"Internal record ID")</f>
        <v>Internal record ID</v>
      </c>
      <c r="G8" s="141">
        <v>363219.0</v>
      </c>
      <c r="H8" s="139" t="s">
        <v>2001</v>
      </c>
      <c r="I8" s="141">
        <v>577.0</v>
      </c>
      <c r="J8" s="139" t="s">
        <v>2002</v>
      </c>
      <c r="K8" s="139" t="s">
        <v>2003</v>
      </c>
      <c r="L8" s="139" t="s">
        <v>2004</v>
      </c>
      <c r="M8" s="139" t="s">
        <v>2005</v>
      </c>
      <c r="N8" s="139" t="s">
        <v>2006</v>
      </c>
      <c r="O8" s="139" t="s">
        <v>2006</v>
      </c>
      <c r="P8" s="139" t="s">
        <v>2007</v>
      </c>
      <c r="Q8" s="139" t="s">
        <v>2008</v>
      </c>
      <c r="R8" s="139" t="s">
        <v>1666</v>
      </c>
      <c r="S8" s="141">
        <v>1.3108728E10</v>
      </c>
      <c r="T8" s="141" t="s">
        <v>2009</v>
      </c>
      <c r="U8" s="141" t="s">
        <v>2010</v>
      </c>
      <c r="V8" s="142">
        <v>44600.583333333336</v>
      </c>
      <c r="W8" s="142">
        <v>44600.604166666664</v>
      </c>
      <c r="X8" s="142">
        <v>44903.916666666664</v>
      </c>
      <c r="Y8" s="141" t="s">
        <v>2011</v>
      </c>
      <c r="Z8" s="141" t="s">
        <v>2012</v>
      </c>
      <c r="AA8" s="139" t="s">
        <v>423</v>
      </c>
      <c r="AB8" s="139" t="s">
        <v>423</v>
      </c>
      <c r="AC8" s="139" t="s">
        <v>423</v>
      </c>
      <c r="AD8" s="139" t="s">
        <v>423</v>
      </c>
      <c r="AE8" s="139" t="s">
        <v>2013</v>
      </c>
      <c r="AF8" s="139" t="s">
        <v>2014</v>
      </c>
      <c r="AG8" s="139"/>
      <c r="AH8" s="139" t="s">
        <v>67</v>
      </c>
      <c r="AI8" s="139" t="s">
        <v>423</v>
      </c>
      <c r="AJ8" s="139" t="s">
        <v>423</v>
      </c>
      <c r="AK8" s="139" t="s">
        <v>423</v>
      </c>
      <c r="AL8" s="139" t="s">
        <v>423</v>
      </c>
      <c r="AM8" s="141" t="s">
        <v>2015</v>
      </c>
      <c r="AN8" s="143" t="s">
        <v>2016</v>
      </c>
      <c r="AO8" s="139" t="s">
        <v>2017</v>
      </c>
      <c r="AP8" s="139"/>
      <c r="AQ8" s="139" t="s">
        <v>2018</v>
      </c>
      <c r="AR8" s="144" t="s">
        <v>2019</v>
      </c>
      <c r="AS8" s="138"/>
      <c r="AT8" s="138"/>
      <c r="AU8" s="138"/>
      <c r="AV8" s="138"/>
      <c r="AW8" s="138"/>
      <c r="AX8" s="138"/>
      <c r="AY8" s="138"/>
      <c r="AZ8" s="138"/>
      <c r="BA8" s="138"/>
      <c r="BB8" s="138"/>
      <c r="BC8" s="138"/>
      <c r="BD8" s="138"/>
      <c r="BE8" s="138"/>
      <c r="BF8" s="138"/>
    </row>
    <row r="9" ht="15.75" customHeight="1">
      <c r="A9" s="138"/>
      <c r="B9" s="139" t="s">
        <v>1964</v>
      </c>
      <c r="C9" s="140" t="s">
        <v>2001</v>
      </c>
      <c r="D9" s="31" t="s">
        <v>2020</v>
      </c>
      <c r="E9" s="31" t="str">
        <f>IFERROR(__xludf.DUMMYFUNCTION("IF(ISBLANK(D9), """", GOOGLETRANSLATE(D9, ""es"", ""en""))"),"Post ID")</f>
        <v>Post ID</v>
      </c>
      <c r="G9" s="141">
        <v>378783.0</v>
      </c>
      <c r="H9" s="139" t="s">
        <v>2021</v>
      </c>
      <c r="I9" s="141">
        <v>5.0</v>
      </c>
      <c r="J9" s="139" t="s">
        <v>2022</v>
      </c>
      <c r="K9" s="139" t="s">
        <v>2023</v>
      </c>
      <c r="L9" s="139" t="s">
        <v>2004</v>
      </c>
      <c r="M9" s="139" t="s">
        <v>2005</v>
      </c>
      <c r="N9" s="139" t="s">
        <v>2024</v>
      </c>
      <c r="O9" s="139" t="s">
        <v>2024</v>
      </c>
      <c r="P9" s="139" t="s">
        <v>2025</v>
      </c>
      <c r="Q9" s="139" t="s">
        <v>2008</v>
      </c>
      <c r="R9" s="139" t="s">
        <v>1666</v>
      </c>
      <c r="S9" s="141">
        <v>755700.0</v>
      </c>
      <c r="T9" s="141" t="s">
        <v>2026</v>
      </c>
      <c r="U9" s="142">
        <v>44691.604166666664</v>
      </c>
      <c r="V9" s="142">
        <v>44722.604166666664</v>
      </c>
      <c r="W9" s="142">
        <v>44722.770833333336</v>
      </c>
      <c r="X9" s="141" t="s">
        <v>2027</v>
      </c>
      <c r="Y9" s="141" t="s">
        <v>2028</v>
      </c>
      <c r="Z9" s="141" t="s">
        <v>2029</v>
      </c>
      <c r="AA9" s="139" t="s">
        <v>423</v>
      </c>
      <c r="AB9" s="139" t="s">
        <v>423</v>
      </c>
      <c r="AC9" s="139" t="s">
        <v>423</v>
      </c>
      <c r="AD9" s="139" t="s">
        <v>423</v>
      </c>
      <c r="AE9" s="139" t="s">
        <v>2030</v>
      </c>
      <c r="AF9" s="139" t="s">
        <v>2014</v>
      </c>
      <c r="AG9" s="139"/>
      <c r="AH9" s="139" t="s">
        <v>423</v>
      </c>
      <c r="AI9" s="139" t="s">
        <v>423</v>
      </c>
      <c r="AJ9" s="139" t="s">
        <v>423</v>
      </c>
      <c r="AK9" s="139" t="s">
        <v>423</v>
      </c>
      <c r="AL9" s="139" t="s">
        <v>423</v>
      </c>
      <c r="AM9" s="141" t="s">
        <v>2031</v>
      </c>
      <c r="AN9" s="143" t="s">
        <v>2032</v>
      </c>
      <c r="AO9" s="139" t="s">
        <v>2017</v>
      </c>
      <c r="AP9" s="139"/>
      <c r="AQ9" s="139" t="s">
        <v>2033</v>
      </c>
      <c r="AR9" s="144" t="s">
        <v>2019</v>
      </c>
      <c r="AS9" s="138"/>
      <c r="AT9" s="144"/>
      <c r="AU9" s="144"/>
      <c r="AV9" s="144"/>
      <c r="AW9" s="144"/>
      <c r="AX9" s="144"/>
      <c r="AY9" s="144"/>
      <c r="AZ9" s="144"/>
      <c r="BA9" s="144"/>
      <c r="BB9" s="144"/>
      <c r="BC9" s="144"/>
      <c r="BD9" s="144"/>
      <c r="BE9" s="144"/>
      <c r="BF9" s="144"/>
    </row>
    <row r="10" ht="15.75" customHeight="1">
      <c r="A10" s="138"/>
      <c r="B10" s="139" t="s">
        <v>1965</v>
      </c>
      <c r="C10" s="140">
        <v>577.0</v>
      </c>
      <c r="D10" s="31" t="s">
        <v>2034</v>
      </c>
      <c r="E10" s="31" t="str">
        <f>IFERROR(__xludf.DUMMYFUNCTION("IF(ISBLANK(D10), """", GOOGLETRANSLATE(D10, ""es"", ""en""))"),"Purchasing Unit Code")</f>
        <v>Purchasing Unit Code</v>
      </c>
      <c r="G10" s="141">
        <v>378782.0</v>
      </c>
      <c r="H10" s="139" t="s">
        <v>2035</v>
      </c>
      <c r="I10" s="141">
        <v>5.0</v>
      </c>
      <c r="J10" s="139" t="s">
        <v>2022</v>
      </c>
      <c r="K10" s="139" t="s">
        <v>2036</v>
      </c>
      <c r="L10" s="139" t="s">
        <v>2004</v>
      </c>
      <c r="M10" s="139" t="s">
        <v>2005</v>
      </c>
      <c r="N10" s="139" t="s">
        <v>2037</v>
      </c>
      <c r="O10" s="139" t="s">
        <v>2038</v>
      </c>
      <c r="P10" s="139" t="s">
        <v>1626</v>
      </c>
      <c r="Q10" s="139" t="s">
        <v>2008</v>
      </c>
      <c r="R10" s="139" t="s">
        <v>1666</v>
      </c>
      <c r="S10" s="141" t="s">
        <v>2039</v>
      </c>
      <c r="T10" s="141" t="s">
        <v>2040</v>
      </c>
      <c r="U10" s="142">
        <v>44691.833333333336</v>
      </c>
      <c r="V10" s="142">
        <v>44752.583333333336</v>
      </c>
      <c r="W10" s="142">
        <v>44752.770833333336</v>
      </c>
      <c r="X10" s="141" t="s">
        <v>2041</v>
      </c>
      <c r="Y10" s="141" t="s">
        <v>2042</v>
      </c>
      <c r="Z10" s="141" t="s">
        <v>2043</v>
      </c>
      <c r="AA10" s="139" t="s">
        <v>423</v>
      </c>
      <c r="AB10" s="139" t="s">
        <v>423</v>
      </c>
      <c r="AC10" s="139" t="s">
        <v>423</v>
      </c>
      <c r="AD10" s="139" t="s">
        <v>423</v>
      </c>
      <c r="AE10" s="139" t="s">
        <v>2030</v>
      </c>
      <c r="AF10" s="139" t="s">
        <v>2014</v>
      </c>
      <c r="AG10" s="139"/>
      <c r="AH10" s="139" t="s">
        <v>423</v>
      </c>
      <c r="AI10" s="139" t="s">
        <v>423</v>
      </c>
      <c r="AJ10" s="139" t="s">
        <v>423</v>
      </c>
      <c r="AK10" s="139" t="s">
        <v>423</v>
      </c>
      <c r="AL10" s="139" t="s">
        <v>423</v>
      </c>
      <c r="AM10" s="141" t="s">
        <v>2031</v>
      </c>
      <c r="AN10" s="143" t="s">
        <v>2044</v>
      </c>
      <c r="AO10" s="139" t="s">
        <v>2017</v>
      </c>
      <c r="AP10" s="139"/>
      <c r="AQ10" s="139" t="s">
        <v>2033</v>
      </c>
      <c r="AR10" s="144" t="s">
        <v>2019</v>
      </c>
      <c r="AS10" s="138"/>
      <c r="AT10" s="144"/>
      <c r="AU10" s="144"/>
      <c r="AV10" s="144"/>
      <c r="AW10" s="144"/>
      <c r="AX10" s="144"/>
      <c r="AY10" s="144"/>
      <c r="AZ10" s="144"/>
      <c r="BA10" s="144"/>
      <c r="BB10" s="144"/>
      <c r="BC10" s="144"/>
      <c r="BD10" s="144"/>
      <c r="BE10" s="144"/>
      <c r="BF10" s="144"/>
    </row>
    <row r="11" ht="15.75" customHeight="1">
      <c r="A11" s="138"/>
      <c r="B11" s="139" t="s">
        <v>1966</v>
      </c>
      <c r="C11" s="140" t="s">
        <v>2002</v>
      </c>
      <c r="D11" s="31" t="s">
        <v>2045</v>
      </c>
      <c r="E11" s="31" t="str">
        <f>IFERROR(__xludf.DUMMYFUNCTION("IF(ISBLANK(D11), """", GOOGLETRANSLATE(D11, ""es"", ""en""))"),"Purchasing Unit Name")</f>
        <v>Purchasing Unit Name</v>
      </c>
      <c r="G11" s="141">
        <v>378767.0</v>
      </c>
      <c r="H11" s="139" t="s">
        <v>2046</v>
      </c>
      <c r="I11" s="141">
        <v>134.0</v>
      </c>
      <c r="J11" s="139" t="s">
        <v>2047</v>
      </c>
      <c r="K11" s="139" t="s">
        <v>2048</v>
      </c>
      <c r="L11" s="139" t="s">
        <v>2004</v>
      </c>
      <c r="M11" s="139" t="s">
        <v>2005</v>
      </c>
      <c r="N11" s="139" t="s">
        <v>2049</v>
      </c>
      <c r="O11" s="139" t="s">
        <v>2049</v>
      </c>
      <c r="P11" s="139" t="s">
        <v>1626</v>
      </c>
      <c r="Q11" s="139" t="s">
        <v>2008</v>
      </c>
      <c r="R11" s="139" t="s">
        <v>1666</v>
      </c>
      <c r="S11" s="141">
        <v>5.0242587E7</v>
      </c>
      <c r="T11" s="141" t="s">
        <v>2050</v>
      </c>
      <c r="U11" s="141" t="s">
        <v>2051</v>
      </c>
      <c r="V11" s="141" t="s">
        <v>2052</v>
      </c>
      <c r="W11" s="141" t="s">
        <v>2053</v>
      </c>
      <c r="X11" s="142">
        <v>44631.875</v>
      </c>
      <c r="Y11" s="142">
        <v>44815.875</v>
      </c>
      <c r="Z11" s="142">
        <v>44662.875</v>
      </c>
      <c r="AA11" s="139" t="s">
        <v>423</v>
      </c>
      <c r="AB11" s="139" t="s">
        <v>423</v>
      </c>
      <c r="AC11" s="139" t="s">
        <v>423</v>
      </c>
      <c r="AD11" s="139" t="s">
        <v>423</v>
      </c>
      <c r="AE11" s="139" t="s">
        <v>2030</v>
      </c>
      <c r="AF11" s="139" t="s">
        <v>2014</v>
      </c>
      <c r="AG11" s="139"/>
      <c r="AH11" s="139" t="s">
        <v>423</v>
      </c>
      <c r="AI11" s="139" t="s">
        <v>423</v>
      </c>
      <c r="AJ11" s="139" t="s">
        <v>423</v>
      </c>
      <c r="AK11" s="139" t="s">
        <v>423</v>
      </c>
      <c r="AL11" s="139" t="s">
        <v>423</v>
      </c>
      <c r="AM11" s="141" t="s">
        <v>2031</v>
      </c>
      <c r="AN11" s="143" t="s">
        <v>2054</v>
      </c>
      <c r="AO11" s="139" t="s">
        <v>2017</v>
      </c>
      <c r="AP11" s="139"/>
      <c r="AQ11" s="139" t="s">
        <v>2033</v>
      </c>
      <c r="AR11" s="144" t="s">
        <v>2019</v>
      </c>
    </row>
    <row r="12" ht="15.75" customHeight="1">
      <c r="A12" s="138"/>
      <c r="B12" s="139" t="s">
        <v>1967</v>
      </c>
      <c r="C12" s="140" t="s">
        <v>2003</v>
      </c>
      <c r="D12" s="31" t="s">
        <v>2055</v>
      </c>
      <c r="E12" s="31" t="str">
        <f>IFERROR(__xludf.DUMMYFUNCTION("IF(ISBLANK(D12), """", GOOGLETRANSLATE(D12, ""es"", ""en""))"),"Purchase process code")</f>
        <v>Purchase process code</v>
      </c>
      <c r="G12" s="141">
        <v>379112.0</v>
      </c>
      <c r="H12" s="139" t="s">
        <v>2056</v>
      </c>
      <c r="I12" s="141">
        <v>5.0</v>
      </c>
      <c r="J12" s="139" t="s">
        <v>2022</v>
      </c>
      <c r="K12" s="139" t="s">
        <v>2057</v>
      </c>
      <c r="L12" s="139" t="s">
        <v>2004</v>
      </c>
      <c r="M12" s="139" t="s">
        <v>2005</v>
      </c>
      <c r="N12" s="139" t="s">
        <v>2058</v>
      </c>
      <c r="O12" s="139" t="s">
        <v>2058</v>
      </c>
      <c r="P12" s="139" t="s">
        <v>2059</v>
      </c>
      <c r="Q12" s="139" t="s">
        <v>2008</v>
      </c>
      <c r="R12" s="139" t="s">
        <v>1666</v>
      </c>
      <c r="S12" s="141">
        <v>2.582758312E9</v>
      </c>
      <c r="T12" s="141" t="s">
        <v>2060</v>
      </c>
      <c r="U12" s="142">
        <v>44722.916666666664</v>
      </c>
      <c r="V12" s="142">
        <v>44752.583333333336</v>
      </c>
      <c r="W12" s="142">
        <v>44752.604166666664</v>
      </c>
      <c r="X12" s="141" t="s">
        <v>2061</v>
      </c>
      <c r="Y12" s="141" t="s">
        <v>2028</v>
      </c>
      <c r="Z12" s="141" t="s">
        <v>2062</v>
      </c>
      <c r="AA12" s="139" t="s">
        <v>423</v>
      </c>
      <c r="AB12" s="139" t="s">
        <v>423</v>
      </c>
      <c r="AC12" s="139" t="s">
        <v>67</v>
      </c>
      <c r="AD12" s="139" t="s">
        <v>423</v>
      </c>
      <c r="AE12" s="139" t="s">
        <v>2063</v>
      </c>
      <c r="AF12" s="139" t="s">
        <v>2064</v>
      </c>
      <c r="AG12" s="139"/>
      <c r="AH12" s="139" t="s">
        <v>423</v>
      </c>
      <c r="AI12" s="139" t="s">
        <v>423</v>
      </c>
      <c r="AJ12" s="139" t="s">
        <v>423</v>
      </c>
      <c r="AK12" s="139" t="s">
        <v>423</v>
      </c>
      <c r="AL12" s="139" t="s">
        <v>423</v>
      </c>
      <c r="AM12" s="141" t="s">
        <v>2031</v>
      </c>
      <c r="AN12" s="143" t="s">
        <v>2065</v>
      </c>
      <c r="AO12" s="139" t="s">
        <v>2017</v>
      </c>
      <c r="AP12" s="139"/>
      <c r="AQ12" s="139" t="s">
        <v>2033</v>
      </c>
      <c r="AR12" s="144" t="s">
        <v>2019</v>
      </c>
    </row>
    <row r="13" ht="15.75" customHeight="1">
      <c r="A13" s="138"/>
      <c r="B13" s="139" t="s">
        <v>1968</v>
      </c>
      <c r="C13" s="140" t="s">
        <v>2004</v>
      </c>
      <c r="D13" s="31" t="s">
        <v>2066</v>
      </c>
      <c r="E13" s="31" t="str">
        <f>IFERROR(__xludf.DUMMYFUNCTION("IF(ISBLANK(D13), """", GOOGLETRANSLATE(D13, ""es"", ""en""))"),"Modality of the purchasing process")</f>
        <v>Modality of the purchasing process</v>
      </c>
      <c r="G13" s="141">
        <v>381389.0</v>
      </c>
      <c r="H13" s="139" t="s">
        <v>2067</v>
      </c>
      <c r="I13" s="141">
        <v>1154.0</v>
      </c>
      <c r="J13" s="139" t="s">
        <v>2068</v>
      </c>
      <c r="K13" s="139" t="s">
        <v>2069</v>
      </c>
      <c r="L13" s="139" t="s">
        <v>2004</v>
      </c>
      <c r="M13" s="139" t="s">
        <v>2005</v>
      </c>
      <c r="N13" s="139" t="s">
        <v>2070</v>
      </c>
      <c r="O13" s="139" t="s">
        <v>2070</v>
      </c>
      <c r="P13" s="139" t="s">
        <v>1626</v>
      </c>
      <c r="Q13" s="139" t="s">
        <v>2008</v>
      </c>
      <c r="R13" s="139" t="s">
        <v>1666</v>
      </c>
      <c r="S13" s="141" t="s">
        <v>2071</v>
      </c>
      <c r="T13" s="141" t="s">
        <v>2072</v>
      </c>
      <c r="U13" s="141" t="s">
        <v>2073</v>
      </c>
      <c r="V13" s="141" t="s">
        <v>2074</v>
      </c>
      <c r="W13" s="141" t="s">
        <v>2075</v>
      </c>
      <c r="X13" s="142">
        <v>44753.915972222225</v>
      </c>
      <c r="Y13" s="142">
        <v>44815.915972222225</v>
      </c>
      <c r="Z13" s="142">
        <v>44753.916666666664</v>
      </c>
      <c r="AA13" s="139" t="s">
        <v>423</v>
      </c>
      <c r="AB13" s="139" t="s">
        <v>423</v>
      </c>
      <c r="AC13" s="139" t="s">
        <v>67</v>
      </c>
      <c r="AD13" s="139" t="s">
        <v>423</v>
      </c>
      <c r="AE13" s="139" t="s">
        <v>2076</v>
      </c>
      <c r="AF13" s="139" t="s">
        <v>2064</v>
      </c>
      <c r="AG13" s="139"/>
      <c r="AH13" s="139" t="s">
        <v>67</v>
      </c>
      <c r="AI13" s="139" t="s">
        <v>423</v>
      </c>
      <c r="AJ13" s="139" t="s">
        <v>423</v>
      </c>
      <c r="AK13" s="139" t="s">
        <v>423</v>
      </c>
      <c r="AL13" s="139" t="s">
        <v>423</v>
      </c>
      <c r="AM13" s="141" t="s">
        <v>2031</v>
      </c>
      <c r="AN13" s="143" t="s">
        <v>2077</v>
      </c>
      <c r="AO13" s="139" t="s">
        <v>2017</v>
      </c>
      <c r="AP13" s="139"/>
      <c r="AQ13" s="139" t="s">
        <v>2033</v>
      </c>
      <c r="AR13" s="144" t="s">
        <v>2019</v>
      </c>
    </row>
    <row r="14" ht="15.75" customHeight="1">
      <c r="A14" s="138"/>
      <c r="B14" s="139" t="s">
        <v>1969</v>
      </c>
      <c r="C14" s="140" t="s">
        <v>2005</v>
      </c>
      <c r="D14" s="31" t="s">
        <v>2078</v>
      </c>
      <c r="E14" s="31" t="str">
        <f>IFERROR(__xludf.DUMMYFUNCTION("IF(ISBLANK(D14), """", GOOGLETRANSLATE(D14, ""es"", ""en""))"),"Type of Exception (In this case they are all of the ""emergency"" type)")</f>
        <v>Type of Exception (In this case they are all of the "emergency" type)</v>
      </c>
      <c r="G14" s="141">
        <v>381429.0</v>
      </c>
      <c r="H14" s="139" t="s">
        <v>2079</v>
      </c>
      <c r="I14" s="141">
        <v>5.0</v>
      </c>
      <c r="J14" s="139" t="s">
        <v>2022</v>
      </c>
      <c r="K14" s="139" t="s">
        <v>2080</v>
      </c>
      <c r="L14" s="139" t="s">
        <v>2004</v>
      </c>
      <c r="M14" s="139" t="s">
        <v>2005</v>
      </c>
      <c r="N14" s="139" t="s">
        <v>2081</v>
      </c>
      <c r="O14" s="139" t="s">
        <v>2082</v>
      </c>
      <c r="P14" s="139" t="s">
        <v>1626</v>
      </c>
      <c r="Q14" s="139" t="s">
        <v>2008</v>
      </c>
      <c r="R14" s="139" t="s">
        <v>1666</v>
      </c>
      <c r="S14" s="141">
        <v>4500000.0</v>
      </c>
      <c r="T14" s="141" t="s">
        <v>2083</v>
      </c>
      <c r="U14" s="141" t="s">
        <v>2084</v>
      </c>
      <c r="V14" s="141" t="s">
        <v>2085</v>
      </c>
      <c r="W14" s="141" t="s">
        <v>2086</v>
      </c>
      <c r="X14" s="141" t="s">
        <v>2087</v>
      </c>
      <c r="Y14" s="142">
        <v>44631.833333333336</v>
      </c>
      <c r="Z14" s="141" t="s">
        <v>2042</v>
      </c>
      <c r="AA14" s="139" t="s">
        <v>423</v>
      </c>
      <c r="AB14" s="139" t="s">
        <v>423</v>
      </c>
      <c r="AC14" s="139" t="s">
        <v>423</v>
      </c>
      <c r="AD14" s="139" t="s">
        <v>423</v>
      </c>
      <c r="AE14" s="139" t="s">
        <v>2088</v>
      </c>
      <c r="AF14" s="139" t="s">
        <v>2014</v>
      </c>
      <c r="AG14" s="139"/>
      <c r="AH14" s="139" t="s">
        <v>423</v>
      </c>
      <c r="AI14" s="139" t="s">
        <v>423</v>
      </c>
      <c r="AJ14" s="139" t="s">
        <v>423</v>
      </c>
      <c r="AK14" s="139" t="s">
        <v>423</v>
      </c>
      <c r="AL14" s="139" t="s">
        <v>423</v>
      </c>
      <c r="AM14" s="141" t="s">
        <v>2031</v>
      </c>
      <c r="AN14" s="143" t="s">
        <v>2089</v>
      </c>
      <c r="AO14" s="139" t="s">
        <v>2017</v>
      </c>
      <c r="AP14" s="139"/>
      <c r="AQ14" s="139" t="s">
        <v>2033</v>
      </c>
      <c r="AR14" s="144" t="s">
        <v>2019</v>
      </c>
    </row>
    <row r="15" ht="15.75" customHeight="1">
      <c r="A15" s="138"/>
      <c r="B15" s="139" t="s">
        <v>1970</v>
      </c>
      <c r="C15" s="140" t="s">
        <v>2006</v>
      </c>
      <c r="D15" s="31" t="s">
        <v>2090</v>
      </c>
      <c r="E15" s="31" t="str">
        <f>IFERROR(__xludf.DUMMYFUNCTION("IF(ISBLANK(D15), """", GOOGLETRANSLATE(D15, ""es"", ""en""))"),"Cover of the purchasing process")</f>
        <v>Cover of the purchasing process</v>
      </c>
      <c r="G15" s="141">
        <v>381763.0</v>
      </c>
      <c r="H15" s="139" t="s">
        <v>2091</v>
      </c>
      <c r="I15" s="141">
        <v>5.0</v>
      </c>
      <c r="J15" s="139" t="s">
        <v>2022</v>
      </c>
      <c r="K15" s="139" t="s">
        <v>2092</v>
      </c>
      <c r="L15" s="139" t="s">
        <v>2004</v>
      </c>
      <c r="M15" s="139" t="s">
        <v>2005</v>
      </c>
      <c r="N15" s="139" t="s">
        <v>2093</v>
      </c>
      <c r="O15" s="139" t="s">
        <v>2094</v>
      </c>
      <c r="P15" s="139" t="s">
        <v>1626</v>
      </c>
      <c r="Q15" s="139" t="s">
        <v>2008</v>
      </c>
      <c r="R15" s="139" t="s">
        <v>1666</v>
      </c>
      <c r="S15" s="141">
        <v>1.391E8</v>
      </c>
      <c r="T15" s="141" t="s">
        <v>2095</v>
      </c>
      <c r="U15" s="141" t="s">
        <v>2096</v>
      </c>
      <c r="V15" s="141" t="s">
        <v>2097</v>
      </c>
      <c r="W15" s="141" t="s">
        <v>2098</v>
      </c>
      <c r="X15" s="142">
        <v>44572.833333333336</v>
      </c>
      <c r="Y15" s="142">
        <v>44784.833333333336</v>
      </c>
      <c r="Z15" s="142">
        <v>44603.833333333336</v>
      </c>
      <c r="AA15" s="139" t="s">
        <v>423</v>
      </c>
      <c r="AB15" s="139" t="s">
        <v>423</v>
      </c>
      <c r="AC15" s="139" t="s">
        <v>423</v>
      </c>
      <c r="AD15" s="139" t="s">
        <v>423</v>
      </c>
      <c r="AE15" s="139" t="s">
        <v>2088</v>
      </c>
      <c r="AF15" s="139" t="s">
        <v>2014</v>
      </c>
      <c r="AG15" s="139"/>
      <c r="AH15" s="139" t="s">
        <v>423</v>
      </c>
      <c r="AI15" s="139" t="s">
        <v>423</v>
      </c>
      <c r="AJ15" s="139" t="s">
        <v>423</v>
      </c>
      <c r="AK15" s="139" t="s">
        <v>423</v>
      </c>
      <c r="AL15" s="139" t="s">
        <v>423</v>
      </c>
      <c r="AM15" s="141" t="s">
        <v>2031</v>
      </c>
      <c r="AN15" s="143" t="s">
        <v>2099</v>
      </c>
      <c r="AO15" s="139" t="s">
        <v>2017</v>
      </c>
      <c r="AP15" s="139"/>
      <c r="AQ15" s="139" t="s">
        <v>2033</v>
      </c>
      <c r="AR15" s="144" t="s">
        <v>2019</v>
      </c>
    </row>
    <row r="16" ht="15.75" customHeight="1">
      <c r="A16" s="138"/>
      <c r="B16" s="139" t="s">
        <v>1971</v>
      </c>
      <c r="C16" s="140" t="s">
        <v>2006</v>
      </c>
      <c r="D16" s="31" t="s">
        <v>2100</v>
      </c>
      <c r="E16" s="31" t="str">
        <f>IFERROR(__xludf.DUMMYFUNCTION("IF(ISBLANK(D16), """", GOOGLETRANSLATE(D16, ""es"", ""en""))"),"Description of the purchasing process")</f>
        <v>Description of the purchasing process</v>
      </c>
      <c r="G16" s="141">
        <v>381717.0</v>
      </c>
      <c r="H16" s="139" t="s">
        <v>2101</v>
      </c>
      <c r="I16" s="141">
        <v>904.0</v>
      </c>
      <c r="J16" s="139" t="s">
        <v>2102</v>
      </c>
      <c r="K16" s="139" t="s">
        <v>2103</v>
      </c>
      <c r="L16" s="139" t="s">
        <v>2004</v>
      </c>
      <c r="M16" s="139" t="s">
        <v>2005</v>
      </c>
      <c r="N16" s="139" t="s">
        <v>2104</v>
      </c>
      <c r="O16" s="139" t="s">
        <v>2104</v>
      </c>
      <c r="P16" s="139" t="s">
        <v>2025</v>
      </c>
      <c r="Q16" s="139" t="s">
        <v>2008</v>
      </c>
      <c r="R16" s="139" t="s">
        <v>1666</v>
      </c>
      <c r="S16" s="141">
        <v>3294000.0</v>
      </c>
      <c r="T16" s="141" t="s">
        <v>2105</v>
      </c>
      <c r="U16" s="141" t="s">
        <v>2106</v>
      </c>
      <c r="V16" s="141" t="s">
        <v>2107</v>
      </c>
      <c r="W16" s="141" t="s">
        <v>2108</v>
      </c>
      <c r="X16" s="141" t="s">
        <v>2109</v>
      </c>
      <c r="Y16" s="141" t="s">
        <v>2110</v>
      </c>
      <c r="Z16" s="141" t="s">
        <v>2111</v>
      </c>
      <c r="AA16" s="139" t="s">
        <v>423</v>
      </c>
      <c r="AB16" s="139" t="s">
        <v>423</v>
      </c>
      <c r="AC16" s="139" t="s">
        <v>423</v>
      </c>
      <c r="AD16" s="139" t="s">
        <v>423</v>
      </c>
      <c r="AE16" s="139" t="s">
        <v>2112</v>
      </c>
      <c r="AF16" s="139" t="s">
        <v>2014</v>
      </c>
      <c r="AG16" s="139"/>
      <c r="AH16" s="139" t="s">
        <v>423</v>
      </c>
      <c r="AI16" s="139" t="s">
        <v>423</v>
      </c>
      <c r="AJ16" s="139" t="s">
        <v>423</v>
      </c>
      <c r="AK16" s="139" t="s">
        <v>423</v>
      </c>
      <c r="AL16" s="139" t="s">
        <v>423</v>
      </c>
      <c r="AM16" s="141" t="s">
        <v>2031</v>
      </c>
      <c r="AN16" s="143" t="s">
        <v>2113</v>
      </c>
      <c r="AO16" s="139" t="s">
        <v>2017</v>
      </c>
      <c r="AP16" s="139"/>
      <c r="AQ16" s="139" t="s">
        <v>2033</v>
      </c>
      <c r="AR16" s="144" t="s">
        <v>2019</v>
      </c>
    </row>
    <row r="17" ht="15.75" customHeight="1">
      <c r="A17" s="138"/>
      <c r="B17" s="139" t="s">
        <v>1972</v>
      </c>
      <c r="C17" s="140" t="s">
        <v>2007</v>
      </c>
      <c r="D17" s="31" t="s">
        <v>2114</v>
      </c>
      <c r="E17" s="31" t="str">
        <f>IFERROR(__xludf.DUMMYFUNCTION("IF(ISBLANK(D17), """", GOOGLETRANSLATE(D17, ""es"", ""en""))"),"Purchase process status")</f>
        <v>Purchase process status</v>
      </c>
      <c r="G17" s="141">
        <v>381760.0</v>
      </c>
      <c r="H17" s="139" t="s">
        <v>2115</v>
      </c>
      <c r="I17" s="141">
        <v>5.0</v>
      </c>
      <c r="J17" s="139" t="s">
        <v>2022</v>
      </c>
      <c r="K17" s="139" t="s">
        <v>2116</v>
      </c>
      <c r="L17" s="139" t="s">
        <v>2004</v>
      </c>
      <c r="M17" s="139" t="s">
        <v>2005</v>
      </c>
      <c r="N17" s="139" t="s">
        <v>2117</v>
      </c>
      <c r="O17" s="139" t="s">
        <v>2118</v>
      </c>
      <c r="P17" s="139" t="s">
        <v>1626</v>
      </c>
      <c r="Q17" s="139" t="s">
        <v>2008</v>
      </c>
      <c r="R17" s="139" t="s">
        <v>1666</v>
      </c>
      <c r="S17" s="141">
        <v>7005825.0</v>
      </c>
      <c r="T17" s="141" t="s">
        <v>2119</v>
      </c>
      <c r="U17" s="141" t="s">
        <v>2029</v>
      </c>
      <c r="V17" s="141" t="s">
        <v>2097</v>
      </c>
      <c r="W17" s="141" t="s">
        <v>2120</v>
      </c>
      <c r="X17" s="141" t="s">
        <v>2121</v>
      </c>
      <c r="Y17" s="142">
        <v>44753.833333333336</v>
      </c>
      <c r="Z17" s="142">
        <v>44572.833333333336</v>
      </c>
      <c r="AA17" s="139" t="s">
        <v>423</v>
      </c>
      <c r="AB17" s="139" t="s">
        <v>423</v>
      </c>
      <c r="AC17" s="139" t="s">
        <v>423</v>
      </c>
      <c r="AD17" s="139" t="s">
        <v>423</v>
      </c>
      <c r="AE17" s="139" t="s">
        <v>2063</v>
      </c>
      <c r="AF17" s="139" t="s">
        <v>2014</v>
      </c>
      <c r="AG17" s="139"/>
      <c r="AH17" s="139" t="s">
        <v>423</v>
      </c>
      <c r="AI17" s="139" t="s">
        <v>423</v>
      </c>
      <c r="AJ17" s="139" t="s">
        <v>423</v>
      </c>
      <c r="AK17" s="139" t="s">
        <v>423</v>
      </c>
      <c r="AL17" s="139" t="s">
        <v>423</v>
      </c>
      <c r="AM17" s="141" t="s">
        <v>2031</v>
      </c>
      <c r="AN17" s="143" t="s">
        <v>2122</v>
      </c>
      <c r="AO17" s="139" t="s">
        <v>2017</v>
      </c>
      <c r="AP17" s="139"/>
      <c r="AQ17" s="139" t="s">
        <v>2033</v>
      </c>
      <c r="AR17" s="144" t="s">
        <v>2019</v>
      </c>
    </row>
    <row r="18" ht="15.75" customHeight="1">
      <c r="A18" s="138"/>
      <c r="B18" s="139" t="s">
        <v>1973</v>
      </c>
      <c r="C18" s="140" t="s">
        <v>2008</v>
      </c>
      <c r="D18" s="31" t="s">
        <v>2123</v>
      </c>
      <c r="E18" s="31" t="str">
        <f>IFERROR(__xludf.DUMMYFUNCTION("IF(ISBLANK(D18), """", GOOGLETRANSLATE(D18, ""es"", ""en""))"),"Purchase process phase")</f>
        <v>Purchase process phase</v>
      </c>
      <c r="G18" s="141">
        <v>376851.0</v>
      </c>
      <c r="H18" s="139" t="s">
        <v>2124</v>
      </c>
      <c r="I18" s="141">
        <v>718.0</v>
      </c>
      <c r="J18" s="139" t="s">
        <v>2125</v>
      </c>
      <c r="K18" s="139" t="s">
        <v>2126</v>
      </c>
      <c r="L18" s="139" t="s">
        <v>2004</v>
      </c>
      <c r="M18" s="139" t="s">
        <v>2005</v>
      </c>
      <c r="N18" s="139" t="s">
        <v>2127</v>
      </c>
      <c r="O18" s="139" t="s">
        <v>2127</v>
      </c>
      <c r="P18" s="139" t="s">
        <v>1626</v>
      </c>
      <c r="Q18" s="139" t="s">
        <v>2008</v>
      </c>
      <c r="R18" s="139" t="s">
        <v>1666</v>
      </c>
      <c r="S18" s="141">
        <v>1.83234893E8</v>
      </c>
      <c r="T18" s="141" t="s">
        <v>2128</v>
      </c>
      <c r="U18" s="141" t="s">
        <v>2129</v>
      </c>
      <c r="V18" s="141" t="s">
        <v>2130</v>
      </c>
      <c r="W18" s="141" t="s">
        <v>2131</v>
      </c>
      <c r="X18" s="142">
        <v>44724.875</v>
      </c>
      <c r="Y18" s="141" t="s">
        <v>2132</v>
      </c>
      <c r="Z18" s="142">
        <v>44754.916666666664</v>
      </c>
      <c r="AA18" s="139" t="s">
        <v>423</v>
      </c>
      <c r="AB18" s="139" t="s">
        <v>423</v>
      </c>
      <c r="AC18" s="139" t="s">
        <v>423</v>
      </c>
      <c r="AD18" s="139" t="s">
        <v>423</v>
      </c>
      <c r="AE18" s="139" t="s">
        <v>2133</v>
      </c>
      <c r="AF18" s="139" t="s">
        <v>2014</v>
      </c>
      <c r="AG18" s="139"/>
      <c r="AH18" s="139" t="s">
        <v>67</v>
      </c>
      <c r="AI18" s="139" t="s">
        <v>423</v>
      </c>
      <c r="AJ18" s="139" t="s">
        <v>423</v>
      </c>
      <c r="AK18" s="139" t="s">
        <v>423</v>
      </c>
      <c r="AL18" s="139" t="s">
        <v>423</v>
      </c>
      <c r="AM18" s="141" t="s">
        <v>2134</v>
      </c>
      <c r="AN18" s="143" t="s">
        <v>2135</v>
      </c>
      <c r="AO18" s="139" t="s">
        <v>2017</v>
      </c>
      <c r="AP18" s="139"/>
      <c r="AQ18" s="139" t="s">
        <v>2033</v>
      </c>
      <c r="AR18" s="144" t="s">
        <v>2019</v>
      </c>
    </row>
    <row r="19" ht="15.75" customHeight="1">
      <c r="A19" s="138"/>
      <c r="B19" s="139" t="s">
        <v>1974</v>
      </c>
      <c r="C19" s="140" t="s">
        <v>1666</v>
      </c>
      <c r="D19" s="31" t="s">
        <v>2136</v>
      </c>
      <c r="E19" s="31" t="str">
        <f>IFERROR(__xludf.DUMMYFUNCTION("IF(ISBLANK(D19), """", GOOGLETRANSLATE(D19, ""es"", ""en""))"),"Checkout Currency")</f>
        <v>Checkout Currency</v>
      </c>
      <c r="G19" s="141">
        <v>381801.0</v>
      </c>
      <c r="H19" s="139" t="s">
        <v>2137</v>
      </c>
      <c r="I19" s="141">
        <v>240.0</v>
      </c>
      <c r="J19" s="139" t="s">
        <v>2138</v>
      </c>
      <c r="K19" s="139" t="s">
        <v>2139</v>
      </c>
      <c r="L19" s="139" t="s">
        <v>2004</v>
      </c>
      <c r="M19" s="139" t="s">
        <v>2005</v>
      </c>
      <c r="N19" s="139" t="s">
        <v>2140</v>
      </c>
      <c r="O19" s="139" t="s">
        <v>2141</v>
      </c>
      <c r="P19" s="139" t="s">
        <v>2025</v>
      </c>
      <c r="Q19" s="139" t="s">
        <v>2008</v>
      </c>
      <c r="R19" s="139" t="s">
        <v>1666</v>
      </c>
      <c r="S19" s="141">
        <v>1.9602E7</v>
      </c>
      <c r="T19" s="141" t="s">
        <v>2142</v>
      </c>
      <c r="U19" s="141" t="s">
        <v>2041</v>
      </c>
      <c r="V19" s="141" t="s">
        <v>2074</v>
      </c>
      <c r="W19" s="141" t="s">
        <v>2075</v>
      </c>
      <c r="X19" s="142">
        <v>44603.833333333336</v>
      </c>
      <c r="Y19" s="142">
        <v>44753.833333333336</v>
      </c>
      <c r="Z19" s="142">
        <v>44603.875</v>
      </c>
      <c r="AA19" s="139" t="s">
        <v>423</v>
      </c>
      <c r="AB19" s="139" t="s">
        <v>423</v>
      </c>
      <c r="AC19" s="139" t="s">
        <v>423</v>
      </c>
      <c r="AD19" s="139" t="s">
        <v>423</v>
      </c>
      <c r="AE19" s="139" t="s">
        <v>2143</v>
      </c>
      <c r="AF19" s="139" t="s">
        <v>2014</v>
      </c>
      <c r="AG19" s="139"/>
      <c r="AH19" s="139" t="s">
        <v>67</v>
      </c>
      <c r="AI19" s="139" t="s">
        <v>423</v>
      </c>
      <c r="AJ19" s="139" t="s">
        <v>423</v>
      </c>
      <c r="AK19" s="139" t="s">
        <v>423</v>
      </c>
      <c r="AL19" s="139" t="s">
        <v>423</v>
      </c>
      <c r="AM19" s="141" t="s">
        <v>2031</v>
      </c>
      <c r="AN19" s="143" t="s">
        <v>2144</v>
      </c>
      <c r="AO19" s="139" t="s">
        <v>2017</v>
      </c>
      <c r="AP19" s="139"/>
      <c r="AQ19" s="139" t="s">
        <v>2033</v>
      </c>
      <c r="AR19" s="144" t="s">
        <v>2019</v>
      </c>
    </row>
    <row r="20" ht="15.75" customHeight="1">
      <c r="A20" s="138"/>
      <c r="B20" s="139" t="s">
        <v>1975</v>
      </c>
      <c r="C20" s="140">
        <v>1.3108728E10</v>
      </c>
      <c r="D20" s="31" t="s">
        <v>2145</v>
      </c>
      <c r="E20" s="31" t="str">
        <f>IFERROR(__xludf.DUMMYFUNCTION("IF(ISBLANK(D20), """", GOOGLETRANSLATE(D20, ""es"", ""en""))"),"Purchase process amount")</f>
        <v>Purchase process amount</v>
      </c>
      <c r="G20" s="141">
        <v>381522.0</v>
      </c>
      <c r="H20" s="139" t="s">
        <v>2146</v>
      </c>
      <c r="I20" s="141">
        <v>640.0</v>
      </c>
      <c r="J20" s="139" t="s">
        <v>2147</v>
      </c>
      <c r="K20" s="139" t="s">
        <v>2148</v>
      </c>
      <c r="L20" s="139" t="s">
        <v>2004</v>
      </c>
      <c r="M20" s="139" t="s">
        <v>2005</v>
      </c>
      <c r="N20" s="139" t="s">
        <v>2149</v>
      </c>
      <c r="O20" s="139" t="s">
        <v>2149</v>
      </c>
      <c r="P20" s="139" t="s">
        <v>1626</v>
      </c>
      <c r="Q20" s="139" t="s">
        <v>2008</v>
      </c>
      <c r="R20" s="139" t="s">
        <v>1666</v>
      </c>
      <c r="S20" s="141" t="s">
        <v>2150</v>
      </c>
      <c r="T20" s="141" t="s">
        <v>2151</v>
      </c>
      <c r="U20" s="141" t="s">
        <v>2152</v>
      </c>
      <c r="V20" s="141" t="s">
        <v>2153</v>
      </c>
      <c r="W20" s="141" t="s">
        <v>2154</v>
      </c>
      <c r="X20" s="141" t="s">
        <v>2155</v>
      </c>
      <c r="Y20" s="141" t="s">
        <v>2156</v>
      </c>
      <c r="Z20" s="141" t="s">
        <v>2157</v>
      </c>
      <c r="AA20" s="139" t="s">
        <v>423</v>
      </c>
      <c r="AB20" s="139" t="s">
        <v>423</v>
      </c>
      <c r="AC20" s="139" t="s">
        <v>67</v>
      </c>
      <c r="AD20" s="139" t="s">
        <v>423</v>
      </c>
      <c r="AE20" s="139" t="s">
        <v>2158</v>
      </c>
      <c r="AF20" s="139" t="s">
        <v>2064</v>
      </c>
      <c r="AG20" s="139"/>
      <c r="AH20" s="139" t="s">
        <v>67</v>
      </c>
      <c r="AI20" s="139" t="s">
        <v>423</v>
      </c>
      <c r="AJ20" s="139" t="s">
        <v>423</v>
      </c>
      <c r="AK20" s="139" t="s">
        <v>423</v>
      </c>
      <c r="AL20" s="139" t="s">
        <v>423</v>
      </c>
      <c r="AM20" s="141" t="s">
        <v>2031</v>
      </c>
      <c r="AN20" s="143" t="s">
        <v>2159</v>
      </c>
      <c r="AO20" s="139" t="s">
        <v>2017</v>
      </c>
      <c r="AP20" s="139"/>
      <c r="AQ20" s="139" t="s">
        <v>2033</v>
      </c>
      <c r="AR20" s="144" t="s">
        <v>2019</v>
      </c>
    </row>
    <row r="21" ht="15.75" customHeight="1">
      <c r="A21" s="138"/>
      <c r="B21" s="139" t="s">
        <v>1976</v>
      </c>
      <c r="C21" s="140" t="s">
        <v>2009</v>
      </c>
      <c r="D21" s="31" t="s">
        <v>2160</v>
      </c>
      <c r="E21" s="31" t="str">
        <f>IFERROR(__xludf.DUMMYFUNCTION("IF(ISBLANK(D21), """", GOOGLETRANSLATE(D21, ""es"", ""en""))"),"Publication date")</f>
        <v>Publication date</v>
      </c>
      <c r="G21" s="141">
        <v>379445.0</v>
      </c>
      <c r="H21" s="139" t="s">
        <v>2161</v>
      </c>
      <c r="I21" s="141">
        <v>5.0</v>
      </c>
      <c r="J21" s="139" t="s">
        <v>2022</v>
      </c>
      <c r="K21" s="139" t="s">
        <v>2162</v>
      </c>
      <c r="L21" s="139" t="s">
        <v>2004</v>
      </c>
      <c r="M21" s="139" t="s">
        <v>2005</v>
      </c>
      <c r="N21" s="139" t="s">
        <v>2163</v>
      </c>
      <c r="O21" s="139" t="s">
        <v>2164</v>
      </c>
      <c r="P21" s="139" t="s">
        <v>1626</v>
      </c>
      <c r="Q21" s="139" t="s">
        <v>2008</v>
      </c>
      <c r="R21" s="139" t="s">
        <v>1666</v>
      </c>
      <c r="S21" s="141">
        <v>1.6318E8</v>
      </c>
      <c r="T21" s="141" t="s">
        <v>2165</v>
      </c>
      <c r="U21" s="142">
        <v>44722.833333333336</v>
      </c>
      <c r="V21" s="142">
        <v>44844.625</v>
      </c>
      <c r="W21" s="142">
        <v>44844.645833333336</v>
      </c>
      <c r="X21" s="141" t="s">
        <v>2166</v>
      </c>
      <c r="Y21" s="141" t="s">
        <v>2167</v>
      </c>
      <c r="Z21" s="141" t="s">
        <v>2168</v>
      </c>
      <c r="AA21" s="139" t="s">
        <v>423</v>
      </c>
      <c r="AB21" s="139" t="s">
        <v>423</v>
      </c>
      <c r="AC21" s="139" t="s">
        <v>423</v>
      </c>
      <c r="AD21" s="139" t="s">
        <v>423</v>
      </c>
      <c r="AE21" s="139" t="s">
        <v>2088</v>
      </c>
      <c r="AF21" s="139" t="s">
        <v>2014</v>
      </c>
      <c r="AG21" s="139"/>
      <c r="AH21" s="139" t="s">
        <v>423</v>
      </c>
      <c r="AI21" s="139" t="s">
        <v>423</v>
      </c>
      <c r="AJ21" s="139" t="s">
        <v>423</v>
      </c>
      <c r="AK21" s="139" t="s">
        <v>423</v>
      </c>
      <c r="AL21" s="139" t="s">
        <v>423</v>
      </c>
      <c r="AM21" s="141" t="s">
        <v>2031</v>
      </c>
      <c r="AN21" s="143" t="s">
        <v>2169</v>
      </c>
      <c r="AO21" s="139" t="s">
        <v>2017</v>
      </c>
      <c r="AP21" s="139"/>
      <c r="AQ21" s="139" t="s">
        <v>2033</v>
      </c>
      <c r="AR21" s="144" t="s">
        <v>2019</v>
      </c>
    </row>
    <row r="22" ht="15.75" customHeight="1">
      <c r="A22" s="138"/>
      <c r="B22" s="139" t="s">
        <v>1977</v>
      </c>
      <c r="C22" s="140" t="s">
        <v>2010</v>
      </c>
      <c r="D22" s="31" t="s">
        <v>2170</v>
      </c>
      <c r="E22" s="31" t="str">
        <f>IFERROR(__xludf.DUMMYFUNCTION("IF(ISBLANK(D22), """", GOOGLETRANSLATE(D22, ""es"", ""en""))"),"Amendment Date")</f>
        <v>Amendment Date</v>
      </c>
      <c r="G22" s="141">
        <v>379360.0</v>
      </c>
      <c r="H22" s="139" t="s">
        <v>2171</v>
      </c>
      <c r="I22" s="141">
        <v>1154.0</v>
      </c>
      <c r="J22" s="139" t="s">
        <v>2068</v>
      </c>
      <c r="K22" s="139" t="s">
        <v>2172</v>
      </c>
      <c r="L22" s="139" t="s">
        <v>2004</v>
      </c>
      <c r="M22" s="139" t="s">
        <v>2005</v>
      </c>
      <c r="N22" s="139" t="s">
        <v>2173</v>
      </c>
      <c r="O22" s="139" t="s">
        <v>2173</v>
      </c>
      <c r="P22" s="139" t="s">
        <v>1626</v>
      </c>
      <c r="Q22" s="139" t="s">
        <v>2008</v>
      </c>
      <c r="R22" s="139" t="s">
        <v>1666</v>
      </c>
      <c r="S22" s="141">
        <v>5697505.0</v>
      </c>
      <c r="T22" s="141" t="s">
        <v>2174</v>
      </c>
      <c r="U22" s="142">
        <v>44844.916666666664</v>
      </c>
      <c r="V22" s="142">
        <v>44875.666666666664</v>
      </c>
      <c r="W22" s="142">
        <v>44875.708333333336</v>
      </c>
      <c r="X22" s="141" t="s">
        <v>2175</v>
      </c>
      <c r="Y22" s="141" t="s">
        <v>2176</v>
      </c>
      <c r="Z22" s="141" t="s">
        <v>2177</v>
      </c>
      <c r="AA22" s="139" t="s">
        <v>423</v>
      </c>
      <c r="AB22" s="139" t="s">
        <v>423</v>
      </c>
      <c r="AC22" s="139" t="s">
        <v>423</v>
      </c>
      <c r="AD22" s="139" t="s">
        <v>423</v>
      </c>
      <c r="AE22" s="139" t="s">
        <v>2076</v>
      </c>
      <c r="AF22" s="139" t="s">
        <v>2178</v>
      </c>
      <c r="AG22" s="139" t="s">
        <v>2178</v>
      </c>
      <c r="AH22" s="139" t="s">
        <v>67</v>
      </c>
      <c r="AI22" s="139" t="s">
        <v>423</v>
      </c>
      <c r="AJ22" s="139" t="s">
        <v>423</v>
      </c>
      <c r="AK22" s="139" t="s">
        <v>423</v>
      </c>
      <c r="AL22" s="139" t="s">
        <v>423</v>
      </c>
      <c r="AM22" s="141" t="s">
        <v>2031</v>
      </c>
      <c r="AN22" s="143" t="s">
        <v>2179</v>
      </c>
      <c r="AO22" s="139" t="s">
        <v>2017</v>
      </c>
      <c r="AP22" s="139"/>
      <c r="AQ22" s="139" t="s">
        <v>2033</v>
      </c>
      <c r="AR22" s="144" t="s">
        <v>2019</v>
      </c>
    </row>
    <row r="23" ht="15.75" customHeight="1">
      <c r="A23" s="138"/>
      <c r="B23" s="139" t="s">
        <v>1978</v>
      </c>
      <c r="C23" s="145">
        <v>44600.583333333336</v>
      </c>
      <c r="D23" s="31" t="s">
        <v>2180</v>
      </c>
      <c r="E23" s="31" t="str">
        <f>IFERROR(__xludf.DUMMYFUNCTION("IF(ISBLANK(D23), """", GOOGLETRANSLATE(D23, ""es"", ""en""))"),"End Date of Reception of Offers")</f>
        <v>End Date of Reception of Offers</v>
      </c>
      <c r="G23" s="141">
        <v>377015.0</v>
      </c>
      <c r="H23" s="139" t="s">
        <v>2181</v>
      </c>
      <c r="I23" s="141">
        <v>1154.0</v>
      </c>
      <c r="J23" s="139" t="s">
        <v>2068</v>
      </c>
      <c r="K23" s="139" t="s">
        <v>2182</v>
      </c>
      <c r="L23" s="139" t="s">
        <v>2004</v>
      </c>
      <c r="M23" s="139" t="s">
        <v>2005</v>
      </c>
      <c r="N23" s="139" t="s">
        <v>2183</v>
      </c>
      <c r="O23" s="139" t="s">
        <v>2183</v>
      </c>
      <c r="P23" s="139" t="s">
        <v>1626</v>
      </c>
      <c r="Q23" s="139" t="s">
        <v>2008</v>
      </c>
      <c r="R23" s="139" t="s">
        <v>1666</v>
      </c>
      <c r="S23" s="141">
        <v>1.371232303E9</v>
      </c>
      <c r="T23" s="141" t="s">
        <v>2184</v>
      </c>
      <c r="U23" s="141" t="s">
        <v>2185</v>
      </c>
      <c r="V23" s="141" t="s">
        <v>2186</v>
      </c>
      <c r="W23" s="141" t="s">
        <v>2187</v>
      </c>
      <c r="X23" s="142">
        <v>44691.915972222225</v>
      </c>
      <c r="Y23" s="142">
        <v>44752.915972222225</v>
      </c>
      <c r="Z23" s="142">
        <v>44691.916666666664</v>
      </c>
      <c r="AA23" s="139" t="s">
        <v>423</v>
      </c>
      <c r="AB23" s="139" t="s">
        <v>423</v>
      </c>
      <c r="AC23" s="139" t="s">
        <v>67</v>
      </c>
      <c r="AD23" s="139" t="s">
        <v>423</v>
      </c>
      <c r="AE23" s="139" t="s">
        <v>2076</v>
      </c>
      <c r="AF23" s="139" t="s">
        <v>2064</v>
      </c>
      <c r="AG23" s="139"/>
      <c r="AH23" s="139" t="s">
        <v>67</v>
      </c>
      <c r="AI23" s="139" t="s">
        <v>423</v>
      </c>
      <c r="AJ23" s="139" t="s">
        <v>423</v>
      </c>
      <c r="AK23" s="139" t="s">
        <v>423</v>
      </c>
      <c r="AL23" s="139" t="s">
        <v>423</v>
      </c>
      <c r="AM23" s="141" t="s">
        <v>2031</v>
      </c>
      <c r="AN23" s="143" t="s">
        <v>2188</v>
      </c>
      <c r="AO23" s="139" t="s">
        <v>2017</v>
      </c>
      <c r="AP23" s="139"/>
      <c r="AQ23" s="139" t="s">
        <v>2033</v>
      </c>
      <c r="AR23" s="144" t="s">
        <v>2019</v>
      </c>
    </row>
    <row r="24" ht="15.75" customHeight="1">
      <c r="A24" s="138"/>
      <c r="B24" s="139" t="s">
        <v>1979</v>
      </c>
      <c r="C24" s="145">
        <v>44600.604166666664</v>
      </c>
      <c r="D24" s="31" t="s">
        <v>2189</v>
      </c>
      <c r="E24" s="31" t="str">
        <f>IFERROR(__xludf.DUMMYFUNCTION("IF(ISBLANK(D24), """", GOOGLETRANSLATE(D24, ""es"", ""en""))"),"Bid Opening Date")</f>
        <v>Bid Opening Date</v>
      </c>
      <c r="G24" s="141">
        <v>381870.0</v>
      </c>
      <c r="H24" s="139" t="s">
        <v>2190</v>
      </c>
      <c r="I24" s="141">
        <v>5.0</v>
      </c>
      <c r="J24" s="139" t="s">
        <v>2022</v>
      </c>
      <c r="K24" s="139" t="s">
        <v>2191</v>
      </c>
      <c r="L24" s="139" t="s">
        <v>2004</v>
      </c>
      <c r="M24" s="139" t="s">
        <v>2005</v>
      </c>
      <c r="N24" s="139" t="s">
        <v>2192</v>
      </c>
      <c r="O24" s="139" t="s">
        <v>2193</v>
      </c>
      <c r="P24" s="139" t="s">
        <v>1626</v>
      </c>
      <c r="Q24" s="139" t="s">
        <v>2008</v>
      </c>
      <c r="R24" s="139" t="s">
        <v>1666</v>
      </c>
      <c r="S24" s="141">
        <v>3.0E7</v>
      </c>
      <c r="T24" s="141" t="s">
        <v>2194</v>
      </c>
      <c r="U24" s="141" t="s">
        <v>2195</v>
      </c>
      <c r="V24" s="141" t="s">
        <v>2196</v>
      </c>
      <c r="W24" s="141" t="s">
        <v>2074</v>
      </c>
      <c r="X24" s="142">
        <v>44603.875</v>
      </c>
      <c r="Y24" s="142">
        <v>44784.833333333336</v>
      </c>
      <c r="Z24" s="142">
        <v>44631.875</v>
      </c>
      <c r="AA24" s="139" t="s">
        <v>423</v>
      </c>
      <c r="AB24" s="139" t="s">
        <v>423</v>
      </c>
      <c r="AC24" s="139" t="s">
        <v>423</v>
      </c>
      <c r="AD24" s="139" t="s">
        <v>423</v>
      </c>
      <c r="AE24" s="139" t="s">
        <v>2088</v>
      </c>
      <c r="AF24" s="139" t="s">
        <v>2014</v>
      </c>
      <c r="AG24" s="139"/>
      <c r="AH24" s="139" t="s">
        <v>423</v>
      </c>
      <c r="AI24" s="139" t="s">
        <v>423</v>
      </c>
      <c r="AJ24" s="139" t="s">
        <v>423</v>
      </c>
      <c r="AK24" s="139" t="s">
        <v>423</v>
      </c>
      <c r="AL24" s="139" t="s">
        <v>423</v>
      </c>
      <c r="AM24" s="141" t="s">
        <v>2031</v>
      </c>
      <c r="AN24" s="143" t="s">
        <v>2197</v>
      </c>
      <c r="AO24" s="139" t="s">
        <v>2017</v>
      </c>
      <c r="AP24" s="139"/>
      <c r="AQ24" s="139" t="s">
        <v>2033</v>
      </c>
      <c r="AR24" s="144" t="s">
        <v>2019</v>
      </c>
    </row>
    <row r="25" ht="15.75" customHeight="1">
      <c r="A25" s="138"/>
      <c r="B25" s="139" t="s">
        <v>1980</v>
      </c>
      <c r="C25" s="145">
        <v>44903.916666666664</v>
      </c>
      <c r="D25" s="31" t="s">
        <v>2198</v>
      </c>
      <c r="E25" s="31" t="str">
        <f>IFERROR(__xludf.DUMMYFUNCTION("IF(ISBLANK(D25), """", GOOGLETRANSLATE(D25, ""es"", ""en""))"),"Estimated Award Date")</f>
        <v>Estimated Award Date</v>
      </c>
      <c r="G25" s="141">
        <v>382111.0</v>
      </c>
      <c r="H25" s="139" t="s">
        <v>2199</v>
      </c>
      <c r="I25" s="141">
        <v>904.0</v>
      </c>
      <c r="J25" s="139" t="s">
        <v>2102</v>
      </c>
      <c r="K25" s="139" t="s">
        <v>2200</v>
      </c>
      <c r="L25" s="139" t="s">
        <v>2004</v>
      </c>
      <c r="M25" s="139" t="s">
        <v>2005</v>
      </c>
      <c r="N25" s="139" t="s">
        <v>2201</v>
      </c>
      <c r="O25" s="139" t="s">
        <v>2202</v>
      </c>
      <c r="P25" s="139" t="s">
        <v>1626</v>
      </c>
      <c r="Q25" s="139" t="s">
        <v>2008</v>
      </c>
      <c r="R25" s="139" t="s">
        <v>1666</v>
      </c>
      <c r="S25" s="141" t="s">
        <v>2203</v>
      </c>
      <c r="T25" s="141" t="s">
        <v>2204</v>
      </c>
      <c r="U25" s="141" t="s">
        <v>2205</v>
      </c>
      <c r="V25" s="141" t="s">
        <v>2206</v>
      </c>
      <c r="W25" s="141" t="s">
        <v>2075</v>
      </c>
      <c r="X25" s="141" t="s">
        <v>2207</v>
      </c>
      <c r="Y25" s="141" t="s">
        <v>2208</v>
      </c>
      <c r="Z25" s="141" t="s">
        <v>2209</v>
      </c>
      <c r="AA25" s="139" t="s">
        <v>423</v>
      </c>
      <c r="AB25" s="139" t="s">
        <v>423</v>
      </c>
      <c r="AC25" s="139" t="s">
        <v>423</v>
      </c>
      <c r="AD25" s="139" t="s">
        <v>423</v>
      </c>
      <c r="AE25" s="139" t="s">
        <v>2112</v>
      </c>
      <c r="AF25" s="139" t="s">
        <v>2014</v>
      </c>
      <c r="AG25" s="139"/>
      <c r="AH25" s="139" t="s">
        <v>423</v>
      </c>
      <c r="AI25" s="139" t="s">
        <v>423</v>
      </c>
      <c r="AJ25" s="139" t="s">
        <v>423</v>
      </c>
      <c r="AK25" s="139" t="s">
        <v>423</v>
      </c>
      <c r="AL25" s="139" t="s">
        <v>423</v>
      </c>
      <c r="AM25" s="141" t="s">
        <v>2031</v>
      </c>
      <c r="AN25" s="143" t="s">
        <v>2210</v>
      </c>
      <c r="AO25" s="139" t="s">
        <v>2017</v>
      </c>
      <c r="AP25" s="139"/>
      <c r="AQ25" s="139" t="s">
        <v>2033</v>
      </c>
      <c r="AR25" s="144" t="s">
        <v>2019</v>
      </c>
    </row>
    <row r="26" ht="15.75" customHeight="1">
      <c r="A26" s="138"/>
      <c r="B26" s="139" t="s">
        <v>1981</v>
      </c>
      <c r="C26" s="140" t="s">
        <v>2011</v>
      </c>
      <c r="D26" s="31" t="s">
        <v>2211</v>
      </c>
      <c r="E26" s="31" t="str">
        <f>IFERROR(__xludf.DUMMYFUNCTION("IF(ISBLANK(D26), """", GOOGLETRANSLATE(D26, ""es"", ""en""))"),"Subscription Date")</f>
        <v>Subscription Date</v>
      </c>
      <c r="G26" s="141">
        <v>382132.0</v>
      </c>
      <c r="H26" s="139" t="s">
        <v>2212</v>
      </c>
      <c r="I26" s="141">
        <v>887.0</v>
      </c>
      <c r="J26" s="139" t="s">
        <v>2213</v>
      </c>
      <c r="K26" s="139" t="s">
        <v>2214</v>
      </c>
      <c r="L26" s="139" t="s">
        <v>2004</v>
      </c>
      <c r="M26" s="139" t="s">
        <v>2005</v>
      </c>
      <c r="N26" s="139" t="s">
        <v>2215</v>
      </c>
      <c r="O26" s="139" t="s">
        <v>2216</v>
      </c>
      <c r="P26" s="139" t="s">
        <v>1626</v>
      </c>
      <c r="Q26" s="139" t="s">
        <v>2008</v>
      </c>
      <c r="R26" s="139" t="s">
        <v>1666</v>
      </c>
      <c r="S26" s="141">
        <v>2.4754785E7</v>
      </c>
      <c r="T26" s="141" t="s">
        <v>2217</v>
      </c>
      <c r="U26" s="141" t="s">
        <v>2028</v>
      </c>
      <c r="V26" s="141" t="s">
        <v>2218</v>
      </c>
      <c r="W26" s="141" t="s">
        <v>2219</v>
      </c>
      <c r="X26" s="142">
        <v>44603.875</v>
      </c>
      <c r="Y26" s="142">
        <v>44662.875</v>
      </c>
      <c r="Z26" s="142">
        <v>44631.875</v>
      </c>
      <c r="AA26" s="139" t="s">
        <v>423</v>
      </c>
      <c r="AB26" s="139" t="s">
        <v>423</v>
      </c>
      <c r="AC26" s="139" t="s">
        <v>423</v>
      </c>
      <c r="AD26" s="139" t="s">
        <v>423</v>
      </c>
      <c r="AE26" s="139" t="s">
        <v>2220</v>
      </c>
      <c r="AF26" s="139" t="s">
        <v>2014</v>
      </c>
      <c r="AG26" s="139"/>
      <c r="AH26" s="139" t="s">
        <v>423</v>
      </c>
      <c r="AI26" s="139" t="s">
        <v>423</v>
      </c>
      <c r="AJ26" s="139" t="s">
        <v>423</v>
      </c>
      <c r="AK26" s="139" t="s">
        <v>423</v>
      </c>
      <c r="AL26" s="139" t="s">
        <v>423</v>
      </c>
      <c r="AM26" s="141" t="s">
        <v>2031</v>
      </c>
      <c r="AN26" s="143" t="s">
        <v>2221</v>
      </c>
      <c r="AO26" s="139" t="s">
        <v>2017</v>
      </c>
      <c r="AP26" s="139"/>
      <c r="AQ26" s="139" t="s">
        <v>2033</v>
      </c>
      <c r="AR26" s="144" t="s">
        <v>2019</v>
      </c>
    </row>
    <row r="27" ht="15.75" customHeight="1">
      <c r="A27" s="138"/>
      <c r="B27" s="139" t="s">
        <v>1982</v>
      </c>
      <c r="C27" s="140" t="s">
        <v>2012</v>
      </c>
      <c r="D27" s="31" t="s">
        <v>2222</v>
      </c>
      <c r="E27" s="31" t="str">
        <f>IFERROR(__xludf.DUMMYFUNCTION("IF(ISBLANK(D27), """", GOOGLETRANSLATE(D27, ""es"", ""en""))"),"Bidder Qualification Date")</f>
        <v>Bidder Qualification Date</v>
      </c>
      <c r="G27" s="141">
        <v>377047.0</v>
      </c>
      <c r="H27" s="139" t="s">
        <v>2223</v>
      </c>
      <c r="I27" s="141">
        <v>582.0</v>
      </c>
      <c r="J27" s="139" t="s">
        <v>2224</v>
      </c>
      <c r="K27" s="139" t="s">
        <v>2225</v>
      </c>
      <c r="L27" s="139" t="s">
        <v>2004</v>
      </c>
      <c r="M27" s="139" t="s">
        <v>2005</v>
      </c>
      <c r="N27" s="139" t="s">
        <v>2226</v>
      </c>
      <c r="O27" s="139" t="s">
        <v>2226</v>
      </c>
      <c r="P27" s="139" t="s">
        <v>1626</v>
      </c>
      <c r="Q27" s="139" t="s">
        <v>2008</v>
      </c>
      <c r="R27" s="139" t="s">
        <v>1666</v>
      </c>
      <c r="S27" s="141">
        <v>5.86738446E8</v>
      </c>
      <c r="T27" s="141" t="s">
        <v>2227</v>
      </c>
      <c r="U27" s="142">
        <v>44691.75</v>
      </c>
      <c r="V27" s="142">
        <v>44752.583333333336</v>
      </c>
      <c r="W27" s="142">
        <v>44752.586805555555</v>
      </c>
      <c r="X27" s="141" t="s">
        <v>2029</v>
      </c>
      <c r="Y27" s="141" t="s">
        <v>2228</v>
      </c>
      <c r="Z27" s="141" t="s">
        <v>2229</v>
      </c>
      <c r="AA27" s="139" t="s">
        <v>423</v>
      </c>
      <c r="AB27" s="139" t="s">
        <v>423</v>
      </c>
      <c r="AC27" s="139" t="s">
        <v>423</v>
      </c>
      <c r="AD27" s="139" t="s">
        <v>423</v>
      </c>
      <c r="AE27" s="139" t="s">
        <v>2230</v>
      </c>
      <c r="AF27" s="139" t="s">
        <v>2014</v>
      </c>
      <c r="AG27" s="139"/>
      <c r="AH27" s="139" t="s">
        <v>67</v>
      </c>
      <c r="AI27" s="139" t="s">
        <v>423</v>
      </c>
      <c r="AJ27" s="139" t="s">
        <v>423</v>
      </c>
      <c r="AK27" s="139" t="s">
        <v>423</v>
      </c>
      <c r="AL27" s="139" t="s">
        <v>423</v>
      </c>
      <c r="AM27" s="141" t="s">
        <v>2031</v>
      </c>
      <c r="AN27" s="143" t="s">
        <v>2231</v>
      </c>
      <c r="AO27" s="139" t="s">
        <v>2017</v>
      </c>
      <c r="AP27" s="139"/>
      <c r="AQ27" s="139" t="s">
        <v>2033</v>
      </c>
      <c r="AR27" s="144" t="s">
        <v>2019</v>
      </c>
    </row>
    <row r="28" ht="15.75" customHeight="1">
      <c r="A28" s="138"/>
      <c r="B28" s="139" t="s">
        <v>1983</v>
      </c>
      <c r="C28" s="140" t="s">
        <v>423</v>
      </c>
      <c r="D28" s="31" t="s">
        <v>2232</v>
      </c>
      <c r="E28" s="31" t="str">
        <f>IFERROR(__xludf.DUMMYFUNCTION("IF(ISBLANK(D28), """", GOOGLETRANSLATE(D28, ""es"", ""en""))"),"Aimed at Micro, Small and Medium Enterprises (YES / NO)")</f>
        <v>Aimed at Micro, Small and Medium Enterprises (YES / NO)</v>
      </c>
      <c r="G28" s="141">
        <v>382131.0</v>
      </c>
      <c r="H28" s="139" t="s">
        <v>2233</v>
      </c>
      <c r="I28" s="141">
        <v>887.0</v>
      </c>
      <c r="J28" s="139" t="s">
        <v>2213</v>
      </c>
      <c r="K28" s="139" t="s">
        <v>2234</v>
      </c>
      <c r="L28" s="139" t="s">
        <v>2004</v>
      </c>
      <c r="M28" s="139" t="s">
        <v>2005</v>
      </c>
      <c r="N28" s="139" t="s">
        <v>2235</v>
      </c>
      <c r="O28" s="139" t="s">
        <v>2236</v>
      </c>
      <c r="P28" s="139" t="s">
        <v>1626</v>
      </c>
      <c r="Q28" s="139" t="s">
        <v>2008</v>
      </c>
      <c r="R28" s="139" t="s">
        <v>1666</v>
      </c>
      <c r="S28" s="141" t="s">
        <v>2237</v>
      </c>
      <c r="T28" s="141" t="s">
        <v>2238</v>
      </c>
      <c r="U28" s="141" t="s">
        <v>2028</v>
      </c>
      <c r="V28" s="141" t="s">
        <v>2218</v>
      </c>
      <c r="W28" s="141" t="s">
        <v>2219</v>
      </c>
      <c r="X28" s="142">
        <v>44603.875</v>
      </c>
      <c r="Y28" s="142">
        <v>44662.875</v>
      </c>
      <c r="Z28" s="142">
        <v>44631.875</v>
      </c>
      <c r="AA28" s="139" t="s">
        <v>423</v>
      </c>
      <c r="AB28" s="139" t="s">
        <v>423</v>
      </c>
      <c r="AC28" s="139" t="s">
        <v>423</v>
      </c>
      <c r="AD28" s="139" t="s">
        <v>423</v>
      </c>
      <c r="AE28" s="139" t="s">
        <v>2239</v>
      </c>
      <c r="AF28" s="139" t="s">
        <v>2014</v>
      </c>
      <c r="AG28" s="139"/>
      <c r="AH28" s="139" t="s">
        <v>67</v>
      </c>
      <c r="AI28" s="139" t="s">
        <v>423</v>
      </c>
      <c r="AJ28" s="139" t="s">
        <v>423</v>
      </c>
      <c r="AK28" s="139" t="s">
        <v>423</v>
      </c>
      <c r="AL28" s="139" t="s">
        <v>423</v>
      </c>
      <c r="AM28" s="141" t="s">
        <v>2240</v>
      </c>
      <c r="AN28" s="143" t="s">
        <v>2241</v>
      </c>
      <c r="AO28" s="139" t="s">
        <v>2017</v>
      </c>
      <c r="AP28" s="139"/>
      <c r="AQ28" s="139" t="s">
        <v>2033</v>
      </c>
      <c r="AR28" s="144" t="s">
        <v>2019</v>
      </c>
    </row>
    <row r="29" ht="15.75" customHeight="1">
      <c r="A29" s="138"/>
      <c r="B29" s="139" t="s">
        <v>1984</v>
      </c>
      <c r="C29" s="140" t="s">
        <v>423</v>
      </c>
      <c r="D29" s="31" t="s">
        <v>2242</v>
      </c>
      <c r="E29" s="31" t="str">
        <f>IFERROR(__xludf.DUMMYFUNCTION("IF(ISBLANK(D29), """", GOOGLETRANSLATE(D29, ""es"", ""en""))"),"Aimed at Micro, Small and Medium Enterprises for women (YES / NO)")</f>
        <v>Aimed at Micro, Small and Medium Enterprises for women (YES / NO)</v>
      </c>
      <c r="G29" s="141">
        <v>381914.0</v>
      </c>
      <c r="H29" s="139" t="s">
        <v>2243</v>
      </c>
      <c r="I29" s="141">
        <v>612.0</v>
      </c>
      <c r="J29" s="139" t="s">
        <v>2244</v>
      </c>
      <c r="K29" s="139" t="s">
        <v>2245</v>
      </c>
      <c r="L29" s="139" t="s">
        <v>2004</v>
      </c>
      <c r="M29" s="139" t="s">
        <v>2005</v>
      </c>
      <c r="N29" s="139" t="s">
        <v>2246</v>
      </c>
      <c r="O29" s="139" t="s">
        <v>2246</v>
      </c>
      <c r="P29" s="139" t="s">
        <v>1626</v>
      </c>
      <c r="Q29" s="139" t="s">
        <v>2008</v>
      </c>
      <c r="R29" s="139" t="s">
        <v>1666</v>
      </c>
      <c r="S29" s="141">
        <v>3.8631048E7</v>
      </c>
      <c r="T29" s="141" t="s">
        <v>2247</v>
      </c>
      <c r="U29" s="141" t="s">
        <v>2248</v>
      </c>
      <c r="V29" s="141" t="s">
        <v>2152</v>
      </c>
      <c r="W29" s="141" t="s">
        <v>2153</v>
      </c>
      <c r="X29" s="142">
        <v>44603.666666666664</v>
      </c>
      <c r="Y29" s="142">
        <v>44784.833333333336</v>
      </c>
      <c r="Z29" s="142">
        <v>44631.833333333336</v>
      </c>
      <c r="AA29" s="139" t="s">
        <v>423</v>
      </c>
      <c r="AB29" s="139" t="s">
        <v>423</v>
      </c>
      <c r="AC29" s="139" t="s">
        <v>423</v>
      </c>
      <c r="AD29" s="139" t="s">
        <v>423</v>
      </c>
      <c r="AE29" s="139" t="s">
        <v>2249</v>
      </c>
      <c r="AF29" s="139" t="s">
        <v>2014</v>
      </c>
      <c r="AG29" s="139"/>
      <c r="AH29" s="139" t="s">
        <v>67</v>
      </c>
      <c r="AI29" s="139" t="s">
        <v>423</v>
      </c>
      <c r="AJ29" s="139" t="s">
        <v>423</v>
      </c>
      <c r="AK29" s="139" t="s">
        <v>423</v>
      </c>
      <c r="AL29" s="139" t="s">
        <v>423</v>
      </c>
      <c r="AM29" s="141" t="s">
        <v>2250</v>
      </c>
      <c r="AN29" s="143" t="s">
        <v>2251</v>
      </c>
      <c r="AO29" s="139" t="s">
        <v>2017</v>
      </c>
      <c r="AP29" s="139"/>
      <c r="AQ29" s="139" t="s">
        <v>2033</v>
      </c>
      <c r="AR29" s="144" t="s">
        <v>2019</v>
      </c>
    </row>
    <row r="30" ht="15.75" customHeight="1">
      <c r="A30" s="138"/>
      <c r="B30" s="139" t="s">
        <v>1985</v>
      </c>
      <c r="C30" s="140" t="s">
        <v>423</v>
      </c>
      <c r="D30" s="31" t="s">
        <v>2252</v>
      </c>
      <c r="E30" s="31" t="str">
        <f>IFERROR(__xludf.DUMMYFUNCTION("IF(ISBLANK(D30), """", GOOGLETRANSLATE(D30, ""es"", ""en""))"),"Batch process (YES / NO)")</f>
        <v>Batch process (YES / NO)</v>
      </c>
      <c r="G30" s="141">
        <v>377028.0</v>
      </c>
      <c r="H30" s="139" t="s">
        <v>2253</v>
      </c>
      <c r="I30" s="141">
        <v>209.0</v>
      </c>
      <c r="J30" s="139" t="s">
        <v>2254</v>
      </c>
      <c r="K30" s="139" t="s">
        <v>2255</v>
      </c>
      <c r="L30" s="139" t="s">
        <v>2004</v>
      </c>
      <c r="M30" s="139" t="s">
        <v>2005</v>
      </c>
      <c r="N30" s="139" t="s">
        <v>2256</v>
      </c>
      <c r="O30" s="139" t="s">
        <v>2256</v>
      </c>
      <c r="P30" s="139" t="s">
        <v>1626</v>
      </c>
      <c r="Q30" s="139" t="s">
        <v>2008</v>
      </c>
      <c r="R30" s="139" t="s">
        <v>1666</v>
      </c>
      <c r="S30" s="141">
        <v>1.59184125E8</v>
      </c>
      <c r="T30" s="141" t="s">
        <v>2257</v>
      </c>
      <c r="U30" s="141" t="s">
        <v>2258</v>
      </c>
      <c r="V30" s="141" t="s">
        <v>2259</v>
      </c>
      <c r="W30" s="141" t="s">
        <v>2260</v>
      </c>
      <c r="X30" s="142">
        <v>44630.583333333336</v>
      </c>
      <c r="Y30" s="142">
        <v>44630.75</v>
      </c>
      <c r="Z30" s="142">
        <v>44630.708333333336</v>
      </c>
      <c r="AA30" s="139" t="s">
        <v>423</v>
      </c>
      <c r="AB30" s="139" t="s">
        <v>423</v>
      </c>
      <c r="AC30" s="139" t="s">
        <v>67</v>
      </c>
      <c r="AD30" s="139" t="s">
        <v>423</v>
      </c>
      <c r="AE30" s="139" t="s">
        <v>2261</v>
      </c>
      <c r="AF30" s="139" t="s">
        <v>2014</v>
      </c>
      <c r="AG30" s="139"/>
      <c r="AH30" s="139" t="s">
        <v>67</v>
      </c>
      <c r="AI30" s="139" t="s">
        <v>423</v>
      </c>
      <c r="AJ30" s="139" t="s">
        <v>423</v>
      </c>
      <c r="AK30" s="139" t="s">
        <v>423</v>
      </c>
      <c r="AL30" s="139" t="s">
        <v>423</v>
      </c>
      <c r="AM30" s="141" t="s">
        <v>2031</v>
      </c>
      <c r="AN30" s="143" t="s">
        <v>2262</v>
      </c>
      <c r="AO30" s="139" t="s">
        <v>2017</v>
      </c>
      <c r="AP30" s="139"/>
      <c r="AQ30" s="139" t="s">
        <v>2033</v>
      </c>
      <c r="AR30" s="144" t="s">
        <v>2019</v>
      </c>
    </row>
    <row r="31" ht="15.75" customHeight="1">
      <c r="A31" s="138"/>
      <c r="B31" s="139" t="s">
        <v>1986</v>
      </c>
      <c r="C31" s="140" t="s">
        <v>423</v>
      </c>
      <c r="D31" s="31" t="s">
        <v>2263</v>
      </c>
      <c r="E31" s="31" t="str">
        <f>IFERROR(__xludf.DUMMYFUNCTION("IF(ISBLANK(D31), """", GOOGLETRANSLATE(D31, ""es"", ""en""))"),"Planned acquisition (YES / NO)")</f>
        <v>Planned acquisition (YES / NO)</v>
      </c>
      <c r="G31" s="141">
        <v>382130.0</v>
      </c>
      <c r="H31" s="139" t="s">
        <v>2264</v>
      </c>
      <c r="I31" s="141">
        <v>134.0</v>
      </c>
      <c r="J31" s="139" t="s">
        <v>2047</v>
      </c>
      <c r="K31" s="139" t="s">
        <v>2265</v>
      </c>
      <c r="L31" s="139" t="s">
        <v>2004</v>
      </c>
      <c r="M31" s="139" t="s">
        <v>2005</v>
      </c>
      <c r="N31" s="139" t="s">
        <v>2266</v>
      </c>
      <c r="O31" s="139" t="s">
        <v>2266</v>
      </c>
      <c r="P31" s="139" t="s">
        <v>1626</v>
      </c>
      <c r="Q31" s="139" t="s">
        <v>2008</v>
      </c>
      <c r="R31" s="139" t="s">
        <v>1666</v>
      </c>
      <c r="S31" s="141">
        <v>1.0056E8</v>
      </c>
      <c r="T31" s="141" t="s">
        <v>2267</v>
      </c>
      <c r="U31" s="141" t="s">
        <v>2051</v>
      </c>
      <c r="V31" s="141" t="s">
        <v>2268</v>
      </c>
      <c r="W31" s="141" t="s">
        <v>2269</v>
      </c>
      <c r="X31" s="142">
        <v>44845.583333333336</v>
      </c>
      <c r="Y31" s="141" t="s">
        <v>2270</v>
      </c>
      <c r="Z31" s="142">
        <v>44845.875</v>
      </c>
      <c r="AA31" s="139" t="s">
        <v>423</v>
      </c>
      <c r="AB31" s="139" t="s">
        <v>423</v>
      </c>
      <c r="AC31" s="139" t="s">
        <v>67</v>
      </c>
      <c r="AD31" s="139" t="s">
        <v>423</v>
      </c>
      <c r="AE31" s="139" t="s">
        <v>2030</v>
      </c>
      <c r="AF31" s="139" t="s">
        <v>2014</v>
      </c>
      <c r="AG31" s="139"/>
      <c r="AH31" s="139" t="s">
        <v>423</v>
      </c>
      <c r="AI31" s="139" t="s">
        <v>423</v>
      </c>
      <c r="AJ31" s="139" t="s">
        <v>423</v>
      </c>
      <c r="AK31" s="139" t="s">
        <v>423</v>
      </c>
      <c r="AL31" s="139" t="s">
        <v>423</v>
      </c>
      <c r="AM31" s="141" t="s">
        <v>2031</v>
      </c>
      <c r="AN31" s="143" t="s">
        <v>2271</v>
      </c>
      <c r="AO31" s="139" t="s">
        <v>2017</v>
      </c>
      <c r="AP31" s="139"/>
      <c r="AQ31" s="139" t="s">
        <v>2033</v>
      </c>
      <c r="AR31" s="144" t="s">
        <v>2019</v>
      </c>
    </row>
    <row r="32" ht="15.75" customHeight="1">
      <c r="A32" s="138"/>
      <c r="B32" s="139" t="s">
        <v>1987</v>
      </c>
      <c r="C32" s="140" t="s">
        <v>2013</v>
      </c>
      <c r="D32" s="31"/>
      <c r="E32" s="31" t="str">
        <f>IFERROR(__xludf.DUMMYFUNCTION("IF(ISBLANK(D32), """", GOOGLETRANSLATE(D32, ""es"", ""en""))"),"")</f>
        <v/>
      </c>
      <c r="G32" s="141">
        <v>382080.0</v>
      </c>
      <c r="H32" s="139" t="s">
        <v>2272</v>
      </c>
      <c r="I32" s="141">
        <v>904.0</v>
      </c>
      <c r="J32" s="139" t="s">
        <v>2102</v>
      </c>
      <c r="K32" s="139" t="s">
        <v>2273</v>
      </c>
      <c r="L32" s="139" t="s">
        <v>2004</v>
      </c>
      <c r="M32" s="139" t="s">
        <v>2005</v>
      </c>
      <c r="N32" s="139" t="s">
        <v>2274</v>
      </c>
      <c r="O32" s="139" t="s">
        <v>2274</v>
      </c>
      <c r="P32" s="139" t="s">
        <v>1626</v>
      </c>
      <c r="Q32" s="139" t="s">
        <v>2008</v>
      </c>
      <c r="R32" s="139" t="s">
        <v>1666</v>
      </c>
      <c r="S32" s="141">
        <v>3381974.0</v>
      </c>
      <c r="T32" s="141" t="s">
        <v>2275</v>
      </c>
      <c r="U32" s="141" t="s">
        <v>2276</v>
      </c>
      <c r="V32" s="141" t="s">
        <v>2277</v>
      </c>
      <c r="W32" s="141" t="s">
        <v>2074</v>
      </c>
      <c r="X32" s="141" t="s">
        <v>2278</v>
      </c>
      <c r="Y32" s="141" t="s">
        <v>2279</v>
      </c>
      <c r="Z32" s="141" t="s">
        <v>2280</v>
      </c>
      <c r="AA32" s="139" t="s">
        <v>423</v>
      </c>
      <c r="AB32" s="139" t="s">
        <v>423</v>
      </c>
      <c r="AC32" s="139" t="s">
        <v>423</v>
      </c>
      <c r="AD32" s="139" t="s">
        <v>423</v>
      </c>
      <c r="AE32" s="139" t="s">
        <v>2112</v>
      </c>
      <c r="AF32" s="139" t="s">
        <v>2014</v>
      </c>
      <c r="AG32" s="139"/>
      <c r="AH32" s="139" t="s">
        <v>423</v>
      </c>
      <c r="AI32" s="139" t="s">
        <v>423</v>
      </c>
      <c r="AJ32" s="139" t="s">
        <v>423</v>
      </c>
      <c r="AK32" s="139" t="s">
        <v>423</v>
      </c>
      <c r="AL32" s="139" t="s">
        <v>423</v>
      </c>
      <c r="AM32" s="141" t="s">
        <v>2031</v>
      </c>
      <c r="AN32" s="143" t="s">
        <v>2281</v>
      </c>
      <c r="AO32" s="139" t="s">
        <v>2017</v>
      </c>
      <c r="AP32" s="139"/>
      <c r="AQ32" s="139" t="s">
        <v>2033</v>
      </c>
      <c r="AR32" s="144" t="s">
        <v>2019</v>
      </c>
    </row>
    <row r="33" ht="15.75" customHeight="1">
      <c r="A33" s="138"/>
      <c r="B33" s="139" t="s">
        <v>1988</v>
      </c>
      <c r="C33" s="140" t="s">
        <v>2014</v>
      </c>
      <c r="D33" s="31" t="s">
        <v>2282</v>
      </c>
      <c r="E33" s="31" t="str">
        <f>IFERROR(__xludf.DUMMYFUNCTION("IF(ISBLANK(D33), """", GOOGLETRANSLATE(D33, ""es"", ""en""))"),"Purpose of the process")</f>
        <v>Purpose of the process</v>
      </c>
    </row>
    <row r="34" ht="15.75" customHeight="1">
      <c r="A34" s="138"/>
      <c r="B34" s="139" t="s">
        <v>1989</v>
      </c>
      <c r="C34" s="140"/>
      <c r="D34" s="31" t="s">
        <v>2283</v>
      </c>
      <c r="E34" s="31" t="str">
        <f>IFERROR(__xludf.DUMMYFUNCTION("IF(ISBLANK(D34), """", GOOGLETRANSLATE(D34, ""es"", ""en""))"),"SubObject of the process")</f>
        <v>SubObject of the process</v>
      </c>
    </row>
    <row r="35" ht="15.75" customHeight="1">
      <c r="A35" s="138"/>
      <c r="B35" s="139" t="s">
        <v>1990</v>
      </c>
      <c r="C35" s="140" t="s">
        <v>67</v>
      </c>
      <c r="D35" s="31" t="s">
        <v>2284</v>
      </c>
      <c r="E35" s="31" t="str">
        <f>IFERROR(__xludf.DUMMYFUNCTION("IF(ISBLANK(D35), """", GOOGLETRANSLATE(D35, ""es"", ""en""))"),"Presidential Decree (YES / NO)")</f>
        <v>Presidential Decree (YES / NO)</v>
      </c>
    </row>
    <row r="36" ht="15.75" customHeight="1">
      <c r="A36" s="138"/>
      <c r="B36" s="139" t="s">
        <v>1991</v>
      </c>
      <c r="C36" s="140" t="s">
        <v>423</v>
      </c>
      <c r="D36" s="31"/>
      <c r="E36" s="31" t="str">
        <f>IFERROR(__xludf.DUMMYFUNCTION("IF(ISBLANK(D36), """", GOOGLETRANSLATE(D36, ""es"", ""en""))"),"")</f>
        <v/>
      </c>
    </row>
    <row r="37" ht="15.75" customHeight="1">
      <c r="A37" s="138"/>
      <c r="B37" s="139" t="s">
        <v>1992</v>
      </c>
      <c r="C37" s="140" t="s">
        <v>423</v>
      </c>
      <c r="D37" s="31"/>
      <c r="E37" s="31" t="str">
        <f>IFERROR(__xludf.DUMMYFUNCTION("IF(ISBLANK(D37), """", GOOGLETRANSLATE(D37, ""es"", ""en""))"),"")</f>
        <v/>
      </c>
    </row>
    <row r="38" ht="15.75" customHeight="1">
      <c r="A38" s="138"/>
      <c r="B38" s="139" t="s">
        <v>1993</v>
      </c>
      <c r="C38" s="140" t="s">
        <v>423</v>
      </c>
      <c r="D38" s="31"/>
      <c r="E38" s="31" t="str">
        <f>IFERROR(__xludf.DUMMYFUNCTION("IF(ISBLANK(D38), """", GOOGLETRANSLATE(D38, ""es"", ""en""))"),"")</f>
        <v/>
      </c>
    </row>
    <row r="39" ht="15.75" customHeight="1">
      <c r="A39" s="138"/>
      <c r="B39" s="139" t="s">
        <v>1994</v>
      </c>
      <c r="C39" s="140" t="s">
        <v>423</v>
      </c>
      <c r="D39" s="31"/>
      <c r="E39" s="31" t="str">
        <f>IFERROR(__xludf.DUMMYFUNCTION("IF(ISBLANK(D39), """", GOOGLETRANSLATE(D39, ""es"", ""en""))"),"")</f>
        <v/>
      </c>
    </row>
    <row r="40" ht="15.75" customHeight="1">
      <c r="A40" s="138"/>
      <c r="B40" s="139" t="s">
        <v>1995</v>
      </c>
      <c r="C40" s="140" t="s">
        <v>2015</v>
      </c>
      <c r="D40" s="31" t="s">
        <v>2285</v>
      </c>
      <c r="E40" s="31" t="str">
        <f>IFERROR(__xludf.DUMMYFUNCTION("IF(ISBLANK(D40), """", GOOGLETRANSLATE(D40, ""es"", ""en""))"),"Last Modification Date")</f>
        <v>Last Modification Date</v>
      </c>
    </row>
    <row r="41" ht="15.75" customHeight="1">
      <c r="A41" s="138"/>
      <c r="B41" s="139" t="s">
        <v>3</v>
      </c>
      <c r="C41" s="146" t="s">
        <v>2016</v>
      </c>
      <c r="D41" s="31" t="s">
        <v>2286</v>
      </c>
      <c r="E41" s="31" t="str">
        <f>IFERROR(__xludf.DUMMYFUNCTION("IF(ISBLANK(D41), """", GOOGLETRANSLATE(D41, ""es"", ""en""))"),"Process URL")</f>
        <v>Process URL</v>
      </c>
    </row>
    <row r="42" ht="15.75" customHeight="1">
      <c r="A42" s="138"/>
      <c r="B42" s="139" t="s">
        <v>1996</v>
      </c>
      <c r="C42" s="140" t="s">
        <v>2017</v>
      </c>
      <c r="D42" s="31" t="s">
        <v>2287</v>
      </c>
      <c r="E42" s="31" t="str">
        <f>IFERROR(__xludf.DUMMYFUNCTION("IF(ISBLANK(D42), """", GOOGLETRANSLATE(D42, ""es"", ""en""))"),"Modality Code")</f>
        <v>Modality Code</v>
      </c>
    </row>
    <row r="43" ht="15.75" customHeight="1">
      <c r="A43" s="138"/>
      <c r="B43" s="139" t="s">
        <v>1997</v>
      </c>
      <c r="C43" s="140"/>
      <c r="D43" s="31" t="s">
        <v>2288</v>
      </c>
      <c r="E43" s="31" t="str">
        <f>IFERROR(__xludf.DUMMYFUNCTION("IF(ISBLANK(D43), """", GOOGLETRANSLATE(D43, ""es"", ""en""))"),"Cancellation comment")</f>
        <v>Cancellation comment</v>
      </c>
    </row>
    <row r="44" ht="15.75" customHeight="1">
      <c r="A44" s="138"/>
      <c r="B44" s="139" t="s">
        <v>1998</v>
      </c>
      <c r="C44" s="140" t="s">
        <v>2018</v>
      </c>
      <c r="D44" s="31" t="s">
        <v>2289</v>
      </c>
      <c r="E44" s="31" t="str">
        <f>IFERROR(__xludf.DUMMYFUNCTION("IF(ISBLANK(D44), """", GOOGLETRANSLATE(D44, ""es"", ""en""))"),"Decree Code")</f>
        <v>Decree Code</v>
      </c>
    </row>
    <row r="45" ht="15.75" customHeight="1">
      <c r="A45" s="138"/>
      <c r="B45" s="139" t="s">
        <v>1999</v>
      </c>
      <c r="C45" s="147" t="s">
        <v>2019</v>
      </c>
      <c r="D45" s="31" t="s">
        <v>2290</v>
      </c>
      <c r="E45" s="31" t="str">
        <f>IFERROR(__xludf.DUMMYFUNCTION("IF(ISBLANK(D45), """", GOOGLETRANSLATE(D45, ""es"", ""en""))"),"Update date")</f>
        <v>Update date</v>
      </c>
    </row>
    <row r="46" ht="15.75" customHeight="1"/>
    <row r="47" ht="15.75" customHeight="1"/>
    <row r="48" ht="15.75" customHeight="1"/>
    <row r="49" ht="15.75" customHeight="1">
      <c r="B49" s="148" t="s">
        <v>2291</v>
      </c>
      <c r="G49" s="128" t="s">
        <v>33</v>
      </c>
    </row>
    <row r="50" ht="15.75" customHeight="1">
      <c r="B50" s="135" t="s">
        <v>2292</v>
      </c>
      <c r="D50" s="135" t="str">
        <f>IFERROR(__xludf.DUMMYFUNCTION("IF(ISBLANK(B50), """", GOOGLETRANSLATE(B50, ""es"", ""en""))"),"Contains information on contracts related to the Hurricane Fiona Emergency		
")</f>
        <v>Contains information on contracts related to the Hurricane Fiona Emergency		
</v>
      </c>
    </row>
    <row r="51" ht="15.75" customHeight="1">
      <c r="B51" s="26" t="s">
        <v>1689</v>
      </c>
      <c r="C51" s="26" t="s">
        <v>1690</v>
      </c>
      <c r="D51" s="26" t="s">
        <v>1691</v>
      </c>
      <c r="E51" s="26" t="s">
        <v>1692</v>
      </c>
      <c r="G51" s="137" t="s">
        <v>1965</v>
      </c>
      <c r="H51" s="137" t="s">
        <v>1966</v>
      </c>
      <c r="I51" s="137" t="s">
        <v>1967</v>
      </c>
      <c r="J51" s="137" t="s">
        <v>2293</v>
      </c>
      <c r="K51" s="137" t="s">
        <v>2294</v>
      </c>
      <c r="L51" s="137" t="s">
        <v>2295</v>
      </c>
      <c r="M51" s="137" t="s">
        <v>2296</v>
      </c>
      <c r="N51" s="137" t="s">
        <v>1671</v>
      </c>
      <c r="O51" s="137" t="s">
        <v>2297</v>
      </c>
      <c r="P51" s="137" t="s">
        <v>2298</v>
      </c>
      <c r="Q51" s="137" t="s">
        <v>1970</v>
      </c>
      <c r="R51" s="137" t="s">
        <v>2299</v>
      </c>
      <c r="S51" s="137" t="s">
        <v>2300</v>
      </c>
      <c r="T51" s="137" t="s">
        <v>2301</v>
      </c>
      <c r="U51" s="137" t="s">
        <v>2302</v>
      </c>
      <c r="V51" s="137" t="s">
        <v>2303</v>
      </c>
      <c r="W51" s="137" t="s">
        <v>2304</v>
      </c>
      <c r="X51" s="137" t="s">
        <v>2305</v>
      </c>
      <c r="Y51" s="137" t="s">
        <v>2306</v>
      </c>
      <c r="Z51" s="137" t="s">
        <v>2307</v>
      </c>
      <c r="AA51" s="137" t="s">
        <v>2308</v>
      </c>
      <c r="AB51" s="137" t="s">
        <v>2309</v>
      </c>
      <c r="AC51" s="137" t="s">
        <v>1974</v>
      </c>
      <c r="AD51" s="137" t="s">
        <v>2310</v>
      </c>
      <c r="AE51" s="137" t="s">
        <v>2311</v>
      </c>
      <c r="AF51" s="137" t="s">
        <v>2312</v>
      </c>
      <c r="AG51" s="137" t="s">
        <v>1995</v>
      </c>
      <c r="AH51" s="137" t="s">
        <v>2313</v>
      </c>
      <c r="AI51" s="137" t="s">
        <v>1972</v>
      </c>
      <c r="AJ51" s="137" t="s">
        <v>1996</v>
      </c>
      <c r="AK51" s="137" t="s">
        <v>1968</v>
      </c>
      <c r="AL51" s="137" t="s">
        <v>1969</v>
      </c>
      <c r="AM51" s="137" t="s">
        <v>3</v>
      </c>
      <c r="AN51" s="137" t="s">
        <v>2314</v>
      </c>
      <c r="AO51" s="137" t="s">
        <v>2315</v>
      </c>
      <c r="AP51" s="137" t="s">
        <v>2316</v>
      </c>
      <c r="AQ51" s="137" t="s">
        <v>2317</v>
      </c>
      <c r="AR51" s="137" t="s">
        <v>2318</v>
      </c>
      <c r="AS51" s="137" t="s">
        <v>2319</v>
      </c>
      <c r="AT51" s="137" t="s">
        <v>2320</v>
      </c>
      <c r="AU51" s="137" t="s">
        <v>2321</v>
      </c>
      <c r="AV51" s="137" t="s">
        <v>2322</v>
      </c>
      <c r="AW51" s="137" t="s">
        <v>2323</v>
      </c>
      <c r="AX51" s="137" t="s">
        <v>2324</v>
      </c>
      <c r="AY51" s="137" t="s">
        <v>2325</v>
      </c>
      <c r="AZ51" s="137" t="s">
        <v>2326</v>
      </c>
      <c r="BA51" s="137" t="s">
        <v>2327</v>
      </c>
      <c r="BB51" s="137" t="s">
        <v>2328</v>
      </c>
      <c r="BC51" s="137" t="s">
        <v>2329</v>
      </c>
      <c r="BD51" s="137" t="s">
        <v>2330</v>
      </c>
      <c r="BE51" s="137" t="s">
        <v>2331</v>
      </c>
      <c r="BF51" s="137" t="s">
        <v>1999</v>
      </c>
    </row>
    <row r="52" ht="15.75" customHeight="1">
      <c r="B52" s="139" t="s">
        <v>1965</v>
      </c>
      <c r="C52" s="140">
        <v>203.0</v>
      </c>
      <c r="D52" s="32" t="s">
        <v>2332</v>
      </c>
      <c r="E52" s="32" t="str">
        <f>IFERROR(__xludf.DUMMYFUNCTION("IF(ISBLANK(D52), """", GOOGLETRANSLATE(D52, ""es"", ""en""))"),"Purchasing unit identification code")</f>
        <v>Purchasing unit identification code</v>
      </c>
      <c r="G52" s="141">
        <v>203.0</v>
      </c>
      <c r="H52" s="139" t="s">
        <v>2333</v>
      </c>
      <c r="I52" s="139" t="s">
        <v>2334</v>
      </c>
      <c r="J52" s="139" t="s">
        <v>2335</v>
      </c>
      <c r="K52" s="139" t="s">
        <v>2336</v>
      </c>
      <c r="L52" s="139" t="s">
        <v>2337</v>
      </c>
      <c r="M52" s="139" t="s">
        <v>2338</v>
      </c>
      <c r="N52" s="141">
        <v>11161.0</v>
      </c>
      <c r="O52" s="139" t="s">
        <v>2339</v>
      </c>
      <c r="P52" s="139" t="s">
        <v>2014</v>
      </c>
      <c r="Q52" s="139" t="s">
        <v>2340</v>
      </c>
      <c r="R52" s="139" t="s">
        <v>2341</v>
      </c>
      <c r="S52" s="139" t="s">
        <v>1663</v>
      </c>
      <c r="T52" s="141" t="s">
        <v>2342</v>
      </c>
      <c r="U52" s="141" t="s">
        <v>2343</v>
      </c>
      <c r="V52" s="139"/>
      <c r="W52" s="141" t="s">
        <v>2344</v>
      </c>
      <c r="X52" s="141" t="s">
        <v>2344</v>
      </c>
      <c r="Y52" s="141" t="s">
        <v>2345</v>
      </c>
      <c r="Z52" s="141" t="s">
        <v>2346</v>
      </c>
      <c r="AA52" s="141" t="s">
        <v>2345</v>
      </c>
      <c r="AB52" s="141" t="s">
        <v>2346</v>
      </c>
      <c r="AC52" s="139" t="s">
        <v>1666</v>
      </c>
      <c r="AD52" s="141">
        <v>1.087326E7</v>
      </c>
      <c r="AE52" s="139" t="s">
        <v>2347</v>
      </c>
      <c r="AF52" s="139" t="s">
        <v>2348</v>
      </c>
      <c r="AG52" s="141" t="s">
        <v>2349</v>
      </c>
      <c r="AH52" s="143" t="s">
        <v>2350</v>
      </c>
      <c r="AI52" s="139" t="s">
        <v>1626</v>
      </c>
      <c r="AJ52" s="139" t="s">
        <v>2017</v>
      </c>
      <c r="AK52" s="139" t="s">
        <v>2004</v>
      </c>
      <c r="AL52" s="139" t="s">
        <v>2005</v>
      </c>
      <c r="AM52" s="143" t="s">
        <v>2351</v>
      </c>
      <c r="AN52" s="139" t="s">
        <v>2339</v>
      </c>
      <c r="AO52" s="141">
        <v>1.30266662E8</v>
      </c>
      <c r="AP52" s="139" t="s">
        <v>2352</v>
      </c>
      <c r="AQ52" s="139" t="s">
        <v>2353</v>
      </c>
      <c r="AR52" s="139" t="s">
        <v>2354</v>
      </c>
      <c r="AS52" s="139" t="s">
        <v>2355</v>
      </c>
      <c r="AT52" s="139" t="s">
        <v>423</v>
      </c>
      <c r="AU52" s="139" t="s">
        <v>423</v>
      </c>
      <c r="AV52" s="139" t="s">
        <v>2356</v>
      </c>
      <c r="AW52" s="139" t="s">
        <v>2357</v>
      </c>
      <c r="AX52" s="139" t="s">
        <v>932</v>
      </c>
      <c r="AY52" s="139" t="s">
        <v>932</v>
      </c>
      <c r="AZ52" s="139" t="s">
        <v>920</v>
      </c>
      <c r="BA52" s="139" t="s">
        <v>2358</v>
      </c>
      <c r="BB52" s="139" t="s">
        <v>2359</v>
      </c>
      <c r="BC52" s="139"/>
      <c r="BD52" s="139" t="s">
        <v>2005</v>
      </c>
      <c r="BE52" s="149" t="b">
        <v>0</v>
      </c>
      <c r="BF52" s="141" t="s">
        <v>2019</v>
      </c>
    </row>
    <row r="53" ht="15.75" customHeight="1">
      <c r="B53" s="139" t="s">
        <v>1966</v>
      </c>
      <c r="C53" s="140" t="s">
        <v>2333</v>
      </c>
      <c r="D53" s="32" t="s">
        <v>2360</v>
      </c>
      <c r="E53" s="32" t="str">
        <f>IFERROR(__xludf.DUMMYFUNCTION("IF(ISBLANK(D53), """", GOOGLETRANSLATE(D53, ""es"", ""en""))"),"Name of the Institution or Purchasing Unit")</f>
        <v>Name of the Institution or Purchasing Unit</v>
      </c>
      <c r="G53" s="141">
        <v>203.0</v>
      </c>
      <c r="H53" s="139" t="s">
        <v>2333</v>
      </c>
      <c r="I53" s="139" t="s">
        <v>2334</v>
      </c>
      <c r="J53" s="139" t="s">
        <v>2335</v>
      </c>
      <c r="K53" s="139" t="s">
        <v>2361</v>
      </c>
      <c r="L53" s="139" t="s">
        <v>2362</v>
      </c>
      <c r="M53" s="139" t="s">
        <v>2363</v>
      </c>
      <c r="N53" s="141">
        <v>54054.0</v>
      </c>
      <c r="O53" s="139" t="s">
        <v>2364</v>
      </c>
      <c r="P53" s="139" t="s">
        <v>2014</v>
      </c>
      <c r="Q53" s="139" t="s">
        <v>2340</v>
      </c>
      <c r="R53" s="139" t="s">
        <v>2341</v>
      </c>
      <c r="S53" s="139" t="s">
        <v>2365</v>
      </c>
      <c r="T53" s="141" t="s">
        <v>2342</v>
      </c>
      <c r="U53" s="141" t="s">
        <v>2343</v>
      </c>
      <c r="V53" s="139"/>
      <c r="W53" s="141" t="s">
        <v>2366</v>
      </c>
      <c r="X53" s="141" t="s">
        <v>2366</v>
      </c>
      <c r="Y53" s="141" t="s">
        <v>2367</v>
      </c>
      <c r="Z53" s="141" t="s">
        <v>2346</v>
      </c>
      <c r="AA53" s="141" t="s">
        <v>2367</v>
      </c>
      <c r="AB53" s="141" t="s">
        <v>2346</v>
      </c>
      <c r="AC53" s="139" t="s">
        <v>1666</v>
      </c>
      <c r="AD53" s="141">
        <v>7284645.0</v>
      </c>
      <c r="AE53" s="139" t="s">
        <v>2347</v>
      </c>
      <c r="AF53" s="139" t="s">
        <v>2348</v>
      </c>
      <c r="AG53" s="141" t="s">
        <v>2368</v>
      </c>
      <c r="AH53" s="143" t="s">
        <v>2369</v>
      </c>
      <c r="AI53" s="139" t="s">
        <v>1626</v>
      </c>
      <c r="AJ53" s="139" t="s">
        <v>2017</v>
      </c>
      <c r="AK53" s="139" t="s">
        <v>2004</v>
      </c>
      <c r="AL53" s="139" t="s">
        <v>2005</v>
      </c>
      <c r="AM53" s="143" t="s">
        <v>2351</v>
      </c>
      <c r="AN53" s="139" t="s">
        <v>2364</v>
      </c>
      <c r="AO53" s="141">
        <v>1.30545741E8</v>
      </c>
      <c r="AP53" s="139" t="s">
        <v>2352</v>
      </c>
      <c r="AQ53" s="139" t="s">
        <v>2353</v>
      </c>
      <c r="AR53" s="139" t="s">
        <v>2354</v>
      </c>
      <c r="AS53" s="139" t="s">
        <v>2355</v>
      </c>
      <c r="AT53" s="139" t="s">
        <v>67</v>
      </c>
      <c r="AU53" s="139" t="s">
        <v>67</v>
      </c>
      <c r="AV53" s="139" t="s">
        <v>2370</v>
      </c>
      <c r="AW53" s="139" t="s">
        <v>2371</v>
      </c>
      <c r="AX53" s="139" t="s">
        <v>932</v>
      </c>
      <c r="AY53" s="139" t="s">
        <v>932</v>
      </c>
      <c r="AZ53" s="139" t="s">
        <v>920</v>
      </c>
      <c r="BA53" s="139" t="s">
        <v>2358</v>
      </c>
      <c r="BB53" s="139" t="s">
        <v>2359</v>
      </c>
      <c r="BC53" s="139" t="s">
        <v>2372</v>
      </c>
      <c r="BD53" s="139" t="s">
        <v>2005</v>
      </c>
      <c r="BE53" s="149" t="b">
        <v>1</v>
      </c>
      <c r="BF53" s="141" t="s">
        <v>2019</v>
      </c>
    </row>
    <row r="54" ht="15.75" customHeight="1">
      <c r="B54" s="139" t="s">
        <v>1967</v>
      </c>
      <c r="C54" s="140" t="s">
        <v>2334</v>
      </c>
      <c r="D54" s="32" t="s">
        <v>2373</v>
      </c>
      <c r="E54" s="32" t="str">
        <f>IFERROR(__xludf.DUMMYFUNCTION("IF(ISBLANK(D54), """", GOOGLETRANSLATE(D54, ""es"", ""en""))"),"Hiring process identifier code")</f>
        <v>Hiring process identifier code</v>
      </c>
      <c r="G54" s="141">
        <v>203.0</v>
      </c>
      <c r="H54" s="139" t="s">
        <v>2333</v>
      </c>
      <c r="I54" s="139" t="s">
        <v>2334</v>
      </c>
      <c r="J54" s="139" t="s">
        <v>2335</v>
      </c>
      <c r="K54" s="139" t="s">
        <v>2374</v>
      </c>
      <c r="L54" s="139" t="s">
        <v>2375</v>
      </c>
      <c r="M54" s="139" t="s">
        <v>2376</v>
      </c>
      <c r="N54" s="141">
        <v>87969.0</v>
      </c>
      <c r="O54" s="139" t="s">
        <v>2377</v>
      </c>
      <c r="P54" s="139" t="s">
        <v>2014</v>
      </c>
      <c r="Q54" s="139" t="s">
        <v>2340</v>
      </c>
      <c r="R54" s="139" t="s">
        <v>2341</v>
      </c>
      <c r="S54" s="139" t="s">
        <v>1663</v>
      </c>
      <c r="T54" s="141" t="s">
        <v>2342</v>
      </c>
      <c r="U54" s="141" t="s">
        <v>2343</v>
      </c>
      <c r="V54" s="139"/>
      <c r="W54" s="141" t="s">
        <v>2378</v>
      </c>
      <c r="X54" s="141" t="s">
        <v>2379</v>
      </c>
      <c r="Y54" s="141" t="s">
        <v>2380</v>
      </c>
      <c r="Z54" s="141" t="s">
        <v>2346</v>
      </c>
      <c r="AA54" s="141" t="s">
        <v>2380</v>
      </c>
      <c r="AB54" s="141" t="s">
        <v>2381</v>
      </c>
      <c r="AC54" s="139" t="s">
        <v>1666</v>
      </c>
      <c r="AD54" s="141">
        <v>3700627.0</v>
      </c>
      <c r="AE54" s="139" t="s">
        <v>2347</v>
      </c>
      <c r="AF54" s="139" t="s">
        <v>2348</v>
      </c>
      <c r="AG54" s="141" t="s">
        <v>2382</v>
      </c>
      <c r="AH54" s="143" t="s">
        <v>2383</v>
      </c>
      <c r="AI54" s="139" t="s">
        <v>1626</v>
      </c>
      <c r="AJ54" s="139" t="s">
        <v>2017</v>
      </c>
      <c r="AK54" s="139" t="s">
        <v>2004</v>
      </c>
      <c r="AL54" s="139" t="s">
        <v>2005</v>
      </c>
      <c r="AM54" s="143" t="s">
        <v>2351</v>
      </c>
      <c r="AN54" s="139" t="s">
        <v>2377</v>
      </c>
      <c r="AO54" s="141">
        <v>1.31846351E8</v>
      </c>
      <c r="AP54" s="139" t="s">
        <v>2352</v>
      </c>
      <c r="AQ54" s="139" t="s">
        <v>2353</v>
      </c>
      <c r="AR54" s="139" t="s">
        <v>2354</v>
      </c>
      <c r="AS54" s="139" t="s">
        <v>2355</v>
      </c>
      <c r="AT54" s="139" t="s">
        <v>67</v>
      </c>
      <c r="AU54" s="139" t="s">
        <v>67</v>
      </c>
      <c r="AV54" s="139" t="s">
        <v>2370</v>
      </c>
      <c r="AW54" s="139" t="s">
        <v>2371</v>
      </c>
      <c r="AX54" s="139"/>
      <c r="AY54" s="139" t="s">
        <v>2384</v>
      </c>
      <c r="AZ54" s="139" t="s">
        <v>2384</v>
      </c>
      <c r="BA54" s="139" t="s">
        <v>2384</v>
      </c>
      <c r="BB54" s="139"/>
      <c r="BC54" s="139" t="s">
        <v>2372</v>
      </c>
      <c r="BD54" s="139" t="s">
        <v>2005</v>
      </c>
      <c r="BE54" s="149" t="b">
        <v>1</v>
      </c>
      <c r="BF54" s="141" t="s">
        <v>2019</v>
      </c>
    </row>
    <row r="55" ht="15.75" customHeight="1">
      <c r="B55" s="139" t="s">
        <v>2293</v>
      </c>
      <c r="C55" s="140" t="s">
        <v>2335</v>
      </c>
      <c r="D55" s="32"/>
      <c r="E55" s="32" t="str">
        <f>IFERROR(__xludf.DUMMYFUNCTION("IF(ISBLANK(D55), """", GOOGLETRANSLATE(D55, ""es"", ""en""))"),"")</f>
        <v/>
      </c>
      <c r="G55" s="141">
        <v>203.0</v>
      </c>
      <c r="H55" s="139" t="s">
        <v>2333</v>
      </c>
      <c r="I55" s="139" t="s">
        <v>2334</v>
      </c>
      <c r="J55" s="139" t="s">
        <v>2335</v>
      </c>
      <c r="K55" s="139" t="s">
        <v>2385</v>
      </c>
      <c r="L55" s="139" t="s">
        <v>2386</v>
      </c>
      <c r="M55" s="139" t="s">
        <v>2387</v>
      </c>
      <c r="N55" s="141">
        <v>78415.0</v>
      </c>
      <c r="O55" s="139" t="s">
        <v>2388</v>
      </c>
      <c r="P55" s="139" t="s">
        <v>2014</v>
      </c>
      <c r="Q55" s="139" t="s">
        <v>2389</v>
      </c>
      <c r="R55" s="139" t="s">
        <v>2341</v>
      </c>
      <c r="S55" s="139" t="s">
        <v>1663</v>
      </c>
      <c r="T55" s="141" t="s">
        <v>2342</v>
      </c>
      <c r="U55" s="141" t="s">
        <v>2343</v>
      </c>
      <c r="V55" s="139"/>
      <c r="W55" s="141" t="s">
        <v>2390</v>
      </c>
      <c r="X55" s="141" t="s">
        <v>2390</v>
      </c>
      <c r="Y55" s="141" t="s">
        <v>2391</v>
      </c>
      <c r="Z55" s="141" t="s">
        <v>2392</v>
      </c>
      <c r="AA55" s="141" t="s">
        <v>2393</v>
      </c>
      <c r="AB55" s="141" t="s">
        <v>2346</v>
      </c>
      <c r="AC55" s="139" t="s">
        <v>1666</v>
      </c>
      <c r="AD55" s="141">
        <v>1148808.0</v>
      </c>
      <c r="AE55" s="139" t="s">
        <v>2347</v>
      </c>
      <c r="AF55" s="139" t="s">
        <v>2394</v>
      </c>
      <c r="AG55" s="141" t="s">
        <v>2395</v>
      </c>
      <c r="AH55" s="143" t="s">
        <v>2396</v>
      </c>
      <c r="AI55" s="139" t="s">
        <v>1626</v>
      </c>
      <c r="AJ55" s="139" t="s">
        <v>2017</v>
      </c>
      <c r="AK55" s="139" t="s">
        <v>2004</v>
      </c>
      <c r="AL55" s="139" t="s">
        <v>2005</v>
      </c>
      <c r="AM55" s="143" t="s">
        <v>2351</v>
      </c>
      <c r="AN55" s="139" t="s">
        <v>2388</v>
      </c>
      <c r="AO55" s="141">
        <v>1.31832695E8</v>
      </c>
      <c r="AP55" s="139" t="s">
        <v>2352</v>
      </c>
      <c r="AQ55" s="139" t="s">
        <v>2397</v>
      </c>
      <c r="AR55" s="139" t="s">
        <v>2354</v>
      </c>
      <c r="AS55" s="139" t="s">
        <v>2355</v>
      </c>
      <c r="AT55" s="139" t="s">
        <v>67</v>
      </c>
      <c r="AU55" s="139" t="s">
        <v>67</v>
      </c>
      <c r="AV55" s="139" t="s">
        <v>2370</v>
      </c>
      <c r="AW55" s="139" t="s">
        <v>2371</v>
      </c>
      <c r="AX55" s="139"/>
      <c r="AY55" s="139" t="s">
        <v>2384</v>
      </c>
      <c r="AZ55" s="139" t="s">
        <v>2384</v>
      </c>
      <c r="BA55" s="139" t="s">
        <v>2384</v>
      </c>
      <c r="BB55" s="139"/>
      <c r="BC55" s="139" t="s">
        <v>2372</v>
      </c>
      <c r="BD55" s="139" t="s">
        <v>2005</v>
      </c>
      <c r="BE55" s="149" t="b">
        <v>1</v>
      </c>
      <c r="BF55" s="141" t="s">
        <v>2019</v>
      </c>
    </row>
    <row r="56" ht="15.75" customHeight="1">
      <c r="B56" s="139" t="s">
        <v>2294</v>
      </c>
      <c r="C56" s="140" t="s">
        <v>2336</v>
      </c>
      <c r="D56" s="32"/>
      <c r="E56" s="32" t="str">
        <f>IFERROR(__xludf.DUMMYFUNCTION("IF(ISBLANK(D56), """", GOOGLETRANSLATE(D56, ""es"", ""en""))"),"")</f>
        <v/>
      </c>
      <c r="G56" s="141">
        <v>203.0</v>
      </c>
      <c r="H56" s="139" t="s">
        <v>2333</v>
      </c>
      <c r="I56" s="139" t="s">
        <v>2334</v>
      </c>
      <c r="J56" s="139" t="s">
        <v>2335</v>
      </c>
      <c r="K56" s="139" t="s">
        <v>2398</v>
      </c>
      <c r="L56" s="139" t="s">
        <v>2399</v>
      </c>
      <c r="M56" s="139" t="s">
        <v>2400</v>
      </c>
      <c r="N56" s="141">
        <v>10891.0</v>
      </c>
      <c r="O56" s="139" t="s">
        <v>2401</v>
      </c>
      <c r="P56" s="139" t="s">
        <v>2014</v>
      </c>
      <c r="Q56" s="139" t="s">
        <v>2340</v>
      </c>
      <c r="R56" s="139" t="s">
        <v>2341</v>
      </c>
      <c r="S56" s="139" t="s">
        <v>1663</v>
      </c>
      <c r="T56" s="141" t="s">
        <v>2342</v>
      </c>
      <c r="U56" s="141" t="s">
        <v>2343</v>
      </c>
      <c r="V56" s="139"/>
      <c r="W56" s="141" t="s">
        <v>2402</v>
      </c>
      <c r="X56" s="141" t="s">
        <v>2402</v>
      </c>
      <c r="Y56" s="141" t="s">
        <v>2367</v>
      </c>
      <c r="Z56" s="141" t="s">
        <v>2346</v>
      </c>
      <c r="AA56" s="141" t="s">
        <v>2367</v>
      </c>
      <c r="AB56" s="141" t="s">
        <v>2346</v>
      </c>
      <c r="AC56" s="139" t="s">
        <v>1666</v>
      </c>
      <c r="AD56" s="141">
        <v>5.2460398E7</v>
      </c>
      <c r="AE56" s="139" t="s">
        <v>2347</v>
      </c>
      <c r="AF56" s="139" t="s">
        <v>2348</v>
      </c>
      <c r="AG56" s="141" t="s">
        <v>2403</v>
      </c>
      <c r="AH56" s="143" t="s">
        <v>2404</v>
      </c>
      <c r="AI56" s="139" t="s">
        <v>1626</v>
      </c>
      <c r="AJ56" s="139" t="s">
        <v>2017</v>
      </c>
      <c r="AK56" s="139" t="s">
        <v>2004</v>
      </c>
      <c r="AL56" s="139" t="s">
        <v>2005</v>
      </c>
      <c r="AM56" s="143" t="s">
        <v>2351</v>
      </c>
      <c r="AN56" s="139" t="s">
        <v>2401</v>
      </c>
      <c r="AO56" s="141">
        <v>1.01191511E8</v>
      </c>
      <c r="AP56" s="139" t="s">
        <v>2352</v>
      </c>
      <c r="AQ56" s="139" t="s">
        <v>2353</v>
      </c>
      <c r="AR56" s="139" t="s">
        <v>2354</v>
      </c>
      <c r="AS56" s="139" t="s">
        <v>2355</v>
      </c>
      <c r="AT56" s="139" t="s">
        <v>423</v>
      </c>
      <c r="AU56" s="139" t="s">
        <v>423</v>
      </c>
      <c r="AV56" s="139" t="s">
        <v>2356</v>
      </c>
      <c r="AW56" s="139" t="s">
        <v>2357</v>
      </c>
      <c r="AX56" s="139" t="s">
        <v>2405</v>
      </c>
      <c r="AY56" s="139" t="s">
        <v>921</v>
      </c>
      <c r="AZ56" s="139" t="s">
        <v>920</v>
      </c>
      <c r="BA56" s="139" t="s">
        <v>2358</v>
      </c>
      <c r="BB56" s="139" t="s">
        <v>2359</v>
      </c>
      <c r="BC56" s="139" t="s">
        <v>2356</v>
      </c>
      <c r="BD56" s="139" t="s">
        <v>2005</v>
      </c>
      <c r="BE56" s="149" t="b">
        <v>0</v>
      </c>
      <c r="BF56" s="141" t="s">
        <v>2019</v>
      </c>
    </row>
    <row r="57" ht="15.75" customHeight="1">
      <c r="B57" s="139" t="s">
        <v>2295</v>
      </c>
      <c r="C57" s="140" t="s">
        <v>2337</v>
      </c>
      <c r="D57" s="32"/>
      <c r="E57" s="32" t="str">
        <f>IFERROR(__xludf.DUMMYFUNCTION("IF(ISBLANK(D57), """", GOOGLETRANSLATE(D57, ""es"", ""en""))"),"")</f>
        <v/>
      </c>
      <c r="F57" s="138"/>
      <c r="G57" s="141">
        <v>203.0</v>
      </c>
      <c r="H57" s="139" t="s">
        <v>2333</v>
      </c>
      <c r="I57" s="139" t="s">
        <v>2334</v>
      </c>
      <c r="J57" s="139" t="s">
        <v>2335</v>
      </c>
      <c r="K57" s="139" t="s">
        <v>2406</v>
      </c>
      <c r="L57" s="139" t="s">
        <v>2407</v>
      </c>
      <c r="M57" s="139" t="s">
        <v>2408</v>
      </c>
      <c r="N57" s="141">
        <v>5852.0</v>
      </c>
      <c r="O57" s="139" t="s">
        <v>2409</v>
      </c>
      <c r="P57" s="139" t="s">
        <v>2014</v>
      </c>
      <c r="Q57" s="139" t="s">
        <v>2340</v>
      </c>
      <c r="R57" s="139" t="s">
        <v>2341</v>
      </c>
      <c r="S57" s="139" t="s">
        <v>1663</v>
      </c>
      <c r="T57" s="141" t="s">
        <v>2342</v>
      </c>
      <c r="U57" s="141" t="s">
        <v>2343</v>
      </c>
      <c r="V57" s="139"/>
      <c r="W57" s="141" t="s">
        <v>2410</v>
      </c>
      <c r="X57" s="141" t="s">
        <v>2411</v>
      </c>
      <c r="Y57" s="141" t="s">
        <v>2412</v>
      </c>
      <c r="Z57" s="141" t="s">
        <v>2346</v>
      </c>
      <c r="AA57" s="141" t="s">
        <v>2412</v>
      </c>
      <c r="AB57" s="141" t="s">
        <v>2346</v>
      </c>
      <c r="AC57" s="139" t="s">
        <v>1666</v>
      </c>
      <c r="AD57" s="141">
        <v>2.89E7</v>
      </c>
      <c r="AE57" s="139" t="s">
        <v>2347</v>
      </c>
      <c r="AF57" s="139" t="s">
        <v>2348</v>
      </c>
      <c r="AG57" s="141" t="s">
        <v>2413</v>
      </c>
      <c r="AH57" s="143" t="s">
        <v>2414</v>
      </c>
      <c r="AI57" s="139" t="s">
        <v>1626</v>
      </c>
      <c r="AJ57" s="139" t="s">
        <v>2017</v>
      </c>
      <c r="AK57" s="139" t="s">
        <v>2004</v>
      </c>
      <c r="AL57" s="139" t="s">
        <v>2005</v>
      </c>
      <c r="AM57" s="143" t="s">
        <v>2351</v>
      </c>
      <c r="AN57" s="139" t="s">
        <v>2409</v>
      </c>
      <c r="AO57" s="141">
        <v>1.30185166E8</v>
      </c>
      <c r="AP57" s="139" t="s">
        <v>2352</v>
      </c>
      <c r="AQ57" s="139" t="s">
        <v>2353</v>
      </c>
      <c r="AR57" s="139" t="s">
        <v>2354</v>
      </c>
      <c r="AS57" s="139" t="s">
        <v>2355</v>
      </c>
      <c r="AT57" s="139" t="s">
        <v>423</v>
      </c>
      <c r="AU57" s="139" t="s">
        <v>423</v>
      </c>
      <c r="AV57" s="139" t="s">
        <v>2415</v>
      </c>
      <c r="AW57" s="139" t="s">
        <v>2415</v>
      </c>
      <c r="AX57" s="139" t="s">
        <v>2416</v>
      </c>
      <c r="AY57" s="139" t="s">
        <v>2417</v>
      </c>
      <c r="AZ57" s="139" t="s">
        <v>935</v>
      </c>
      <c r="BA57" s="139" t="s">
        <v>2384</v>
      </c>
      <c r="BB57" s="139" t="s">
        <v>2359</v>
      </c>
      <c r="BC57" s="139" t="s">
        <v>2415</v>
      </c>
      <c r="BD57" s="139" t="s">
        <v>2005</v>
      </c>
      <c r="BE57" s="149" t="b">
        <v>0</v>
      </c>
      <c r="BF57" s="141" t="s">
        <v>2019</v>
      </c>
    </row>
    <row r="58" ht="15.75" customHeight="1">
      <c r="B58" s="139" t="s">
        <v>2296</v>
      </c>
      <c r="C58" s="140" t="s">
        <v>2338</v>
      </c>
      <c r="D58" s="32" t="s">
        <v>2418</v>
      </c>
      <c r="E58" s="32" t="str">
        <f>IFERROR(__xludf.DUMMYFUNCTION("IF(ISBLANK(D58), """", GOOGLETRANSLATE(D58, ""es"", ""en""))"),"Contract identifier code")</f>
        <v>Contract identifier code</v>
      </c>
      <c r="F58" s="138"/>
      <c r="G58" s="141">
        <v>203.0</v>
      </c>
      <c r="H58" s="139" t="s">
        <v>2333</v>
      </c>
      <c r="I58" s="139" t="s">
        <v>2334</v>
      </c>
      <c r="J58" s="139" t="s">
        <v>2335</v>
      </c>
      <c r="K58" s="139" t="s">
        <v>2419</v>
      </c>
      <c r="L58" s="139" t="s">
        <v>2420</v>
      </c>
      <c r="M58" s="139" t="s">
        <v>2421</v>
      </c>
      <c r="N58" s="141">
        <v>68955.0</v>
      </c>
      <c r="O58" s="139" t="s">
        <v>2422</v>
      </c>
      <c r="P58" s="139" t="s">
        <v>2014</v>
      </c>
      <c r="Q58" s="139" t="s">
        <v>2340</v>
      </c>
      <c r="R58" s="139" t="s">
        <v>2341</v>
      </c>
      <c r="S58" s="139" t="s">
        <v>1663</v>
      </c>
      <c r="T58" s="141" t="s">
        <v>2342</v>
      </c>
      <c r="U58" s="141" t="s">
        <v>2343</v>
      </c>
      <c r="V58" s="139"/>
      <c r="W58" s="141" t="s">
        <v>2423</v>
      </c>
      <c r="X58" s="141" t="s">
        <v>2424</v>
      </c>
      <c r="Y58" s="141" t="s">
        <v>2380</v>
      </c>
      <c r="Z58" s="141" t="s">
        <v>2346</v>
      </c>
      <c r="AA58" s="141" t="s">
        <v>2380</v>
      </c>
      <c r="AB58" s="141" t="s">
        <v>2346</v>
      </c>
      <c r="AC58" s="139" t="s">
        <v>1666</v>
      </c>
      <c r="AD58" s="141">
        <v>6921615.0</v>
      </c>
      <c r="AE58" s="139" t="s">
        <v>2347</v>
      </c>
      <c r="AF58" s="139" t="s">
        <v>2348</v>
      </c>
      <c r="AG58" s="141" t="s">
        <v>2425</v>
      </c>
      <c r="AH58" s="143" t="s">
        <v>2426</v>
      </c>
      <c r="AI58" s="139" t="s">
        <v>1626</v>
      </c>
      <c r="AJ58" s="139" t="s">
        <v>2017</v>
      </c>
      <c r="AK58" s="139" t="s">
        <v>2004</v>
      </c>
      <c r="AL58" s="139" t="s">
        <v>2005</v>
      </c>
      <c r="AM58" s="143" t="s">
        <v>2351</v>
      </c>
      <c r="AN58" s="139" t="s">
        <v>2422</v>
      </c>
      <c r="AO58" s="141">
        <v>1.31518621E8</v>
      </c>
      <c r="AP58" s="139" t="s">
        <v>2352</v>
      </c>
      <c r="AQ58" s="139" t="s">
        <v>2353</v>
      </c>
      <c r="AR58" s="139" t="s">
        <v>2354</v>
      </c>
      <c r="AS58" s="139" t="s">
        <v>2355</v>
      </c>
      <c r="AT58" s="139" t="s">
        <v>67</v>
      </c>
      <c r="AU58" s="139" t="s">
        <v>67</v>
      </c>
      <c r="AV58" s="139" t="s">
        <v>2427</v>
      </c>
      <c r="AW58" s="139" t="s">
        <v>2371</v>
      </c>
      <c r="AX58" s="139" t="s">
        <v>2428</v>
      </c>
      <c r="AY58" s="139" t="s">
        <v>921</v>
      </c>
      <c r="AZ58" s="139" t="s">
        <v>920</v>
      </c>
      <c r="BA58" s="139" t="s">
        <v>2358</v>
      </c>
      <c r="BB58" s="139" t="s">
        <v>2359</v>
      </c>
      <c r="BC58" s="139" t="s">
        <v>2429</v>
      </c>
      <c r="BD58" s="139" t="s">
        <v>2005</v>
      </c>
      <c r="BE58" s="149" t="b">
        <v>1</v>
      </c>
      <c r="BF58" s="141" t="s">
        <v>2019</v>
      </c>
    </row>
    <row r="59" ht="15.75" customHeight="1">
      <c r="B59" s="139" t="s">
        <v>1671</v>
      </c>
      <c r="C59" s="140">
        <v>11161.0</v>
      </c>
      <c r="D59" s="32" t="s">
        <v>2430</v>
      </c>
      <c r="E59" s="32" t="str">
        <f>IFERROR(__xludf.DUMMYFUNCTION("IF(ISBLANK(D59), """", GOOGLETRANSLATE(D59, ""es"", ""en""))"),"RPE number")</f>
        <v>RPE number</v>
      </c>
      <c r="G59" s="141">
        <v>203.0</v>
      </c>
      <c r="H59" s="139" t="s">
        <v>2333</v>
      </c>
      <c r="I59" s="139" t="s">
        <v>2334</v>
      </c>
      <c r="J59" s="139" t="s">
        <v>2335</v>
      </c>
      <c r="K59" s="139" t="s">
        <v>2431</v>
      </c>
      <c r="L59" s="139" t="s">
        <v>2432</v>
      </c>
      <c r="M59" s="139" t="s">
        <v>2433</v>
      </c>
      <c r="N59" s="141">
        <v>99669.0</v>
      </c>
      <c r="O59" s="139" t="s">
        <v>2434</v>
      </c>
      <c r="P59" s="139" t="s">
        <v>2014</v>
      </c>
      <c r="Q59" s="139" t="s">
        <v>2340</v>
      </c>
      <c r="R59" s="139" t="s">
        <v>2341</v>
      </c>
      <c r="S59" s="139" t="s">
        <v>2365</v>
      </c>
      <c r="T59" s="141" t="s">
        <v>2342</v>
      </c>
      <c r="U59" s="141" t="s">
        <v>2343</v>
      </c>
      <c r="V59" s="139"/>
      <c r="W59" s="141" t="s">
        <v>2435</v>
      </c>
      <c r="X59" s="141" t="s">
        <v>2435</v>
      </c>
      <c r="Y59" s="141" t="s">
        <v>2380</v>
      </c>
      <c r="Z59" s="141" t="s">
        <v>2346</v>
      </c>
      <c r="AA59" s="141" t="s">
        <v>2436</v>
      </c>
      <c r="AB59" s="141" t="s">
        <v>2437</v>
      </c>
      <c r="AC59" s="139" t="s">
        <v>1666</v>
      </c>
      <c r="AD59" s="141">
        <v>2.2194217E7</v>
      </c>
      <c r="AE59" s="139" t="s">
        <v>2347</v>
      </c>
      <c r="AF59" s="139" t="s">
        <v>2348</v>
      </c>
      <c r="AG59" s="141" t="s">
        <v>2438</v>
      </c>
      <c r="AH59" s="143" t="s">
        <v>2439</v>
      </c>
      <c r="AI59" s="139" t="s">
        <v>1626</v>
      </c>
      <c r="AJ59" s="139" t="s">
        <v>2017</v>
      </c>
      <c r="AK59" s="139" t="s">
        <v>2004</v>
      </c>
      <c r="AL59" s="139" t="s">
        <v>2005</v>
      </c>
      <c r="AM59" s="143" t="s">
        <v>2351</v>
      </c>
      <c r="AN59" s="139" t="s">
        <v>2434</v>
      </c>
      <c r="AO59" s="141">
        <v>1.31847412E8</v>
      </c>
      <c r="AP59" s="139" t="s">
        <v>2352</v>
      </c>
      <c r="AQ59" s="139" t="s">
        <v>2353</v>
      </c>
      <c r="AR59" s="139" t="s">
        <v>2354</v>
      </c>
      <c r="AS59" s="139" t="s">
        <v>2355</v>
      </c>
      <c r="AT59" s="139" t="s">
        <v>67</v>
      </c>
      <c r="AU59" s="139" t="s">
        <v>67</v>
      </c>
      <c r="AV59" s="139" t="s">
        <v>2440</v>
      </c>
      <c r="AW59" s="139" t="s">
        <v>2371</v>
      </c>
      <c r="AX59" s="139" t="s">
        <v>932</v>
      </c>
      <c r="AY59" s="139" t="s">
        <v>932</v>
      </c>
      <c r="AZ59" s="139" t="s">
        <v>920</v>
      </c>
      <c r="BA59" s="139" t="s">
        <v>2358</v>
      </c>
      <c r="BB59" s="139" t="s">
        <v>2359</v>
      </c>
      <c r="BC59" s="139" t="s">
        <v>2441</v>
      </c>
      <c r="BD59" s="139" t="s">
        <v>2005</v>
      </c>
      <c r="BE59" s="149" t="b">
        <v>1</v>
      </c>
      <c r="BF59" s="141" t="s">
        <v>2019</v>
      </c>
    </row>
    <row r="60" ht="15.75" customHeight="1">
      <c r="B60" s="139" t="s">
        <v>2297</v>
      </c>
      <c r="C60" s="140" t="s">
        <v>2339</v>
      </c>
      <c r="D60" s="32" t="s">
        <v>2442</v>
      </c>
      <c r="E60" s="32" t="str">
        <f>IFERROR(__xludf.DUMMYFUNCTION("IF(ISBLANK(D60), """", GOOGLETRANSLATE(D60, ""es"", ""en""))"),"Company name of the supplier of the items")</f>
        <v>Company name of the supplier of the items</v>
      </c>
      <c r="G60" s="141">
        <v>203.0</v>
      </c>
      <c r="H60" s="139" t="s">
        <v>2333</v>
      </c>
      <c r="I60" s="139" t="s">
        <v>2334</v>
      </c>
      <c r="J60" s="139" t="s">
        <v>2335</v>
      </c>
      <c r="K60" s="139" t="s">
        <v>2443</v>
      </c>
      <c r="L60" s="139" t="s">
        <v>2444</v>
      </c>
      <c r="M60" s="139" t="s">
        <v>2445</v>
      </c>
      <c r="N60" s="141">
        <v>1764.0</v>
      </c>
      <c r="O60" s="139" t="s">
        <v>2446</v>
      </c>
      <c r="P60" s="139" t="s">
        <v>2014</v>
      </c>
      <c r="Q60" s="139" t="s">
        <v>2340</v>
      </c>
      <c r="R60" s="139" t="s">
        <v>2341</v>
      </c>
      <c r="S60" s="139" t="s">
        <v>1663</v>
      </c>
      <c r="T60" s="141" t="s">
        <v>2342</v>
      </c>
      <c r="U60" s="141" t="s">
        <v>2343</v>
      </c>
      <c r="V60" s="139"/>
      <c r="W60" s="141" t="s">
        <v>2447</v>
      </c>
      <c r="X60" s="141" t="s">
        <v>2447</v>
      </c>
      <c r="Y60" s="141" t="s">
        <v>2345</v>
      </c>
      <c r="Z60" s="141" t="s">
        <v>2346</v>
      </c>
      <c r="AA60" s="141" t="s">
        <v>2345</v>
      </c>
      <c r="AB60" s="141" t="s">
        <v>2346</v>
      </c>
      <c r="AC60" s="139" t="s">
        <v>1666</v>
      </c>
      <c r="AD60" s="141">
        <v>3190594.0</v>
      </c>
      <c r="AE60" s="139" t="s">
        <v>2347</v>
      </c>
      <c r="AF60" s="139" t="s">
        <v>2348</v>
      </c>
      <c r="AG60" s="141" t="s">
        <v>2448</v>
      </c>
      <c r="AH60" s="143" t="s">
        <v>2449</v>
      </c>
      <c r="AI60" s="139" t="s">
        <v>1626</v>
      </c>
      <c r="AJ60" s="139" t="s">
        <v>2017</v>
      </c>
      <c r="AK60" s="139" t="s">
        <v>2004</v>
      </c>
      <c r="AL60" s="139" t="s">
        <v>2005</v>
      </c>
      <c r="AM60" s="143" t="s">
        <v>2351</v>
      </c>
      <c r="AN60" s="139" t="s">
        <v>2446</v>
      </c>
      <c r="AO60" s="141">
        <v>1.01747935E8</v>
      </c>
      <c r="AP60" s="139" t="s">
        <v>2352</v>
      </c>
      <c r="AQ60" s="139" t="s">
        <v>2353</v>
      </c>
      <c r="AR60" s="139" t="s">
        <v>2354</v>
      </c>
      <c r="AS60" s="139" t="s">
        <v>2355</v>
      </c>
      <c r="AT60" s="139" t="s">
        <v>67</v>
      </c>
      <c r="AU60" s="139" t="s">
        <v>67</v>
      </c>
      <c r="AV60" s="139" t="s">
        <v>2427</v>
      </c>
      <c r="AW60" s="139" t="s">
        <v>2371</v>
      </c>
      <c r="AX60" s="139" t="s">
        <v>2405</v>
      </c>
      <c r="AY60" s="139" t="s">
        <v>921</v>
      </c>
      <c r="AZ60" s="139" t="s">
        <v>920</v>
      </c>
      <c r="BA60" s="139" t="s">
        <v>2358</v>
      </c>
      <c r="BB60" s="139" t="s">
        <v>2359</v>
      </c>
      <c r="BC60" s="139" t="s">
        <v>2429</v>
      </c>
      <c r="BD60" s="139" t="s">
        <v>2005</v>
      </c>
      <c r="BE60" s="149" t="b">
        <v>1</v>
      </c>
      <c r="BF60" s="141" t="s">
        <v>2019</v>
      </c>
    </row>
    <row r="61" ht="15.75" customHeight="1">
      <c r="B61" s="139" t="s">
        <v>2298</v>
      </c>
      <c r="C61" s="140" t="s">
        <v>2014</v>
      </c>
      <c r="D61" s="32" t="s">
        <v>2450</v>
      </c>
      <c r="E61" s="32" t="str">
        <f>IFERROR(__xludf.DUMMYFUNCTION("IF(ISBLANK(D61), """", GOOGLETRANSLATE(D61, ""es"", ""en""))"),"Contracting classification (Ex: Works, Goods, Services)")</f>
        <v>Contracting classification (Ex: Works, Goods, Services)</v>
      </c>
      <c r="G61" s="141">
        <v>904.0</v>
      </c>
      <c r="H61" s="139" t="s">
        <v>2102</v>
      </c>
      <c r="I61" s="139" t="s">
        <v>2451</v>
      </c>
      <c r="J61" s="139" t="s">
        <v>2452</v>
      </c>
      <c r="K61" s="139" t="s">
        <v>2453</v>
      </c>
      <c r="L61" s="139" t="s">
        <v>2454</v>
      </c>
      <c r="M61" s="139" t="s">
        <v>2455</v>
      </c>
      <c r="N61" s="141">
        <v>17142.0</v>
      </c>
      <c r="O61" s="139" t="s">
        <v>2456</v>
      </c>
      <c r="P61" s="139" t="s">
        <v>2014</v>
      </c>
      <c r="Q61" s="139" t="s">
        <v>2457</v>
      </c>
      <c r="R61" s="139" t="s">
        <v>2341</v>
      </c>
      <c r="S61" s="139" t="s">
        <v>1663</v>
      </c>
      <c r="T61" s="141" t="s">
        <v>2458</v>
      </c>
      <c r="U61" s="141" t="s">
        <v>2459</v>
      </c>
      <c r="V61" s="139"/>
      <c r="W61" s="141" t="s">
        <v>2460</v>
      </c>
      <c r="X61" s="141" t="s">
        <v>2461</v>
      </c>
      <c r="Y61" s="141" t="s">
        <v>2462</v>
      </c>
      <c r="Z61" s="141" t="s">
        <v>2463</v>
      </c>
      <c r="AA61" s="141" t="s">
        <v>2462</v>
      </c>
      <c r="AB61" s="141" t="s">
        <v>2463</v>
      </c>
      <c r="AC61" s="139" t="s">
        <v>1666</v>
      </c>
      <c r="AD61" s="141">
        <v>5984100.0</v>
      </c>
      <c r="AE61" s="139" t="s">
        <v>2347</v>
      </c>
      <c r="AF61" s="139" t="s">
        <v>2464</v>
      </c>
      <c r="AG61" s="141" t="s">
        <v>2465</v>
      </c>
      <c r="AH61" s="143" t="s">
        <v>2466</v>
      </c>
      <c r="AI61" s="139" t="s">
        <v>1626</v>
      </c>
      <c r="AJ61" s="139" t="s">
        <v>2017</v>
      </c>
      <c r="AK61" s="139" t="s">
        <v>2004</v>
      </c>
      <c r="AL61" s="139" t="s">
        <v>2005</v>
      </c>
      <c r="AM61" s="143" t="s">
        <v>2467</v>
      </c>
      <c r="AN61" s="139" t="s">
        <v>2456</v>
      </c>
      <c r="AO61" s="141">
        <v>1.30297185E8</v>
      </c>
      <c r="AP61" s="139" t="s">
        <v>2352</v>
      </c>
      <c r="AQ61" s="139" t="s">
        <v>2353</v>
      </c>
      <c r="AR61" s="139" t="s">
        <v>2354</v>
      </c>
      <c r="AS61" s="139" t="s">
        <v>2355</v>
      </c>
      <c r="AT61" s="139" t="s">
        <v>423</v>
      </c>
      <c r="AU61" s="139" t="s">
        <v>423</v>
      </c>
      <c r="AV61" s="139" t="s">
        <v>2356</v>
      </c>
      <c r="AW61" s="139" t="s">
        <v>2357</v>
      </c>
      <c r="AX61" s="139" t="s">
        <v>2405</v>
      </c>
      <c r="AY61" s="139" t="s">
        <v>921</v>
      </c>
      <c r="AZ61" s="139" t="s">
        <v>920</v>
      </c>
      <c r="BA61" s="139" t="s">
        <v>2358</v>
      </c>
      <c r="BB61" s="139" t="s">
        <v>2359</v>
      </c>
      <c r="BC61" s="139" t="s">
        <v>2356</v>
      </c>
      <c r="BD61" s="139" t="s">
        <v>2005</v>
      </c>
      <c r="BE61" s="149" t="b">
        <v>0</v>
      </c>
      <c r="BF61" s="141" t="s">
        <v>2019</v>
      </c>
    </row>
    <row r="62" ht="15.75" customHeight="1">
      <c r="B62" s="139" t="s">
        <v>1970</v>
      </c>
      <c r="C62" s="140" t="s">
        <v>2340</v>
      </c>
      <c r="D62" s="32" t="s">
        <v>2468</v>
      </c>
      <c r="E62" s="32" t="str">
        <f>IFERROR(__xludf.DUMMYFUNCTION("IF(ISBLANK(D62), """", GOOGLETRANSLATE(D62, ""es"", ""en""))"),"Description of the purpose of the contract")</f>
        <v>Description of the purpose of the contract</v>
      </c>
      <c r="G62" s="141">
        <v>203.0</v>
      </c>
      <c r="H62" s="139" t="s">
        <v>2333</v>
      </c>
      <c r="I62" s="139" t="s">
        <v>2334</v>
      </c>
      <c r="J62" s="139" t="s">
        <v>2335</v>
      </c>
      <c r="K62" s="139" t="s">
        <v>2469</v>
      </c>
      <c r="L62" s="139" t="s">
        <v>2470</v>
      </c>
      <c r="M62" s="139" t="s">
        <v>2471</v>
      </c>
      <c r="N62" s="141">
        <v>3266.0</v>
      </c>
      <c r="O62" s="139" t="s">
        <v>2472</v>
      </c>
      <c r="P62" s="139" t="s">
        <v>2014</v>
      </c>
      <c r="Q62" s="139" t="s">
        <v>2340</v>
      </c>
      <c r="R62" s="139" t="s">
        <v>2341</v>
      </c>
      <c r="S62" s="139" t="s">
        <v>1663</v>
      </c>
      <c r="T62" s="141" t="s">
        <v>2342</v>
      </c>
      <c r="U62" s="141" t="s">
        <v>2343</v>
      </c>
      <c r="V62" s="139"/>
      <c r="W62" s="141" t="s">
        <v>2473</v>
      </c>
      <c r="X62" s="141" t="s">
        <v>2473</v>
      </c>
      <c r="Y62" s="141" t="s">
        <v>2345</v>
      </c>
      <c r="Z62" s="141" t="s">
        <v>2346</v>
      </c>
      <c r="AA62" s="141" t="s">
        <v>2345</v>
      </c>
      <c r="AB62" s="141" t="s">
        <v>2346</v>
      </c>
      <c r="AC62" s="139" t="s">
        <v>1666</v>
      </c>
      <c r="AD62" s="141">
        <v>4.59575E7</v>
      </c>
      <c r="AE62" s="139" t="s">
        <v>2347</v>
      </c>
      <c r="AF62" s="139" t="s">
        <v>2348</v>
      </c>
      <c r="AG62" s="141" t="s">
        <v>2474</v>
      </c>
      <c r="AH62" s="143" t="s">
        <v>2475</v>
      </c>
      <c r="AI62" s="139" t="s">
        <v>1626</v>
      </c>
      <c r="AJ62" s="139" t="s">
        <v>2017</v>
      </c>
      <c r="AK62" s="139" t="s">
        <v>2004</v>
      </c>
      <c r="AL62" s="139" t="s">
        <v>2005</v>
      </c>
      <c r="AM62" s="143" t="s">
        <v>2351</v>
      </c>
      <c r="AN62" s="139" t="s">
        <v>2472</v>
      </c>
      <c r="AO62" s="141">
        <v>1.04013778E8</v>
      </c>
      <c r="AP62" s="139" t="s">
        <v>2352</v>
      </c>
      <c r="AQ62" s="139" t="s">
        <v>2397</v>
      </c>
      <c r="AR62" s="139" t="s">
        <v>2354</v>
      </c>
      <c r="AS62" s="139" t="s">
        <v>2355</v>
      </c>
      <c r="AT62" s="139" t="s">
        <v>423</v>
      </c>
      <c r="AU62" s="139" t="s">
        <v>423</v>
      </c>
      <c r="AV62" s="139" t="s">
        <v>2356</v>
      </c>
      <c r="AW62" s="139" t="s">
        <v>2357</v>
      </c>
      <c r="AX62" s="139" t="s">
        <v>2476</v>
      </c>
      <c r="AY62" s="139" t="s">
        <v>2477</v>
      </c>
      <c r="AZ62" s="139" t="s">
        <v>918</v>
      </c>
      <c r="BA62" s="139" t="s">
        <v>2478</v>
      </c>
      <c r="BB62" s="139" t="s">
        <v>2359</v>
      </c>
      <c r="BC62" s="139" t="s">
        <v>2356</v>
      </c>
      <c r="BD62" s="139" t="s">
        <v>2005</v>
      </c>
      <c r="BE62" s="149" t="b">
        <v>0</v>
      </c>
      <c r="BF62" s="141" t="s">
        <v>2019</v>
      </c>
    </row>
    <row r="63" ht="15.75" customHeight="1">
      <c r="B63" s="139" t="s">
        <v>2299</v>
      </c>
      <c r="C63" s="140" t="s">
        <v>2341</v>
      </c>
      <c r="D63" s="32"/>
      <c r="E63" s="32" t="str">
        <f>IFERROR(__xludf.DUMMYFUNCTION("IF(ISBLANK(D63), """", GOOGLETRANSLATE(D63, ""es"", ""en""))"),"")</f>
        <v/>
      </c>
      <c r="G63" s="141">
        <v>203.0</v>
      </c>
      <c r="H63" s="139" t="s">
        <v>2333</v>
      </c>
      <c r="I63" s="139" t="s">
        <v>2334</v>
      </c>
      <c r="J63" s="139" t="s">
        <v>2335</v>
      </c>
      <c r="K63" s="139" t="s">
        <v>2479</v>
      </c>
      <c r="L63" s="139" t="s">
        <v>2480</v>
      </c>
      <c r="M63" s="139" t="s">
        <v>2481</v>
      </c>
      <c r="N63" s="141">
        <v>6624.0</v>
      </c>
      <c r="O63" s="139" t="s">
        <v>2482</v>
      </c>
      <c r="P63" s="139" t="s">
        <v>2014</v>
      </c>
      <c r="Q63" s="139" t="s">
        <v>2340</v>
      </c>
      <c r="R63" s="139" t="s">
        <v>2341</v>
      </c>
      <c r="S63" s="139" t="s">
        <v>1663</v>
      </c>
      <c r="T63" s="141" t="s">
        <v>2342</v>
      </c>
      <c r="U63" s="141" t="s">
        <v>2343</v>
      </c>
      <c r="V63" s="139"/>
      <c r="W63" s="141" t="s">
        <v>2483</v>
      </c>
      <c r="X63" s="141" t="s">
        <v>2484</v>
      </c>
      <c r="Y63" s="141" t="s">
        <v>2412</v>
      </c>
      <c r="Z63" s="141" t="s">
        <v>2346</v>
      </c>
      <c r="AA63" s="141" t="s">
        <v>2412</v>
      </c>
      <c r="AB63" s="141" t="s">
        <v>2346</v>
      </c>
      <c r="AC63" s="139" t="s">
        <v>1666</v>
      </c>
      <c r="AD63" s="141">
        <v>1.3415625E7</v>
      </c>
      <c r="AE63" s="139" t="s">
        <v>2347</v>
      </c>
      <c r="AF63" s="139" t="s">
        <v>2348</v>
      </c>
      <c r="AG63" s="141" t="s">
        <v>2485</v>
      </c>
      <c r="AH63" s="143" t="s">
        <v>2486</v>
      </c>
      <c r="AI63" s="139" t="s">
        <v>1626</v>
      </c>
      <c r="AJ63" s="139" t="s">
        <v>2017</v>
      </c>
      <c r="AK63" s="139" t="s">
        <v>2004</v>
      </c>
      <c r="AL63" s="139" t="s">
        <v>2005</v>
      </c>
      <c r="AM63" s="143" t="s">
        <v>2351</v>
      </c>
      <c r="AN63" s="139" t="s">
        <v>2482</v>
      </c>
      <c r="AO63" s="141">
        <v>1.01162929E8</v>
      </c>
      <c r="AP63" s="139" t="s">
        <v>2352</v>
      </c>
      <c r="AQ63" s="139" t="s">
        <v>2353</v>
      </c>
      <c r="AR63" s="139" t="s">
        <v>2354</v>
      </c>
      <c r="AS63" s="139" t="s">
        <v>2355</v>
      </c>
      <c r="AT63" s="139" t="s">
        <v>423</v>
      </c>
      <c r="AU63" s="139" t="s">
        <v>423</v>
      </c>
      <c r="AV63" s="139" t="s">
        <v>2415</v>
      </c>
      <c r="AW63" s="139" t="s">
        <v>2415</v>
      </c>
      <c r="AX63" s="139" t="s">
        <v>2476</v>
      </c>
      <c r="AY63" s="139" t="s">
        <v>2477</v>
      </c>
      <c r="AZ63" s="139" t="s">
        <v>918</v>
      </c>
      <c r="BA63" s="139" t="s">
        <v>2478</v>
      </c>
      <c r="BB63" s="139" t="s">
        <v>2359</v>
      </c>
      <c r="BC63" s="139" t="s">
        <v>2415</v>
      </c>
      <c r="BD63" s="139" t="s">
        <v>2005</v>
      </c>
      <c r="BE63" s="149" t="b">
        <v>0</v>
      </c>
      <c r="BF63" s="141" t="s">
        <v>2019</v>
      </c>
    </row>
    <row r="64" ht="15.75" customHeight="1">
      <c r="B64" s="139" t="s">
        <v>2300</v>
      </c>
      <c r="C64" s="140" t="s">
        <v>1663</v>
      </c>
      <c r="D64" s="32" t="s">
        <v>2487</v>
      </c>
      <c r="E64" s="32" t="str">
        <f>IFERROR(__xludf.DUMMYFUNCTION("IF(ISBLANK(D64), """", GOOGLETRANSLATE(D64, ""es"", ""en""))"),"Contract Status Description")</f>
        <v>Contract Status Description</v>
      </c>
      <c r="G64" s="141">
        <v>203.0</v>
      </c>
      <c r="H64" s="139" t="s">
        <v>2333</v>
      </c>
      <c r="I64" s="139" t="s">
        <v>2334</v>
      </c>
      <c r="J64" s="139" t="s">
        <v>2335</v>
      </c>
      <c r="K64" s="139" t="s">
        <v>2488</v>
      </c>
      <c r="L64" s="139" t="s">
        <v>2489</v>
      </c>
      <c r="M64" s="139" t="s">
        <v>2490</v>
      </c>
      <c r="N64" s="141">
        <v>12014.0</v>
      </c>
      <c r="O64" s="139" t="s">
        <v>2491</v>
      </c>
      <c r="P64" s="139" t="s">
        <v>2014</v>
      </c>
      <c r="Q64" s="139" t="s">
        <v>2340</v>
      </c>
      <c r="R64" s="139" t="s">
        <v>2341</v>
      </c>
      <c r="S64" s="139" t="s">
        <v>1663</v>
      </c>
      <c r="T64" s="141" t="s">
        <v>2342</v>
      </c>
      <c r="U64" s="141" t="s">
        <v>2343</v>
      </c>
      <c r="V64" s="139"/>
      <c r="W64" s="141" t="s">
        <v>2492</v>
      </c>
      <c r="X64" s="141" t="s">
        <v>2492</v>
      </c>
      <c r="Y64" s="141" t="s">
        <v>2345</v>
      </c>
      <c r="Z64" s="141" t="s">
        <v>2346</v>
      </c>
      <c r="AA64" s="141" t="s">
        <v>2345</v>
      </c>
      <c r="AB64" s="141" t="s">
        <v>2346</v>
      </c>
      <c r="AC64" s="139" t="s">
        <v>1666</v>
      </c>
      <c r="AD64" s="141">
        <v>3150010.0</v>
      </c>
      <c r="AE64" s="139" t="s">
        <v>2347</v>
      </c>
      <c r="AF64" s="139" t="s">
        <v>2348</v>
      </c>
      <c r="AG64" s="141" t="s">
        <v>2493</v>
      </c>
      <c r="AH64" s="143" t="s">
        <v>2494</v>
      </c>
      <c r="AI64" s="139" t="s">
        <v>1626</v>
      </c>
      <c r="AJ64" s="139" t="s">
        <v>2017</v>
      </c>
      <c r="AK64" s="139" t="s">
        <v>2004</v>
      </c>
      <c r="AL64" s="139" t="s">
        <v>2005</v>
      </c>
      <c r="AM64" s="143" t="s">
        <v>2351</v>
      </c>
      <c r="AN64" s="139" t="s">
        <v>2491</v>
      </c>
      <c r="AO64" s="141">
        <v>1.30598292E8</v>
      </c>
      <c r="AP64" s="139" t="s">
        <v>2352</v>
      </c>
      <c r="AQ64" s="139" t="s">
        <v>2353</v>
      </c>
      <c r="AR64" s="139" t="s">
        <v>2354</v>
      </c>
      <c r="AS64" s="139" t="s">
        <v>2355</v>
      </c>
      <c r="AT64" s="139" t="s">
        <v>67</v>
      </c>
      <c r="AU64" s="139" t="s">
        <v>67</v>
      </c>
      <c r="AV64" s="139" t="s">
        <v>2427</v>
      </c>
      <c r="AW64" s="139" t="s">
        <v>2371</v>
      </c>
      <c r="AX64" s="139" t="s">
        <v>2495</v>
      </c>
      <c r="AY64" s="139" t="s">
        <v>921</v>
      </c>
      <c r="AZ64" s="139" t="s">
        <v>920</v>
      </c>
      <c r="BA64" s="139" t="s">
        <v>2358</v>
      </c>
      <c r="BB64" s="139" t="s">
        <v>2359</v>
      </c>
      <c r="BC64" s="139" t="s">
        <v>2429</v>
      </c>
      <c r="BD64" s="139" t="s">
        <v>2005</v>
      </c>
      <c r="BE64" s="149" t="b">
        <v>1</v>
      </c>
      <c r="BF64" s="141" t="s">
        <v>2019</v>
      </c>
    </row>
    <row r="65" ht="15.75" customHeight="1">
      <c r="B65" s="139" t="s">
        <v>2301</v>
      </c>
      <c r="C65" s="140" t="s">
        <v>2342</v>
      </c>
      <c r="D65" s="32" t="s">
        <v>2496</v>
      </c>
      <c r="E65" s="32" t="str">
        <f>IFERROR(__xludf.DUMMYFUNCTION("IF(ISBLANK(D65), """", GOOGLETRANSLATE(D65, ""es"", ""en""))"),"Contract award date")</f>
        <v>Contract award date</v>
      </c>
      <c r="G65" s="141">
        <v>203.0</v>
      </c>
      <c r="H65" s="139" t="s">
        <v>2333</v>
      </c>
      <c r="I65" s="139" t="s">
        <v>2334</v>
      </c>
      <c r="J65" s="139" t="s">
        <v>2335</v>
      </c>
      <c r="K65" s="139" t="s">
        <v>2497</v>
      </c>
      <c r="L65" s="139" t="s">
        <v>2498</v>
      </c>
      <c r="M65" s="139" t="s">
        <v>2499</v>
      </c>
      <c r="N65" s="141">
        <v>107046.0</v>
      </c>
      <c r="O65" s="139" t="s">
        <v>2500</v>
      </c>
      <c r="P65" s="139" t="s">
        <v>2014</v>
      </c>
      <c r="Q65" s="139" t="s">
        <v>2340</v>
      </c>
      <c r="R65" s="139" t="s">
        <v>2341</v>
      </c>
      <c r="S65" s="139" t="s">
        <v>2365</v>
      </c>
      <c r="T65" s="141" t="s">
        <v>2342</v>
      </c>
      <c r="U65" s="141" t="s">
        <v>2343</v>
      </c>
      <c r="V65" s="139"/>
      <c r="W65" s="141" t="s">
        <v>2501</v>
      </c>
      <c r="X65" s="141" t="s">
        <v>2502</v>
      </c>
      <c r="Y65" s="141" t="s">
        <v>2503</v>
      </c>
      <c r="Z65" s="141" t="s">
        <v>2346</v>
      </c>
      <c r="AA65" s="141" t="s">
        <v>2503</v>
      </c>
      <c r="AB65" s="141" t="s">
        <v>2346</v>
      </c>
      <c r="AC65" s="139" t="s">
        <v>1666</v>
      </c>
      <c r="AD65" s="141">
        <v>1296900.0</v>
      </c>
      <c r="AE65" s="139" t="s">
        <v>2347</v>
      </c>
      <c r="AF65" s="139" t="s">
        <v>2348</v>
      </c>
      <c r="AG65" s="141" t="s">
        <v>2504</v>
      </c>
      <c r="AH65" s="143" t="s">
        <v>2505</v>
      </c>
      <c r="AI65" s="139" t="s">
        <v>1626</v>
      </c>
      <c r="AJ65" s="139" t="s">
        <v>2017</v>
      </c>
      <c r="AK65" s="139" t="s">
        <v>2004</v>
      </c>
      <c r="AL65" s="139" t="s">
        <v>2005</v>
      </c>
      <c r="AM65" s="143" t="s">
        <v>2351</v>
      </c>
      <c r="AN65" s="139" t="s">
        <v>2500</v>
      </c>
      <c r="AO65" s="141">
        <v>1.32617789E8</v>
      </c>
      <c r="AP65" s="139" t="s">
        <v>2352</v>
      </c>
      <c r="AQ65" s="139" t="s">
        <v>2397</v>
      </c>
      <c r="AR65" s="139" t="s">
        <v>2354</v>
      </c>
      <c r="AS65" s="139" t="s">
        <v>2355</v>
      </c>
      <c r="AT65" s="139" t="s">
        <v>67</v>
      </c>
      <c r="AU65" s="139" t="s">
        <v>67</v>
      </c>
      <c r="AV65" s="139" t="s">
        <v>2440</v>
      </c>
      <c r="AW65" s="139" t="s">
        <v>2371</v>
      </c>
      <c r="AX65" s="139" t="s">
        <v>2506</v>
      </c>
      <c r="AY65" s="139" t="s">
        <v>2507</v>
      </c>
      <c r="AZ65" s="139" t="s">
        <v>2508</v>
      </c>
      <c r="BA65" s="139" t="s">
        <v>2478</v>
      </c>
      <c r="BB65" s="139" t="s">
        <v>2359</v>
      </c>
      <c r="BC65" s="139" t="s">
        <v>2509</v>
      </c>
      <c r="BD65" s="139" t="s">
        <v>2005</v>
      </c>
      <c r="BE65" s="149" t="b">
        <v>1</v>
      </c>
      <c r="BF65" s="141" t="s">
        <v>2019</v>
      </c>
    </row>
    <row r="66" ht="15.75" customHeight="1">
      <c r="B66" s="139" t="s">
        <v>2302</v>
      </c>
      <c r="C66" s="140" t="s">
        <v>2343</v>
      </c>
      <c r="D66" s="32"/>
      <c r="E66" s="32" t="str">
        <f>IFERROR(__xludf.DUMMYFUNCTION("IF(ISBLANK(D66), """", GOOGLETRANSLATE(D66, ""es"", ""en""))"),"")</f>
        <v/>
      </c>
      <c r="G66" s="141">
        <v>203.0</v>
      </c>
      <c r="H66" s="139" t="s">
        <v>2333</v>
      </c>
      <c r="I66" s="139" t="s">
        <v>2334</v>
      </c>
      <c r="J66" s="139" t="s">
        <v>2335</v>
      </c>
      <c r="K66" s="139" t="s">
        <v>2510</v>
      </c>
      <c r="L66" s="139" t="s">
        <v>2511</v>
      </c>
      <c r="M66" s="139" t="s">
        <v>2512</v>
      </c>
      <c r="N66" s="141">
        <v>105180.0</v>
      </c>
      <c r="O66" s="139" t="s">
        <v>2513</v>
      </c>
      <c r="P66" s="139" t="s">
        <v>2014</v>
      </c>
      <c r="Q66" s="139" t="s">
        <v>2340</v>
      </c>
      <c r="R66" s="139" t="s">
        <v>2341</v>
      </c>
      <c r="S66" s="139" t="s">
        <v>2365</v>
      </c>
      <c r="T66" s="141" t="s">
        <v>2342</v>
      </c>
      <c r="U66" s="141" t="s">
        <v>2343</v>
      </c>
      <c r="V66" s="139"/>
      <c r="W66" s="141" t="s">
        <v>2514</v>
      </c>
      <c r="X66" s="141" t="s">
        <v>2514</v>
      </c>
      <c r="Y66" s="141" t="s">
        <v>2515</v>
      </c>
      <c r="Z66" s="141" t="s">
        <v>2346</v>
      </c>
      <c r="AA66" s="141" t="s">
        <v>2515</v>
      </c>
      <c r="AB66" s="141" t="s">
        <v>2346</v>
      </c>
      <c r="AC66" s="139" t="s">
        <v>1666</v>
      </c>
      <c r="AD66" s="141">
        <v>6381188.0</v>
      </c>
      <c r="AE66" s="139" t="s">
        <v>2347</v>
      </c>
      <c r="AF66" s="139" t="s">
        <v>2348</v>
      </c>
      <c r="AG66" s="141" t="s">
        <v>2516</v>
      </c>
      <c r="AH66" s="143" t="s">
        <v>2517</v>
      </c>
      <c r="AI66" s="139" t="s">
        <v>1626</v>
      </c>
      <c r="AJ66" s="139" t="s">
        <v>2017</v>
      </c>
      <c r="AK66" s="139" t="s">
        <v>2004</v>
      </c>
      <c r="AL66" s="139" t="s">
        <v>2005</v>
      </c>
      <c r="AM66" s="143" t="s">
        <v>2351</v>
      </c>
      <c r="AN66" s="139" t="s">
        <v>2513</v>
      </c>
      <c r="AO66" s="141">
        <v>1.31375571E8</v>
      </c>
      <c r="AP66" s="139" t="s">
        <v>2352</v>
      </c>
      <c r="AQ66" s="139" t="s">
        <v>2397</v>
      </c>
      <c r="AR66" s="139" t="s">
        <v>2354</v>
      </c>
      <c r="AS66" s="139" t="s">
        <v>2355</v>
      </c>
      <c r="AT66" s="139" t="s">
        <v>67</v>
      </c>
      <c r="AU66" s="139" t="s">
        <v>67</v>
      </c>
      <c r="AV66" s="139" t="s">
        <v>2440</v>
      </c>
      <c r="AW66" s="139" t="s">
        <v>2371</v>
      </c>
      <c r="AX66" s="139"/>
      <c r="AY66" s="139" t="s">
        <v>2384</v>
      </c>
      <c r="AZ66" s="139" t="s">
        <v>2384</v>
      </c>
      <c r="BA66" s="139" t="s">
        <v>2384</v>
      </c>
      <c r="BB66" s="139"/>
      <c r="BC66" s="139" t="s">
        <v>2441</v>
      </c>
      <c r="BD66" s="139" t="s">
        <v>2005</v>
      </c>
      <c r="BE66" s="149" t="b">
        <v>1</v>
      </c>
      <c r="BF66" s="141" t="s">
        <v>2019</v>
      </c>
    </row>
    <row r="67" ht="15.75" customHeight="1">
      <c r="B67" s="139" t="s">
        <v>2303</v>
      </c>
      <c r="C67" s="140"/>
      <c r="D67" s="32" t="s">
        <v>2518</v>
      </c>
      <c r="E67" s="32" t="str">
        <f>IFERROR(__xludf.DUMMYFUNCTION("IF(ISBLANK(D67), """", GOOGLETRANSLATE(D67, ""es"", ""en""))"),"Contract approval date")</f>
        <v>Contract approval date</v>
      </c>
      <c r="G67" s="141">
        <v>203.0</v>
      </c>
      <c r="H67" s="139" t="s">
        <v>2333</v>
      </c>
      <c r="I67" s="139" t="s">
        <v>2334</v>
      </c>
      <c r="J67" s="139" t="s">
        <v>2335</v>
      </c>
      <c r="K67" s="139" t="s">
        <v>2519</v>
      </c>
      <c r="L67" s="139" t="s">
        <v>2520</v>
      </c>
      <c r="M67" s="139" t="s">
        <v>2521</v>
      </c>
      <c r="N67" s="141">
        <v>15342.0</v>
      </c>
      <c r="O67" s="139" t="s">
        <v>2522</v>
      </c>
      <c r="P67" s="139" t="s">
        <v>2014</v>
      </c>
      <c r="Q67" s="139" t="s">
        <v>2523</v>
      </c>
      <c r="R67" s="139" t="s">
        <v>2341</v>
      </c>
      <c r="S67" s="139" t="s">
        <v>2365</v>
      </c>
      <c r="T67" s="141" t="s">
        <v>2342</v>
      </c>
      <c r="U67" s="141" t="s">
        <v>2343</v>
      </c>
      <c r="V67" s="139"/>
      <c r="W67" s="141" t="s">
        <v>2524</v>
      </c>
      <c r="X67" s="141" t="s">
        <v>2524</v>
      </c>
      <c r="Y67" s="141" t="s">
        <v>2380</v>
      </c>
      <c r="Z67" s="141" t="s">
        <v>2346</v>
      </c>
      <c r="AA67" s="141" t="s">
        <v>2380</v>
      </c>
      <c r="AB67" s="141" t="s">
        <v>2346</v>
      </c>
      <c r="AC67" s="139" t="s">
        <v>1666</v>
      </c>
      <c r="AD67" s="141">
        <v>220410.0</v>
      </c>
      <c r="AE67" s="139" t="s">
        <v>2347</v>
      </c>
      <c r="AF67" s="139" t="s">
        <v>2348</v>
      </c>
      <c r="AG67" s="141" t="s">
        <v>2525</v>
      </c>
      <c r="AH67" s="143" t="s">
        <v>2526</v>
      </c>
      <c r="AI67" s="139" t="s">
        <v>1626</v>
      </c>
      <c r="AJ67" s="139" t="s">
        <v>2017</v>
      </c>
      <c r="AK67" s="139" t="s">
        <v>2004</v>
      </c>
      <c r="AL67" s="139" t="s">
        <v>2005</v>
      </c>
      <c r="AM67" s="143" t="s">
        <v>2351</v>
      </c>
      <c r="AN67" s="139" t="s">
        <v>2522</v>
      </c>
      <c r="AO67" s="141">
        <v>1.30770222E8</v>
      </c>
      <c r="AP67" s="139" t="s">
        <v>2352</v>
      </c>
      <c r="AQ67" s="139" t="s">
        <v>2397</v>
      </c>
      <c r="AR67" s="139" t="s">
        <v>2354</v>
      </c>
      <c r="AS67" s="139" t="s">
        <v>2355</v>
      </c>
      <c r="AT67" s="139" t="s">
        <v>67</v>
      </c>
      <c r="AU67" s="139" t="s">
        <v>67</v>
      </c>
      <c r="AV67" s="139" t="s">
        <v>2440</v>
      </c>
      <c r="AW67" s="139" t="s">
        <v>2371</v>
      </c>
      <c r="AX67" s="139" t="s">
        <v>2495</v>
      </c>
      <c r="AY67" s="139" t="s">
        <v>921</v>
      </c>
      <c r="AZ67" s="139" t="s">
        <v>920</v>
      </c>
      <c r="BA67" s="139" t="s">
        <v>2358</v>
      </c>
      <c r="BB67" s="139" t="s">
        <v>2359</v>
      </c>
      <c r="BC67" s="139" t="s">
        <v>2509</v>
      </c>
      <c r="BD67" s="139" t="s">
        <v>2005</v>
      </c>
      <c r="BE67" s="149" t="b">
        <v>1</v>
      </c>
      <c r="BF67" s="141" t="s">
        <v>2019</v>
      </c>
    </row>
    <row r="68" ht="15.75" customHeight="1">
      <c r="B68" s="139" t="s">
        <v>2304</v>
      </c>
      <c r="C68" s="140" t="s">
        <v>2344</v>
      </c>
      <c r="D68" s="32"/>
      <c r="E68" s="32" t="str">
        <f>IFERROR(__xludf.DUMMYFUNCTION("IF(ISBLANK(D68), """", GOOGLETRANSLATE(D68, ""es"", ""en""))"),"")</f>
        <v/>
      </c>
      <c r="G68" s="141">
        <v>203.0</v>
      </c>
      <c r="H68" s="139" t="s">
        <v>2333</v>
      </c>
      <c r="I68" s="139" t="s">
        <v>2334</v>
      </c>
      <c r="J68" s="139" t="s">
        <v>2335</v>
      </c>
      <c r="K68" s="139" t="s">
        <v>2527</v>
      </c>
      <c r="L68" s="139" t="s">
        <v>2528</v>
      </c>
      <c r="M68" s="139" t="s">
        <v>2529</v>
      </c>
      <c r="N68" s="141">
        <v>17087.0</v>
      </c>
      <c r="O68" s="139" t="s">
        <v>2530</v>
      </c>
      <c r="P68" s="139" t="s">
        <v>2014</v>
      </c>
      <c r="Q68" s="139" t="s">
        <v>2340</v>
      </c>
      <c r="R68" s="139" t="s">
        <v>2341</v>
      </c>
      <c r="S68" s="139" t="s">
        <v>1663</v>
      </c>
      <c r="T68" s="141" t="s">
        <v>2342</v>
      </c>
      <c r="U68" s="141" t="s">
        <v>2343</v>
      </c>
      <c r="V68" s="139"/>
      <c r="W68" s="141" t="s">
        <v>2531</v>
      </c>
      <c r="X68" s="141" t="s">
        <v>2531</v>
      </c>
      <c r="Y68" s="141" t="s">
        <v>2345</v>
      </c>
      <c r="Z68" s="141" t="s">
        <v>2346</v>
      </c>
      <c r="AA68" s="141" t="s">
        <v>2345</v>
      </c>
      <c r="AB68" s="141" t="s">
        <v>2346</v>
      </c>
      <c r="AC68" s="139" t="s">
        <v>1666</v>
      </c>
      <c r="AD68" s="141">
        <v>4.791847E7</v>
      </c>
      <c r="AE68" s="139" t="s">
        <v>2347</v>
      </c>
      <c r="AF68" s="139" t="s">
        <v>2348</v>
      </c>
      <c r="AG68" s="141" t="s">
        <v>2532</v>
      </c>
      <c r="AH68" s="143" t="s">
        <v>2533</v>
      </c>
      <c r="AI68" s="139" t="s">
        <v>1626</v>
      </c>
      <c r="AJ68" s="139" t="s">
        <v>2017</v>
      </c>
      <c r="AK68" s="139" t="s">
        <v>2004</v>
      </c>
      <c r="AL68" s="139" t="s">
        <v>2005</v>
      </c>
      <c r="AM68" s="143" t="s">
        <v>2351</v>
      </c>
      <c r="AN68" s="139" t="s">
        <v>2530</v>
      </c>
      <c r="AO68" s="141">
        <v>1.01582512E8</v>
      </c>
      <c r="AP68" s="139" t="s">
        <v>2352</v>
      </c>
      <c r="AQ68" s="139" t="s">
        <v>2397</v>
      </c>
      <c r="AR68" s="139" t="s">
        <v>2354</v>
      </c>
      <c r="AS68" s="139" t="s">
        <v>2355</v>
      </c>
      <c r="AT68" s="139" t="s">
        <v>423</v>
      </c>
      <c r="AU68" s="139" t="s">
        <v>423</v>
      </c>
      <c r="AV68" s="139" t="s">
        <v>2356</v>
      </c>
      <c r="AW68" s="139" t="s">
        <v>2357</v>
      </c>
      <c r="AX68" s="139" t="s">
        <v>2495</v>
      </c>
      <c r="AY68" s="139" t="s">
        <v>921</v>
      </c>
      <c r="AZ68" s="139" t="s">
        <v>920</v>
      </c>
      <c r="BA68" s="139" t="s">
        <v>2358</v>
      </c>
      <c r="BB68" s="139" t="s">
        <v>2359</v>
      </c>
      <c r="BC68" s="139" t="s">
        <v>2356</v>
      </c>
      <c r="BD68" s="139" t="s">
        <v>2005</v>
      </c>
      <c r="BE68" s="149" t="b">
        <v>0</v>
      </c>
      <c r="BF68" s="141" t="s">
        <v>2019</v>
      </c>
    </row>
    <row r="69" ht="15.75" customHeight="1">
      <c r="B69" s="139" t="s">
        <v>2305</v>
      </c>
      <c r="C69" s="140" t="s">
        <v>2344</v>
      </c>
      <c r="D69" s="32"/>
      <c r="E69" s="32" t="str">
        <f>IFERROR(__xludf.DUMMYFUNCTION("IF(ISBLANK(D69), """", GOOGLETRANSLATE(D69, ""es"", ""en""))"),"")</f>
        <v/>
      </c>
      <c r="G69" s="141">
        <v>203.0</v>
      </c>
      <c r="H69" s="139" t="s">
        <v>2333</v>
      </c>
      <c r="I69" s="139" t="s">
        <v>2334</v>
      </c>
      <c r="J69" s="139" t="s">
        <v>2335</v>
      </c>
      <c r="K69" s="139" t="s">
        <v>2534</v>
      </c>
      <c r="L69" s="139" t="s">
        <v>2535</v>
      </c>
      <c r="M69" s="139" t="s">
        <v>2536</v>
      </c>
      <c r="N69" s="141">
        <v>8809.0</v>
      </c>
      <c r="O69" s="139" t="s">
        <v>2537</v>
      </c>
      <c r="P69" s="139" t="s">
        <v>2014</v>
      </c>
      <c r="Q69" s="139" t="s">
        <v>2340</v>
      </c>
      <c r="R69" s="139" t="s">
        <v>2341</v>
      </c>
      <c r="S69" s="139" t="s">
        <v>1663</v>
      </c>
      <c r="T69" s="141" t="s">
        <v>2342</v>
      </c>
      <c r="U69" s="141" t="s">
        <v>2343</v>
      </c>
      <c r="V69" s="139"/>
      <c r="W69" s="141" t="s">
        <v>2538</v>
      </c>
      <c r="X69" s="141" t="s">
        <v>2539</v>
      </c>
      <c r="Y69" s="141" t="s">
        <v>2367</v>
      </c>
      <c r="Z69" s="141" t="s">
        <v>2540</v>
      </c>
      <c r="AA69" s="141" t="s">
        <v>2367</v>
      </c>
      <c r="AB69" s="141" t="s">
        <v>2346</v>
      </c>
      <c r="AC69" s="139" t="s">
        <v>1666</v>
      </c>
      <c r="AD69" s="141">
        <v>5.32125E7</v>
      </c>
      <c r="AE69" s="139" t="s">
        <v>2347</v>
      </c>
      <c r="AF69" s="139" t="s">
        <v>2348</v>
      </c>
      <c r="AG69" s="141" t="s">
        <v>2541</v>
      </c>
      <c r="AH69" s="143" t="s">
        <v>2542</v>
      </c>
      <c r="AI69" s="139" t="s">
        <v>1626</v>
      </c>
      <c r="AJ69" s="139" t="s">
        <v>2017</v>
      </c>
      <c r="AK69" s="139" t="s">
        <v>2004</v>
      </c>
      <c r="AL69" s="139" t="s">
        <v>2005</v>
      </c>
      <c r="AM69" s="143" t="s">
        <v>2351</v>
      </c>
      <c r="AN69" s="139" t="s">
        <v>2537</v>
      </c>
      <c r="AO69" s="141">
        <v>1.04002024E8</v>
      </c>
      <c r="AP69" s="139" t="s">
        <v>2352</v>
      </c>
      <c r="AQ69" s="139" t="s">
        <v>2353</v>
      </c>
      <c r="AR69" s="139" t="s">
        <v>2354</v>
      </c>
      <c r="AS69" s="139" t="s">
        <v>2355</v>
      </c>
      <c r="AT69" s="139" t="s">
        <v>423</v>
      </c>
      <c r="AU69" s="139" t="s">
        <v>423</v>
      </c>
      <c r="AV69" s="139" t="s">
        <v>2356</v>
      </c>
      <c r="AW69" s="139" t="s">
        <v>2357</v>
      </c>
      <c r="AX69" s="139" t="s">
        <v>2416</v>
      </c>
      <c r="AY69" s="139" t="s">
        <v>2417</v>
      </c>
      <c r="AZ69" s="139" t="s">
        <v>935</v>
      </c>
      <c r="BA69" s="139" t="s">
        <v>2384</v>
      </c>
      <c r="BB69" s="139" t="s">
        <v>2359</v>
      </c>
      <c r="BC69" s="139" t="s">
        <v>2356</v>
      </c>
      <c r="BD69" s="139" t="s">
        <v>2005</v>
      </c>
      <c r="BE69" s="149" t="b">
        <v>0</v>
      </c>
      <c r="BF69" s="141" t="s">
        <v>2019</v>
      </c>
    </row>
    <row r="70" ht="15.75" customHeight="1">
      <c r="B70" s="139" t="s">
        <v>2306</v>
      </c>
      <c r="C70" s="140" t="s">
        <v>2345</v>
      </c>
      <c r="D70" s="32" t="s">
        <v>2543</v>
      </c>
      <c r="E70" s="32" t="str">
        <f>IFERROR(__xludf.DUMMYFUNCTION("IF(ISBLANK(D70), """", GOOGLETRANSLATE(D70, ""es"", ""en""))"),"Contract start date")</f>
        <v>Contract start date</v>
      </c>
      <c r="G70" s="141">
        <v>203.0</v>
      </c>
      <c r="H70" s="139" t="s">
        <v>2333</v>
      </c>
      <c r="I70" s="139" t="s">
        <v>2334</v>
      </c>
      <c r="J70" s="139" t="s">
        <v>2335</v>
      </c>
      <c r="K70" s="139" t="s">
        <v>2544</v>
      </c>
      <c r="L70" s="139" t="s">
        <v>2545</v>
      </c>
      <c r="M70" s="139" t="s">
        <v>2546</v>
      </c>
      <c r="N70" s="141">
        <v>94790.0</v>
      </c>
      <c r="O70" s="139" t="s">
        <v>2547</v>
      </c>
      <c r="P70" s="139" t="s">
        <v>2014</v>
      </c>
      <c r="Q70" s="139" t="s">
        <v>2340</v>
      </c>
      <c r="R70" s="139" t="s">
        <v>2341</v>
      </c>
      <c r="S70" s="139" t="s">
        <v>2365</v>
      </c>
      <c r="T70" s="141" t="s">
        <v>2342</v>
      </c>
      <c r="U70" s="141" t="s">
        <v>2343</v>
      </c>
      <c r="V70" s="139"/>
      <c r="W70" s="141" t="s">
        <v>2548</v>
      </c>
      <c r="X70" s="141" t="s">
        <v>2549</v>
      </c>
      <c r="Y70" s="141" t="s">
        <v>2391</v>
      </c>
      <c r="Z70" s="141" t="s">
        <v>2346</v>
      </c>
      <c r="AA70" s="141" t="s">
        <v>2391</v>
      </c>
      <c r="AB70" s="141" t="s">
        <v>2346</v>
      </c>
      <c r="AC70" s="139" t="s">
        <v>1666</v>
      </c>
      <c r="AD70" s="141">
        <v>1.82934463E8</v>
      </c>
      <c r="AE70" s="139" t="s">
        <v>2347</v>
      </c>
      <c r="AF70" s="139" t="s">
        <v>2348</v>
      </c>
      <c r="AG70" s="141" t="s">
        <v>2550</v>
      </c>
      <c r="AH70" s="143" t="s">
        <v>2551</v>
      </c>
      <c r="AI70" s="139" t="s">
        <v>1626</v>
      </c>
      <c r="AJ70" s="139" t="s">
        <v>2017</v>
      </c>
      <c r="AK70" s="139" t="s">
        <v>2004</v>
      </c>
      <c r="AL70" s="139" t="s">
        <v>2005</v>
      </c>
      <c r="AM70" s="143" t="s">
        <v>2351</v>
      </c>
      <c r="AN70" s="139" t="s">
        <v>2547</v>
      </c>
      <c r="AO70" s="141">
        <v>1.01169011E8</v>
      </c>
      <c r="AP70" s="139" t="s">
        <v>2352</v>
      </c>
      <c r="AQ70" s="139" t="s">
        <v>2397</v>
      </c>
      <c r="AR70" s="139" t="s">
        <v>2354</v>
      </c>
      <c r="AS70" s="139" t="s">
        <v>2355</v>
      </c>
      <c r="AT70" s="139" t="s">
        <v>67</v>
      </c>
      <c r="AU70" s="139" t="s">
        <v>67</v>
      </c>
      <c r="AV70" s="139" t="s">
        <v>2427</v>
      </c>
      <c r="AW70" s="139" t="s">
        <v>2371</v>
      </c>
      <c r="AX70" s="139"/>
      <c r="AY70" s="139" t="s">
        <v>2384</v>
      </c>
      <c r="AZ70" s="139" t="s">
        <v>2384</v>
      </c>
      <c r="BA70" s="139" t="s">
        <v>2384</v>
      </c>
      <c r="BB70" s="139"/>
      <c r="BC70" s="139" t="s">
        <v>2429</v>
      </c>
      <c r="BD70" s="139" t="s">
        <v>2005</v>
      </c>
      <c r="BE70" s="149" t="b">
        <v>1</v>
      </c>
      <c r="BF70" s="141" t="s">
        <v>2019</v>
      </c>
    </row>
    <row r="71" ht="15.75" customHeight="1">
      <c r="B71" s="139" t="s">
        <v>2307</v>
      </c>
      <c r="C71" s="140" t="s">
        <v>2346</v>
      </c>
      <c r="D71" s="32" t="s">
        <v>2552</v>
      </c>
      <c r="E71" s="32" t="str">
        <f>IFERROR(__xludf.DUMMYFUNCTION("IF(ISBLANK(D71), """", GOOGLETRANSLATE(D71, ""es"", ""en""))"),"Contract End Date")</f>
        <v>Contract End Date</v>
      </c>
      <c r="G71" s="141">
        <v>718.0</v>
      </c>
      <c r="H71" s="139" t="s">
        <v>2125</v>
      </c>
      <c r="I71" s="139" t="s">
        <v>2553</v>
      </c>
      <c r="J71" s="139" t="s">
        <v>2554</v>
      </c>
      <c r="K71" s="139" t="s">
        <v>2555</v>
      </c>
      <c r="L71" s="139" t="s">
        <v>2556</v>
      </c>
      <c r="M71" s="139" t="s">
        <v>2557</v>
      </c>
      <c r="N71" s="141">
        <v>19621.0</v>
      </c>
      <c r="O71" s="139" t="s">
        <v>2558</v>
      </c>
      <c r="P71" s="139" t="s">
        <v>2014</v>
      </c>
      <c r="Q71" s="139" t="s">
        <v>2559</v>
      </c>
      <c r="R71" s="139" t="s">
        <v>2341</v>
      </c>
      <c r="S71" s="139" t="s">
        <v>1663</v>
      </c>
      <c r="T71" s="141" t="s">
        <v>2560</v>
      </c>
      <c r="U71" s="141" t="s">
        <v>2561</v>
      </c>
      <c r="V71" s="139"/>
      <c r="W71" s="141" t="s">
        <v>2562</v>
      </c>
      <c r="X71" s="141" t="s">
        <v>2563</v>
      </c>
      <c r="Y71" s="141" t="s">
        <v>2564</v>
      </c>
      <c r="Z71" s="141" t="s">
        <v>2565</v>
      </c>
      <c r="AA71" s="141" t="s">
        <v>2564</v>
      </c>
      <c r="AB71" s="141" t="s">
        <v>2566</v>
      </c>
      <c r="AC71" s="139" t="s">
        <v>1666</v>
      </c>
      <c r="AD71" s="141">
        <v>885000.0</v>
      </c>
      <c r="AE71" s="139" t="s">
        <v>2347</v>
      </c>
      <c r="AF71" s="139" t="s">
        <v>2348</v>
      </c>
      <c r="AG71" s="141" t="s">
        <v>2567</v>
      </c>
      <c r="AH71" s="143" t="s">
        <v>2568</v>
      </c>
      <c r="AI71" s="139" t="s">
        <v>1626</v>
      </c>
      <c r="AJ71" s="139" t="s">
        <v>2017</v>
      </c>
      <c r="AK71" s="139" t="s">
        <v>2004</v>
      </c>
      <c r="AL71" s="139" t="s">
        <v>2005</v>
      </c>
      <c r="AM71" s="143" t="s">
        <v>2569</v>
      </c>
      <c r="AN71" s="139" t="s">
        <v>2558</v>
      </c>
      <c r="AO71" s="141">
        <v>1.30476683E8</v>
      </c>
      <c r="AP71" s="139" t="s">
        <v>2352</v>
      </c>
      <c r="AQ71" s="139" t="s">
        <v>2353</v>
      </c>
      <c r="AR71" s="139" t="s">
        <v>2354</v>
      </c>
      <c r="AS71" s="139" t="s">
        <v>2355</v>
      </c>
      <c r="AT71" s="139" t="s">
        <v>423</v>
      </c>
      <c r="AU71" s="139" t="s">
        <v>423</v>
      </c>
      <c r="AV71" s="139" t="s">
        <v>2356</v>
      </c>
      <c r="AW71" s="139" t="s">
        <v>2357</v>
      </c>
      <c r="AX71" s="139" t="s">
        <v>2495</v>
      </c>
      <c r="AY71" s="139" t="s">
        <v>921</v>
      </c>
      <c r="AZ71" s="139" t="s">
        <v>920</v>
      </c>
      <c r="BA71" s="139" t="s">
        <v>2358</v>
      </c>
      <c r="BB71" s="139" t="s">
        <v>2359</v>
      </c>
      <c r="BC71" s="139" t="s">
        <v>2356</v>
      </c>
      <c r="BD71" s="139" t="s">
        <v>2005</v>
      </c>
      <c r="BE71" s="149" t="b">
        <v>0</v>
      </c>
      <c r="BF71" s="141" t="s">
        <v>2019</v>
      </c>
    </row>
    <row r="72" ht="15.75" customHeight="1">
      <c r="B72" s="139" t="s">
        <v>2308</v>
      </c>
      <c r="C72" s="140" t="s">
        <v>2345</v>
      </c>
      <c r="D72" s="32"/>
      <c r="E72" s="32" t="str">
        <f>IFERROR(__xludf.DUMMYFUNCTION("IF(ISBLANK(D72), """", GOOGLETRANSLATE(D72, ""es"", ""en""))"),"")</f>
        <v/>
      </c>
      <c r="G72" s="141">
        <v>209.0</v>
      </c>
      <c r="H72" s="139" t="s">
        <v>2254</v>
      </c>
      <c r="I72" s="139" t="s">
        <v>2255</v>
      </c>
      <c r="J72" s="139" t="s">
        <v>2570</v>
      </c>
      <c r="K72" s="139" t="s">
        <v>2571</v>
      </c>
      <c r="L72" s="139" t="s">
        <v>2572</v>
      </c>
      <c r="M72" s="139" t="s">
        <v>2573</v>
      </c>
      <c r="N72" s="141">
        <v>1734.0</v>
      </c>
      <c r="O72" s="139" t="s">
        <v>2574</v>
      </c>
      <c r="P72" s="139" t="s">
        <v>2014</v>
      </c>
      <c r="Q72" s="139" t="s">
        <v>2256</v>
      </c>
      <c r="R72" s="139" t="s">
        <v>2341</v>
      </c>
      <c r="S72" s="139" t="s">
        <v>2365</v>
      </c>
      <c r="T72" s="141" t="s">
        <v>2575</v>
      </c>
      <c r="U72" s="141" t="s">
        <v>2576</v>
      </c>
      <c r="V72" s="139"/>
      <c r="W72" s="141" t="s">
        <v>2577</v>
      </c>
      <c r="X72" s="141" t="s">
        <v>2577</v>
      </c>
      <c r="Y72" s="141" t="s">
        <v>2578</v>
      </c>
      <c r="Z72" s="141" t="s">
        <v>2578</v>
      </c>
      <c r="AA72" s="141" t="s">
        <v>2578</v>
      </c>
      <c r="AB72" s="141" t="s">
        <v>2578</v>
      </c>
      <c r="AC72" s="139" t="s">
        <v>1666</v>
      </c>
      <c r="AD72" s="141">
        <v>1.8309559E7</v>
      </c>
      <c r="AE72" s="139" t="s">
        <v>2347</v>
      </c>
      <c r="AF72" s="139" t="s">
        <v>2579</v>
      </c>
      <c r="AG72" s="141" t="s">
        <v>2580</v>
      </c>
      <c r="AH72" s="143" t="s">
        <v>2581</v>
      </c>
      <c r="AI72" s="139" t="s">
        <v>1626</v>
      </c>
      <c r="AJ72" s="139" t="s">
        <v>2017</v>
      </c>
      <c r="AK72" s="139" t="s">
        <v>2004</v>
      </c>
      <c r="AL72" s="139" t="s">
        <v>2005</v>
      </c>
      <c r="AM72" s="143" t="s">
        <v>2262</v>
      </c>
      <c r="AN72" s="139" t="s">
        <v>2574</v>
      </c>
      <c r="AO72" s="141">
        <v>1.01517085E8</v>
      </c>
      <c r="AP72" s="139" t="s">
        <v>2352</v>
      </c>
      <c r="AQ72" s="139" t="s">
        <v>2353</v>
      </c>
      <c r="AR72" s="139" t="s">
        <v>2354</v>
      </c>
      <c r="AS72" s="139" t="s">
        <v>2355</v>
      </c>
      <c r="AT72" s="139" t="s">
        <v>423</v>
      </c>
      <c r="AU72" s="139" t="s">
        <v>423</v>
      </c>
      <c r="AV72" s="139" t="s">
        <v>2356</v>
      </c>
      <c r="AW72" s="139" t="s">
        <v>2357</v>
      </c>
      <c r="AX72" s="139" t="s">
        <v>2405</v>
      </c>
      <c r="AY72" s="139" t="s">
        <v>921</v>
      </c>
      <c r="AZ72" s="139" t="s">
        <v>920</v>
      </c>
      <c r="BA72" s="139" t="s">
        <v>2358</v>
      </c>
      <c r="BB72" s="139" t="s">
        <v>2359</v>
      </c>
      <c r="BC72" s="139" t="s">
        <v>2356</v>
      </c>
      <c r="BD72" s="139" t="s">
        <v>2005</v>
      </c>
      <c r="BE72" s="149" t="b">
        <v>0</v>
      </c>
      <c r="BF72" s="141" t="s">
        <v>2019</v>
      </c>
    </row>
    <row r="73" ht="15.75" customHeight="1">
      <c r="B73" s="139" t="s">
        <v>2309</v>
      </c>
      <c r="C73" s="140" t="s">
        <v>2346</v>
      </c>
      <c r="D73" s="32"/>
      <c r="E73" s="32" t="str">
        <f>IFERROR(__xludf.DUMMYFUNCTION("IF(ISBLANK(D73), """", GOOGLETRANSLATE(D73, ""es"", ""en""))"),"")</f>
        <v/>
      </c>
      <c r="G73" s="141">
        <v>209.0</v>
      </c>
      <c r="H73" s="139" t="s">
        <v>2254</v>
      </c>
      <c r="I73" s="139" t="s">
        <v>2255</v>
      </c>
      <c r="J73" s="139" t="s">
        <v>2570</v>
      </c>
      <c r="K73" s="139" t="s">
        <v>2582</v>
      </c>
      <c r="L73" s="139" t="s">
        <v>2583</v>
      </c>
      <c r="M73" s="139" t="s">
        <v>2584</v>
      </c>
      <c r="N73" s="141">
        <v>67348.0</v>
      </c>
      <c r="O73" s="139" t="s">
        <v>2585</v>
      </c>
      <c r="P73" s="139" t="s">
        <v>2014</v>
      </c>
      <c r="Q73" s="139" t="s">
        <v>2256</v>
      </c>
      <c r="R73" s="139" t="s">
        <v>2341</v>
      </c>
      <c r="S73" s="139" t="s">
        <v>2365</v>
      </c>
      <c r="T73" s="141" t="s">
        <v>2575</v>
      </c>
      <c r="U73" s="141" t="s">
        <v>2576</v>
      </c>
      <c r="V73" s="139"/>
      <c r="W73" s="141" t="s">
        <v>2586</v>
      </c>
      <c r="X73" s="141" t="s">
        <v>2587</v>
      </c>
      <c r="Y73" s="141" t="s">
        <v>2578</v>
      </c>
      <c r="Z73" s="141" t="s">
        <v>2578</v>
      </c>
      <c r="AA73" s="141" t="s">
        <v>2578</v>
      </c>
      <c r="AB73" s="141" t="s">
        <v>2578</v>
      </c>
      <c r="AC73" s="139" t="s">
        <v>1666</v>
      </c>
      <c r="AD73" s="141">
        <v>6.2178365E7</v>
      </c>
      <c r="AE73" s="139" t="s">
        <v>2347</v>
      </c>
      <c r="AF73" s="139" t="s">
        <v>2579</v>
      </c>
      <c r="AG73" s="141" t="s">
        <v>2588</v>
      </c>
      <c r="AH73" s="143" t="s">
        <v>2589</v>
      </c>
      <c r="AI73" s="139" t="s">
        <v>1626</v>
      </c>
      <c r="AJ73" s="139" t="s">
        <v>2017</v>
      </c>
      <c r="AK73" s="139" t="s">
        <v>2004</v>
      </c>
      <c r="AL73" s="139" t="s">
        <v>2005</v>
      </c>
      <c r="AM73" s="143" t="s">
        <v>2262</v>
      </c>
      <c r="AN73" s="139" t="s">
        <v>2585</v>
      </c>
      <c r="AO73" s="141">
        <v>1.31557082E8</v>
      </c>
      <c r="AP73" s="139" t="s">
        <v>2352</v>
      </c>
      <c r="AQ73" s="139" t="s">
        <v>2353</v>
      </c>
      <c r="AR73" s="139" t="s">
        <v>2354</v>
      </c>
      <c r="AS73" s="139" t="s">
        <v>2355</v>
      </c>
      <c r="AT73" s="139" t="s">
        <v>67</v>
      </c>
      <c r="AU73" s="139" t="s">
        <v>67</v>
      </c>
      <c r="AV73" s="139" t="s">
        <v>2427</v>
      </c>
      <c r="AW73" s="139" t="s">
        <v>2371</v>
      </c>
      <c r="AX73" s="139"/>
      <c r="AY73" s="139" t="s">
        <v>2384</v>
      </c>
      <c r="AZ73" s="139" t="s">
        <v>2384</v>
      </c>
      <c r="BA73" s="139" t="s">
        <v>2384</v>
      </c>
      <c r="BB73" s="139"/>
      <c r="BC73" s="139" t="s">
        <v>2429</v>
      </c>
      <c r="BD73" s="139" t="s">
        <v>2005</v>
      </c>
      <c r="BE73" s="149" t="b">
        <v>1</v>
      </c>
      <c r="BF73" s="141" t="s">
        <v>2019</v>
      </c>
    </row>
    <row r="74" ht="15.75" customHeight="1">
      <c r="B74" s="139" t="s">
        <v>1974</v>
      </c>
      <c r="C74" s="140" t="s">
        <v>1666</v>
      </c>
      <c r="D74" s="32" t="s">
        <v>2590</v>
      </c>
      <c r="E74" s="32" t="str">
        <f>IFERROR(__xludf.DUMMYFUNCTION("IF(ISBLANK(D74), """", GOOGLETRANSLATE(D74, ""es"", ""en""))"),"Currency symbol in which the contract is concluded (Ex: DOP, USD)")</f>
        <v>Currency symbol in which the contract is concluded (Ex: DOP, USD)</v>
      </c>
      <c r="G74" s="141">
        <v>209.0</v>
      </c>
      <c r="H74" s="139" t="s">
        <v>2254</v>
      </c>
      <c r="I74" s="139" t="s">
        <v>2255</v>
      </c>
      <c r="J74" s="139" t="s">
        <v>2570</v>
      </c>
      <c r="K74" s="139" t="s">
        <v>2591</v>
      </c>
      <c r="L74" s="139" t="s">
        <v>2592</v>
      </c>
      <c r="M74" s="139" t="s">
        <v>2593</v>
      </c>
      <c r="N74" s="141">
        <v>10625.0</v>
      </c>
      <c r="O74" s="139" t="s">
        <v>2594</v>
      </c>
      <c r="P74" s="139" t="s">
        <v>2014</v>
      </c>
      <c r="Q74" s="139" t="s">
        <v>2256</v>
      </c>
      <c r="R74" s="139" t="s">
        <v>2341</v>
      </c>
      <c r="S74" s="139" t="s">
        <v>2365</v>
      </c>
      <c r="T74" s="141" t="s">
        <v>2575</v>
      </c>
      <c r="U74" s="141" t="s">
        <v>2576</v>
      </c>
      <c r="V74" s="139"/>
      <c r="W74" s="141" t="s">
        <v>2595</v>
      </c>
      <c r="X74" s="141" t="s">
        <v>2596</v>
      </c>
      <c r="Y74" s="141" t="s">
        <v>2578</v>
      </c>
      <c r="Z74" s="141" t="s">
        <v>2578</v>
      </c>
      <c r="AA74" s="141" t="s">
        <v>2578</v>
      </c>
      <c r="AB74" s="141" t="s">
        <v>2578</v>
      </c>
      <c r="AC74" s="139" t="s">
        <v>1666</v>
      </c>
      <c r="AD74" s="141">
        <v>1118608.0</v>
      </c>
      <c r="AE74" s="139" t="s">
        <v>2347</v>
      </c>
      <c r="AF74" s="139" t="s">
        <v>2579</v>
      </c>
      <c r="AG74" s="141" t="s">
        <v>2597</v>
      </c>
      <c r="AH74" s="143" t="s">
        <v>2598</v>
      </c>
      <c r="AI74" s="139" t="s">
        <v>1626</v>
      </c>
      <c r="AJ74" s="139" t="s">
        <v>2017</v>
      </c>
      <c r="AK74" s="139" t="s">
        <v>2004</v>
      </c>
      <c r="AL74" s="139" t="s">
        <v>2005</v>
      </c>
      <c r="AM74" s="143" t="s">
        <v>2262</v>
      </c>
      <c r="AN74" s="139" t="s">
        <v>2594</v>
      </c>
      <c r="AO74" s="141">
        <v>1.30560552E8</v>
      </c>
      <c r="AP74" s="139" t="s">
        <v>2352</v>
      </c>
      <c r="AQ74" s="139" t="s">
        <v>2397</v>
      </c>
      <c r="AR74" s="139" t="s">
        <v>2354</v>
      </c>
      <c r="AS74" s="139" t="s">
        <v>2355</v>
      </c>
      <c r="AT74" s="139" t="s">
        <v>67</v>
      </c>
      <c r="AU74" s="139" t="s">
        <v>67</v>
      </c>
      <c r="AV74" s="139" t="s">
        <v>2427</v>
      </c>
      <c r="AW74" s="139" t="s">
        <v>2371</v>
      </c>
      <c r="AX74" s="139" t="s">
        <v>932</v>
      </c>
      <c r="AY74" s="139" t="s">
        <v>932</v>
      </c>
      <c r="AZ74" s="139" t="s">
        <v>920</v>
      </c>
      <c r="BA74" s="139" t="s">
        <v>2358</v>
      </c>
      <c r="BB74" s="139" t="s">
        <v>2359</v>
      </c>
      <c r="BC74" s="139" t="s">
        <v>2429</v>
      </c>
      <c r="BD74" s="139" t="s">
        <v>2005</v>
      </c>
      <c r="BE74" s="149" t="b">
        <v>1</v>
      </c>
      <c r="BF74" s="141" t="s">
        <v>2019</v>
      </c>
    </row>
    <row r="75" ht="15.75" customHeight="1">
      <c r="B75" s="139" t="s">
        <v>2310</v>
      </c>
      <c r="C75" s="140">
        <v>1.087326E7</v>
      </c>
      <c r="D75" s="32" t="s">
        <v>2599</v>
      </c>
      <c r="E75" s="32" t="str">
        <f>IFERROR(__xludf.DUMMYFUNCTION("IF(ISBLANK(D75), """", GOOGLETRANSLATE(D75, ""es"", ""en""))"),"Contracted value")</f>
        <v>Contracted value</v>
      </c>
      <c r="G75" s="141">
        <v>209.0</v>
      </c>
      <c r="H75" s="139" t="s">
        <v>2254</v>
      </c>
      <c r="I75" s="139" t="s">
        <v>2255</v>
      </c>
      <c r="J75" s="139" t="s">
        <v>2570</v>
      </c>
      <c r="K75" s="139" t="s">
        <v>2600</v>
      </c>
      <c r="L75" s="139" t="s">
        <v>2601</v>
      </c>
      <c r="M75" s="139" t="s">
        <v>2602</v>
      </c>
      <c r="N75" s="141">
        <v>92222.0</v>
      </c>
      <c r="O75" s="139" t="s">
        <v>2603</v>
      </c>
      <c r="P75" s="139" t="s">
        <v>2014</v>
      </c>
      <c r="Q75" s="139" t="s">
        <v>2256</v>
      </c>
      <c r="R75" s="139" t="s">
        <v>2341</v>
      </c>
      <c r="S75" s="139" t="s">
        <v>2365</v>
      </c>
      <c r="T75" s="141" t="s">
        <v>2575</v>
      </c>
      <c r="U75" s="141" t="s">
        <v>2576</v>
      </c>
      <c r="V75" s="139"/>
      <c r="W75" s="141" t="s">
        <v>2604</v>
      </c>
      <c r="X75" s="141" t="s">
        <v>2604</v>
      </c>
      <c r="Y75" s="141" t="s">
        <v>2578</v>
      </c>
      <c r="Z75" s="141" t="s">
        <v>2578</v>
      </c>
      <c r="AA75" s="141" t="s">
        <v>2578</v>
      </c>
      <c r="AB75" s="141" t="s">
        <v>2578</v>
      </c>
      <c r="AC75" s="139" t="s">
        <v>1666</v>
      </c>
      <c r="AD75" s="141">
        <v>6.2185761E7</v>
      </c>
      <c r="AE75" s="139" t="s">
        <v>2347</v>
      </c>
      <c r="AF75" s="139" t="s">
        <v>2579</v>
      </c>
      <c r="AG75" s="141" t="s">
        <v>2605</v>
      </c>
      <c r="AH75" s="143" t="s">
        <v>2606</v>
      </c>
      <c r="AI75" s="139" t="s">
        <v>1626</v>
      </c>
      <c r="AJ75" s="139" t="s">
        <v>2017</v>
      </c>
      <c r="AK75" s="139" t="s">
        <v>2004</v>
      </c>
      <c r="AL75" s="139" t="s">
        <v>2005</v>
      </c>
      <c r="AM75" s="143" t="s">
        <v>2262</v>
      </c>
      <c r="AN75" s="139" t="s">
        <v>2603</v>
      </c>
      <c r="AO75" s="141">
        <v>1.31764071E8</v>
      </c>
      <c r="AP75" s="139" t="s">
        <v>2352</v>
      </c>
      <c r="AQ75" s="139" t="s">
        <v>2353</v>
      </c>
      <c r="AR75" s="139" t="s">
        <v>2354</v>
      </c>
      <c r="AS75" s="139" t="s">
        <v>2355</v>
      </c>
      <c r="AT75" s="139" t="s">
        <v>423</v>
      </c>
      <c r="AU75" s="139" t="s">
        <v>423</v>
      </c>
      <c r="AV75" s="139" t="s">
        <v>2356</v>
      </c>
      <c r="AW75" s="139" t="s">
        <v>2357</v>
      </c>
      <c r="AX75" s="139" t="s">
        <v>2607</v>
      </c>
      <c r="AY75" s="139" t="s">
        <v>921</v>
      </c>
      <c r="AZ75" s="139" t="s">
        <v>920</v>
      </c>
      <c r="BA75" s="139" t="s">
        <v>2358</v>
      </c>
      <c r="BB75" s="139" t="s">
        <v>2359</v>
      </c>
      <c r="BC75" s="139" t="s">
        <v>2356</v>
      </c>
      <c r="BD75" s="139" t="s">
        <v>2005</v>
      </c>
      <c r="BE75" s="149" t="b">
        <v>0</v>
      </c>
      <c r="BF75" s="141" t="s">
        <v>2019</v>
      </c>
    </row>
    <row r="76" ht="15.75" customHeight="1">
      <c r="B76" s="139" t="s">
        <v>2311</v>
      </c>
      <c r="C76" s="140" t="s">
        <v>2347</v>
      </c>
      <c r="D76" s="32" t="s">
        <v>2608</v>
      </c>
      <c r="E76" s="32" t="str">
        <f>IFERROR(__xludf.DUMMYFUNCTION("IF(ISBLANK(D76), """", GOOGLETRANSLATE(D76, ""es"", ""en""))"),"Description of the contract payment method")</f>
        <v>Description of the contract payment method</v>
      </c>
      <c r="G76" s="141">
        <v>203.0</v>
      </c>
      <c r="H76" s="139" t="s">
        <v>2333</v>
      </c>
      <c r="I76" s="139" t="s">
        <v>2334</v>
      </c>
      <c r="J76" s="139" t="s">
        <v>2335</v>
      </c>
      <c r="K76" s="139" t="s">
        <v>2609</v>
      </c>
      <c r="L76" s="139" t="s">
        <v>2610</v>
      </c>
      <c r="M76" s="139" t="s">
        <v>2611</v>
      </c>
      <c r="N76" s="141">
        <v>90335.0</v>
      </c>
      <c r="O76" s="139" t="s">
        <v>2612</v>
      </c>
      <c r="P76" s="139" t="s">
        <v>2014</v>
      </c>
      <c r="Q76" s="139" t="s">
        <v>2340</v>
      </c>
      <c r="R76" s="139" t="s">
        <v>2341</v>
      </c>
      <c r="S76" s="139" t="s">
        <v>2365</v>
      </c>
      <c r="T76" s="141" t="s">
        <v>2342</v>
      </c>
      <c r="U76" s="141" t="s">
        <v>2343</v>
      </c>
      <c r="V76" s="139"/>
      <c r="W76" s="141" t="s">
        <v>2613</v>
      </c>
      <c r="X76" s="141" t="s">
        <v>2614</v>
      </c>
      <c r="Y76" s="141" t="s">
        <v>2345</v>
      </c>
      <c r="Z76" s="141" t="s">
        <v>2346</v>
      </c>
      <c r="AA76" s="141" t="s">
        <v>2345</v>
      </c>
      <c r="AB76" s="141" t="s">
        <v>2346</v>
      </c>
      <c r="AC76" s="139" t="s">
        <v>1666</v>
      </c>
      <c r="AD76" s="141">
        <v>2.00855032E8</v>
      </c>
      <c r="AE76" s="139" t="s">
        <v>2347</v>
      </c>
      <c r="AF76" s="139" t="s">
        <v>2348</v>
      </c>
      <c r="AG76" s="141" t="s">
        <v>2615</v>
      </c>
      <c r="AH76" s="143" t="s">
        <v>2616</v>
      </c>
      <c r="AI76" s="139" t="s">
        <v>1626</v>
      </c>
      <c r="AJ76" s="139" t="s">
        <v>2017</v>
      </c>
      <c r="AK76" s="139" t="s">
        <v>2004</v>
      </c>
      <c r="AL76" s="139" t="s">
        <v>2005</v>
      </c>
      <c r="AM76" s="143" t="s">
        <v>2351</v>
      </c>
      <c r="AN76" s="139" t="s">
        <v>2612</v>
      </c>
      <c r="AO76" s="141">
        <v>1.31531059E8</v>
      </c>
      <c r="AP76" s="139" t="s">
        <v>2352</v>
      </c>
      <c r="AQ76" s="139" t="s">
        <v>2353</v>
      </c>
      <c r="AR76" s="139" t="s">
        <v>2354</v>
      </c>
      <c r="AS76" s="139" t="s">
        <v>2355</v>
      </c>
      <c r="AT76" s="139" t="s">
        <v>67</v>
      </c>
      <c r="AU76" s="139" t="s">
        <v>67</v>
      </c>
      <c r="AV76" s="139" t="s">
        <v>2427</v>
      </c>
      <c r="AW76" s="139" t="s">
        <v>2371</v>
      </c>
      <c r="AX76" s="139" t="s">
        <v>932</v>
      </c>
      <c r="AY76" s="139" t="s">
        <v>932</v>
      </c>
      <c r="AZ76" s="139" t="s">
        <v>920</v>
      </c>
      <c r="BA76" s="139" t="s">
        <v>2358</v>
      </c>
      <c r="BB76" s="139" t="s">
        <v>2359</v>
      </c>
      <c r="BC76" s="139" t="s">
        <v>2429</v>
      </c>
      <c r="BD76" s="139" t="s">
        <v>2005</v>
      </c>
      <c r="BE76" s="149" t="b">
        <v>1</v>
      </c>
      <c r="BF76" s="141" t="s">
        <v>2019</v>
      </c>
    </row>
    <row r="77" ht="15.75" customHeight="1">
      <c r="B77" s="139" t="s">
        <v>2312</v>
      </c>
      <c r="C77" s="140" t="s">
        <v>2348</v>
      </c>
      <c r="D77" s="32" t="s">
        <v>2617</v>
      </c>
      <c r="E77" s="32" t="str">
        <f>IFERROR(__xludf.DUMMYFUNCTION("IF(ISBLANK(D77), """", GOOGLETRANSLATE(D77, ""es"", ""en""))"),"Billing payment term description")</f>
        <v>Billing payment term description</v>
      </c>
    </row>
    <row r="78" ht="15.75" customHeight="1">
      <c r="B78" s="139" t="s">
        <v>1995</v>
      </c>
      <c r="C78" s="140" t="s">
        <v>2618</v>
      </c>
      <c r="D78" s="32" t="s">
        <v>2619</v>
      </c>
      <c r="E78" s="32" t="str">
        <f>IFERROR(__xludf.DUMMYFUNCTION("IF(ISBLANK(D78), """", GOOGLETRANSLATE(D78, ""es"", ""en""))"),"Date of last modification of contract information")</f>
        <v>Date of last modification of contract information</v>
      </c>
    </row>
    <row r="79" ht="15.75" customHeight="1">
      <c r="B79" s="139" t="s">
        <v>2313</v>
      </c>
      <c r="C79" s="146" t="s">
        <v>2350</v>
      </c>
      <c r="D79" s="32" t="s">
        <v>2620</v>
      </c>
      <c r="E79" s="32" t="str">
        <f>IFERROR(__xludf.DUMMYFUNCTION("IF(ISBLANK(D79), """", GOOGLETRANSLATE(D79, ""es"", ""en""))"),"Contract URL on the public procurement page")</f>
        <v>Contract URL on the public procurement page</v>
      </c>
    </row>
    <row r="80" ht="15.75" customHeight="1">
      <c r="B80" s="139" t="s">
        <v>1972</v>
      </c>
      <c r="C80" s="140" t="s">
        <v>1626</v>
      </c>
      <c r="D80" s="32" t="s">
        <v>2621</v>
      </c>
      <c r="E80" s="32" t="str">
        <f>IFERROR(__xludf.DUMMYFUNCTION("IF(ISBLANK(D80), """", GOOGLETRANSLATE(D80, ""es"", ""en""))"),"Description of the status of the hiring process")</f>
        <v>Description of the status of the hiring process</v>
      </c>
    </row>
    <row r="81" ht="15.75" customHeight="1">
      <c r="B81" s="139" t="s">
        <v>1996</v>
      </c>
      <c r="C81" s="140" t="s">
        <v>2017</v>
      </c>
      <c r="D81" s="32" t="s">
        <v>2622</v>
      </c>
      <c r="E81" s="32" t="str">
        <f>IFERROR(__xludf.DUMMYFUNCTION("IF(ISBLANK(D81), """", GOOGLETRANSLATE(D81, ""es"", ""en""))"),"Coding of the contracting modality")</f>
        <v>Coding of the contracting modality</v>
      </c>
    </row>
    <row r="82" ht="15.75" customHeight="1">
      <c r="B82" s="139" t="s">
        <v>1968</v>
      </c>
      <c r="C82" s="140" t="s">
        <v>2004</v>
      </c>
      <c r="D82" s="32" t="s">
        <v>2623</v>
      </c>
      <c r="E82" s="32" t="str">
        <f>IFERROR(__xludf.DUMMYFUNCTION("IF(ISBLANK(D82), """", GOOGLETRANSLATE(D82, ""es"", ""en""))"),"Description of the contracting modality (Example: Exception Processes)")</f>
        <v>Description of the contracting modality (Example: Exception Processes)</v>
      </c>
    </row>
    <row r="83" ht="15.75" customHeight="1">
      <c r="B83" s="139" t="s">
        <v>1969</v>
      </c>
      <c r="C83" s="140" t="s">
        <v>2005</v>
      </c>
      <c r="D83" s="32"/>
      <c r="E83" s="32" t="str">
        <f>IFERROR(__xludf.DUMMYFUNCTION("IF(ISBLANK(D83), """", GOOGLETRANSLATE(D83, ""es"", ""en""))"),"")</f>
        <v/>
      </c>
    </row>
    <row r="84" ht="15.75" customHeight="1">
      <c r="B84" s="139" t="s">
        <v>3</v>
      </c>
      <c r="C84" s="146" t="s">
        <v>2351</v>
      </c>
      <c r="D84" s="32"/>
      <c r="E84" s="32" t="str">
        <f>IFERROR(__xludf.DUMMYFUNCTION("IF(ISBLANK(D84), """", GOOGLETRANSLATE(D84, ""es"", ""en""))"),"")</f>
        <v/>
      </c>
    </row>
    <row r="85" ht="15.75" customHeight="1">
      <c r="B85" s="139" t="s">
        <v>2314</v>
      </c>
      <c r="C85" s="140" t="s">
        <v>2339</v>
      </c>
      <c r="D85" s="32"/>
      <c r="E85" s="32" t="str">
        <f>IFERROR(__xludf.DUMMYFUNCTION("IF(ISBLANK(D85), """", GOOGLETRANSLATE(D85, ""es"", ""en""))"),"")</f>
        <v/>
      </c>
    </row>
    <row r="86" ht="15.75" customHeight="1">
      <c r="B86" s="139" t="s">
        <v>2315</v>
      </c>
      <c r="C86" s="140">
        <v>1.30266662E8</v>
      </c>
      <c r="D86" s="32" t="s">
        <v>2624</v>
      </c>
      <c r="E86" s="32" t="str">
        <f>IFERROR(__xludf.DUMMYFUNCTION("IF(ISBLANK(D86), """", GOOGLETRANSLATE(D86, ""es"", ""en""))"),"Supplier identification document number")</f>
        <v>Supplier identification document number</v>
      </c>
    </row>
    <row r="87" ht="15.75" customHeight="1">
      <c r="B87" s="139" t="s">
        <v>2316</v>
      </c>
      <c r="C87" s="140" t="s">
        <v>2352</v>
      </c>
      <c r="D87" s="32" t="s">
        <v>2625</v>
      </c>
      <c r="E87" s="32" t="str">
        <f>IFERROR(__xludf.DUMMYFUNCTION("IF(ISBLANK(D87), """", GOOGLETRANSLATE(D87, ""es"", ""en""))"),"Supplier ID type")</f>
        <v>Supplier ID type</v>
      </c>
    </row>
    <row r="88" ht="15.75" customHeight="1">
      <c r="B88" s="139" t="s">
        <v>2317</v>
      </c>
      <c r="C88" s="140" t="s">
        <v>2353</v>
      </c>
      <c r="D88" s="32" t="s">
        <v>2626</v>
      </c>
      <c r="E88" s="32" t="str">
        <f>IFERROR(__xludf.DUMMYFUNCTION("IF(ISBLANK(D88), """", GOOGLETRANSLATE(D88, ""es"", ""en""))"),"Provider gender identity")</f>
        <v>Provider gender identity</v>
      </c>
    </row>
    <row r="89" ht="15.75" customHeight="1">
      <c r="B89" s="139" t="s">
        <v>2318</v>
      </c>
      <c r="C89" s="140" t="s">
        <v>2354</v>
      </c>
      <c r="D89" s="32" t="s">
        <v>2627</v>
      </c>
      <c r="E89" s="32" t="str">
        <f>IFERROR(__xludf.DUMMYFUNCTION("IF(ISBLANK(D89), """", GOOGLETRANSLATE(D89, ""es"", ""en""))"),"Type of person (Example: Natural or Legal)")</f>
        <v>Type of person (Example: Natural or Legal)</v>
      </c>
    </row>
    <row r="90" ht="15.75" customHeight="1">
      <c r="B90" s="139" t="s">
        <v>2319</v>
      </c>
      <c r="C90" s="140" t="s">
        <v>2355</v>
      </c>
      <c r="D90" s="32"/>
      <c r="E90" s="32" t="str">
        <f>IFERROR(__xludf.DUMMYFUNCTION("IF(ISBLANK(D90), """", GOOGLETRANSLATE(D90, ""es"", ""en""))"),"")</f>
        <v/>
      </c>
    </row>
    <row r="91" ht="15.75" customHeight="1">
      <c r="B91" s="139" t="s">
        <v>2320</v>
      </c>
      <c r="C91" s="140" t="s">
        <v>423</v>
      </c>
      <c r="D91" s="32" t="s">
        <v>2628</v>
      </c>
      <c r="E91" s="32" t="str">
        <f>IFERROR(__xludf.DUMMYFUNCTION("IF(ISBLANK(D91), """", GOOGLETRANSLATE(D91, ""es"", ""en""))"),"Identifier if it is an MSME (Yes or No)")</f>
        <v>Identifier if it is an MSME (Yes or No)</v>
      </c>
    </row>
    <row r="92" ht="15.75" customHeight="1">
      <c r="B92" s="139" t="s">
        <v>2321</v>
      </c>
      <c r="C92" s="140" t="s">
        <v>423</v>
      </c>
      <c r="D92" s="32"/>
      <c r="E92" s="32" t="str">
        <f>IFERROR(__xludf.DUMMYFUNCTION("IF(ISBLANK(D92), """", GOOGLETRANSLATE(D92, ""es"", ""en""))"),"")</f>
        <v/>
      </c>
    </row>
    <row r="93" ht="15.75" customHeight="1">
      <c r="B93" s="139" t="s">
        <v>2322</v>
      </c>
      <c r="C93" s="140" t="s">
        <v>2356</v>
      </c>
      <c r="D93" s="32" t="s">
        <v>2629</v>
      </c>
      <c r="E93" s="32" t="str">
        <f>IFERROR(__xludf.DUMMYFUNCTION("IF(ISBLANK(D93), """", GOOGLETRANSLATE(D93, ""es"", ""en""))"),"Level 1 Business Classification")</f>
        <v>Level 1 Business Classification</v>
      </c>
    </row>
    <row r="94" ht="15.75" customHeight="1">
      <c r="B94" s="139" t="s">
        <v>2323</v>
      </c>
      <c r="C94" s="140" t="s">
        <v>2357</v>
      </c>
      <c r="D94" s="32" t="s">
        <v>2630</v>
      </c>
      <c r="E94" s="32" t="str">
        <f>IFERROR(__xludf.DUMMYFUNCTION("IF(ISBLANK(D94), """", GOOGLETRANSLATE(D94, ""es"", ""en""))"),"Level 2 Business Classification")</f>
        <v>Level 2 Business Classification</v>
      </c>
    </row>
    <row r="95" ht="15.75" customHeight="1">
      <c r="B95" s="139" t="s">
        <v>2324</v>
      </c>
      <c r="C95" s="140" t="s">
        <v>932</v>
      </c>
      <c r="D95" s="32" t="s">
        <v>2631</v>
      </c>
      <c r="E95" s="32" t="str">
        <f>IFERROR(__xludf.DUMMYFUNCTION("IF(ISBLANK(D95), """", GOOGLETRANSLATE(D95, ""es"", ""en""))"),"Municipality name")</f>
        <v>Municipality name</v>
      </c>
    </row>
    <row r="96" ht="15.75" customHeight="1">
      <c r="B96" s="139" t="s">
        <v>2325</v>
      </c>
      <c r="C96" s="140" t="s">
        <v>932</v>
      </c>
      <c r="D96" s="32" t="s">
        <v>2632</v>
      </c>
      <c r="E96" s="32" t="str">
        <f>IFERROR(__xludf.DUMMYFUNCTION("IF(ISBLANK(D96), """", GOOGLETRANSLATE(D96, ""es"", ""en""))"),"Province name")</f>
        <v>Province name</v>
      </c>
    </row>
    <row r="97" ht="15.75" customHeight="1">
      <c r="B97" s="139" t="s">
        <v>2326</v>
      </c>
      <c r="C97" s="140" t="s">
        <v>920</v>
      </c>
      <c r="D97" s="32" t="s">
        <v>2633</v>
      </c>
      <c r="E97" s="32" t="str">
        <f>IFERROR(__xludf.DUMMYFUNCTION("IF(ISBLANK(D97), """", GOOGLETRANSLATE(D97, ""es"", ""en""))"),"Region name")</f>
        <v>Region name</v>
      </c>
    </row>
    <row r="98" ht="15.75" customHeight="1">
      <c r="B98" s="139" t="s">
        <v>2327</v>
      </c>
      <c r="C98" s="140" t="s">
        <v>2358</v>
      </c>
      <c r="D98" s="32" t="s">
        <v>2634</v>
      </c>
      <c r="E98" s="32" t="str">
        <f>IFERROR(__xludf.DUMMYFUNCTION("IF(ISBLANK(D98), """", GOOGLETRANSLATE(D98, ""es"", ""en""))"),"Name of the Macroregion")</f>
        <v>Name of the Macroregion</v>
      </c>
    </row>
    <row r="99" ht="15.75" customHeight="1">
      <c r="B99" s="139" t="s">
        <v>2328</v>
      </c>
      <c r="C99" s="140" t="s">
        <v>2359</v>
      </c>
      <c r="D99" s="32"/>
      <c r="E99" s="32" t="str">
        <f>IFERROR(__xludf.DUMMYFUNCTION("IF(ISBLANK(D99), """", GOOGLETRANSLATE(D99, ""es"", ""en""))"),"")</f>
        <v/>
      </c>
    </row>
    <row r="100" ht="15.75" customHeight="1">
      <c r="B100" s="139" t="s">
        <v>2329</v>
      </c>
      <c r="C100" s="140"/>
      <c r="D100" s="32" t="s">
        <v>2635</v>
      </c>
      <c r="E100" s="32" t="str">
        <f>IFERROR(__xludf.DUMMYFUNCTION("IF(ISBLANK(D100), """", GOOGLETRANSLATE(D100, ""es"", ""en""))"),"MICM classification description")</f>
        <v>MICM classification description</v>
      </c>
    </row>
    <row r="101" ht="15.75" customHeight="1">
      <c r="B101" s="139" t="s">
        <v>2330</v>
      </c>
      <c r="C101" s="140" t="s">
        <v>2005</v>
      </c>
      <c r="D101" s="32" t="s">
        <v>2636</v>
      </c>
      <c r="E101" s="32" t="str">
        <f>IFERROR(__xludf.DUMMYFUNCTION("IF(ISBLANK(D101), """", GOOGLETRANSLATE(D101, ""es"", ""en""))"),"Exception Detail Description")</f>
        <v>Exception Detail Description</v>
      </c>
    </row>
    <row r="102" ht="15.75" customHeight="1">
      <c r="B102" s="139" t="s">
        <v>2331</v>
      </c>
      <c r="C102" s="140" t="b">
        <v>0</v>
      </c>
      <c r="D102" s="32"/>
      <c r="E102" s="32" t="str">
        <f>IFERROR(__xludf.DUMMYFUNCTION("IF(ISBLANK(D102), """", GOOGLETRANSLATE(D102, ""es"", ""en""))"),"")</f>
        <v/>
      </c>
    </row>
    <row r="103" ht="15.75" customHeight="1">
      <c r="B103" s="139" t="s">
        <v>1999</v>
      </c>
      <c r="C103" s="140" t="s">
        <v>2019</v>
      </c>
      <c r="D103" s="32"/>
      <c r="E103" s="32" t="str">
        <f>IFERROR(__xludf.DUMMYFUNCTION("IF(ISBLANK(D103), """", GOOGLETRANSLATE(D103, ""es"", ""en""))"),"")</f>
        <v/>
      </c>
    </row>
    <row r="104" ht="15.75" customHeight="1"/>
    <row r="105" ht="15.75" customHeight="1"/>
    <row r="106" ht="15.75" customHeight="1">
      <c r="B106" s="148" t="s">
        <v>2637</v>
      </c>
      <c r="G106" s="128" t="s">
        <v>33</v>
      </c>
    </row>
    <row r="107" ht="15.75" customHeight="1">
      <c r="B107" s="135" t="s">
        <v>2638</v>
      </c>
      <c r="D107" s="135" t="str">
        <f>IFERROR(__xludf.DUMMYFUNCTION("IF(ISBLANK(B107), """", GOOGLETRANSLATE(B107, ""es"", ""en""))"),"Contains information on the items related to a contracting process")</f>
        <v>Contains information on the items related to a contracting process</v>
      </c>
    </row>
    <row r="108" ht="15.75" customHeight="1">
      <c r="B108" s="26" t="s">
        <v>1689</v>
      </c>
      <c r="C108" s="26" t="s">
        <v>1690</v>
      </c>
      <c r="D108" s="26" t="s">
        <v>1691</v>
      </c>
      <c r="E108" s="26" t="s">
        <v>1692</v>
      </c>
      <c r="G108" s="137" t="s">
        <v>1967</v>
      </c>
      <c r="H108" s="137" t="s">
        <v>1972</v>
      </c>
      <c r="I108" s="137" t="s">
        <v>2639</v>
      </c>
      <c r="J108" s="137" t="s">
        <v>2640</v>
      </c>
      <c r="K108" s="137" t="s">
        <v>2641</v>
      </c>
      <c r="L108" s="137" t="s">
        <v>2642</v>
      </c>
      <c r="M108" s="137" t="s">
        <v>2643</v>
      </c>
      <c r="N108" s="137" t="s">
        <v>2644</v>
      </c>
      <c r="O108" s="137" t="s">
        <v>2645</v>
      </c>
      <c r="P108" s="137" t="s">
        <v>2646</v>
      </c>
      <c r="Q108" s="137" t="s">
        <v>2647</v>
      </c>
      <c r="R108" s="137" t="s">
        <v>2648</v>
      </c>
      <c r="S108" s="137" t="s">
        <v>1999</v>
      </c>
    </row>
    <row r="109" ht="15.75" customHeight="1">
      <c r="B109" s="147" t="s">
        <v>1967</v>
      </c>
      <c r="C109" s="147" t="s">
        <v>2234</v>
      </c>
      <c r="D109" s="32" t="s">
        <v>2649</v>
      </c>
      <c r="E109" s="32" t="str">
        <f>IFERROR(__xludf.DUMMYFUNCTION("IF(ISBLANK(D109), """", GOOGLETRANSLATE(D109, ""es"", ""en""))"),"Hiring process identifier code
")</f>
        <v>Hiring process identifier code
</v>
      </c>
      <c r="G109" s="139" t="s">
        <v>2234</v>
      </c>
      <c r="H109" s="139" t="s">
        <v>1626</v>
      </c>
      <c r="I109" s="141">
        <v>5.6195334E7</v>
      </c>
      <c r="J109" s="141">
        <v>3.1201525E7</v>
      </c>
      <c r="K109" s="139" t="s">
        <v>2650</v>
      </c>
      <c r="L109" s="139" t="s">
        <v>2651</v>
      </c>
      <c r="M109" s="139" t="s">
        <v>2652</v>
      </c>
      <c r="N109" s="139" t="s">
        <v>2653</v>
      </c>
      <c r="O109" s="139" t="s">
        <v>2654</v>
      </c>
      <c r="P109" s="141">
        <v>120.0</v>
      </c>
      <c r="Q109" s="141">
        <v>826.0</v>
      </c>
      <c r="R109" s="141">
        <v>99120.0</v>
      </c>
      <c r="S109" s="141" t="s">
        <v>2655</v>
      </c>
    </row>
    <row r="110" ht="15.75" customHeight="1">
      <c r="B110" s="147" t="s">
        <v>1972</v>
      </c>
      <c r="C110" s="147" t="s">
        <v>1626</v>
      </c>
      <c r="D110" s="32" t="s">
        <v>2656</v>
      </c>
      <c r="E110" s="32" t="str">
        <f>IFERROR(__xludf.DUMMYFUNCTION("IF(ISBLANK(D110), """", GOOGLETRANSLATE(D110, ""es"", ""en""))"),"State of the process")</f>
        <v>State of the process</v>
      </c>
      <c r="G110" s="139" t="s">
        <v>2234</v>
      </c>
      <c r="H110" s="139" t="s">
        <v>1626</v>
      </c>
      <c r="I110" s="141">
        <v>5.6195337E7</v>
      </c>
      <c r="J110" s="141">
        <v>3.9121431E7</v>
      </c>
      <c r="K110" s="139" t="s">
        <v>2657</v>
      </c>
      <c r="L110" s="139" t="s">
        <v>2658</v>
      </c>
      <c r="M110" s="139" t="s">
        <v>2652</v>
      </c>
      <c r="N110" s="139" t="s">
        <v>2653</v>
      </c>
      <c r="O110" s="139" t="s">
        <v>2659</v>
      </c>
      <c r="P110" s="141">
        <v>50.0</v>
      </c>
      <c r="Q110" s="141" t="s">
        <v>2660</v>
      </c>
      <c r="R110" s="141">
        <v>2360.0</v>
      </c>
      <c r="S110" s="141" t="s">
        <v>2655</v>
      </c>
    </row>
    <row r="111" ht="15.75" customHeight="1">
      <c r="B111" s="147" t="s">
        <v>2639</v>
      </c>
      <c r="C111" s="147">
        <v>5.6195334E7</v>
      </c>
      <c r="D111" s="80" t="s">
        <v>2661</v>
      </c>
      <c r="E111" s="32" t="str">
        <f>IFERROR(__xludf.DUMMYFUNCTION("IF(ISBLANK(D111), """", GOOGLETRANSLATE(D111, ""es"", ""en""))"),"Item identifier in the item catalog")</f>
        <v>Item identifier in the item catalog</v>
      </c>
      <c r="G111" s="139" t="s">
        <v>2234</v>
      </c>
      <c r="H111" s="139" t="s">
        <v>1626</v>
      </c>
      <c r="I111" s="141">
        <v>5.6195338E7</v>
      </c>
      <c r="J111" s="141">
        <v>4.7121802E7</v>
      </c>
      <c r="K111" s="139" t="s">
        <v>2662</v>
      </c>
      <c r="L111" s="139" t="s">
        <v>705</v>
      </c>
      <c r="M111" s="139" t="s">
        <v>2652</v>
      </c>
      <c r="N111" s="139" t="s">
        <v>2653</v>
      </c>
      <c r="O111" s="139" t="s">
        <v>2663</v>
      </c>
      <c r="P111" s="141">
        <v>200.0</v>
      </c>
      <c r="Q111" s="141">
        <v>531.0</v>
      </c>
      <c r="R111" s="141">
        <v>106200.0</v>
      </c>
      <c r="S111" s="141" t="s">
        <v>2655</v>
      </c>
    </row>
    <row r="112" ht="15.75" customHeight="1">
      <c r="B112" s="147" t="s">
        <v>2640</v>
      </c>
      <c r="C112" s="147">
        <v>3.1201525E7</v>
      </c>
      <c r="D112" s="32" t="s">
        <v>2664</v>
      </c>
      <c r="E112" s="32" t="str">
        <f>IFERROR(__xludf.DUMMYFUNCTION("IF(ISBLANK(D112), """", GOOGLETRANSLATE(D112, ""es"", ""en""))"),"Subclass identifier in the UNSPSC catalog
")</f>
        <v>Subclass identifier in the UNSPSC catalog
</v>
      </c>
      <c r="G112" s="139" t="s">
        <v>2234</v>
      </c>
      <c r="H112" s="139" t="s">
        <v>1626</v>
      </c>
      <c r="I112" s="141">
        <v>5.6195343E7</v>
      </c>
      <c r="J112" s="141">
        <v>3.9121409E7</v>
      </c>
      <c r="K112" s="139" t="s">
        <v>2665</v>
      </c>
      <c r="L112" s="139" t="s">
        <v>2658</v>
      </c>
      <c r="M112" s="139" t="s">
        <v>2652</v>
      </c>
      <c r="N112" s="139" t="s">
        <v>2653</v>
      </c>
      <c r="O112" s="139" t="s">
        <v>2666</v>
      </c>
      <c r="P112" s="141">
        <v>40.0</v>
      </c>
      <c r="Q112" s="141" t="s">
        <v>2667</v>
      </c>
      <c r="R112" s="141">
        <v>4248.0</v>
      </c>
      <c r="S112" s="141" t="s">
        <v>2655</v>
      </c>
    </row>
    <row r="113" ht="15.75" customHeight="1">
      <c r="B113" s="147" t="s">
        <v>2641</v>
      </c>
      <c r="C113" s="147" t="s">
        <v>2650</v>
      </c>
      <c r="D113" s="32" t="s">
        <v>2668</v>
      </c>
      <c r="E113" s="32" t="str">
        <f>IFERROR(__xludf.DUMMYFUNCTION("IF(ISBLANK(D113), """", GOOGLETRANSLATE(D113, ""es"", ""en""))"),"Description of the article")</f>
        <v>Description of the article</v>
      </c>
      <c r="G113" s="139" t="s">
        <v>2234</v>
      </c>
      <c r="H113" s="139" t="s">
        <v>1626</v>
      </c>
      <c r="I113" s="141">
        <v>5.6195349E7</v>
      </c>
      <c r="J113" s="141">
        <v>2.7111704E7</v>
      </c>
      <c r="K113" s="139" t="s">
        <v>2669</v>
      </c>
      <c r="L113" s="139" t="s">
        <v>2670</v>
      </c>
      <c r="M113" s="139" t="s">
        <v>2652</v>
      </c>
      <c r="N113" s="139" t="s">
        <v>2653</v>
      </c>
      <c r="O113" s="139" t="s">
        <v>2671</v>
      </c>
      <c r="P113" s="141">
        <v>200.0</v>
      </c>
      <c r="Q113" s="141" t="s">
        <v>2672</v>
      </c>
      <c r="R113" s="141">
        <v>84960.0</v>
      </c>
      <c r="S113" s="141" t="s">
        <v>2655</v>
      </c>
    </row>
    <row r="114" ht="15.75" customHeight="1">
      <c r="B114" s="147" t="s">
        <v>2642</v>
      </c>
      <c r="C114" s="147" t="s">
        <v>2651</v>
      </c>
      <c r="D114" s="32" t="s">
        <v>2673</v>
      </c>
      <c r="E114" s="32" t="str">
        <f>IFERROR(__xludf.DUMMYFUNCTION("IF(ISBLANK(D114), """", GOOGLETRANSLATE(D114, ""es"", ""en""))"),"budget account code")</f>
        <v>budget account code</v>
      </c>
      <c r="G114" s="139" t="s">
        <v>2234</v>
      </c>
      <c r="H114" s="139" t="s">
        <v>1626</v>
      </c>
      <c r="I114" s="141">
        <v>5.6195353E7</v>
      </c>
      <c r="J114" s="141">
        <v>2.612163E7</v>
      </c>
      <c r="K114" s="139" t="s">
        <v>2674</v>
      </c>
      <c r="L114" s="139" t="s">
        <v>2658</v>
      </c>
      <c r="M114" s="139" t="s">
        <v>2652</v>
      </c>
      <c r="N114" s="139" t="s">
        <v>2653</v>
      </c>
      <c r="O114" s="139" t="s">
        <v>2675</v>
      </c>
      <c r="P114" s="141">
        <v>200.0</v>
      </c>
      <c r="Q114" s="141" t="s">
        <v>2676</v>
      </c>
      <c r="R114" s="141">
        <v>1652.0</v>
      </c>
      <c r="S114" s="141" t="s">
        <v>2655</v>
      </c>
    </row>
    <row r="115" ht="15.75" customHeight="1">
      <c r="B115" s="147" t="s">
        <v>2643</v>
      </c>
      <c r="C115" s="147" t="s">
        <v>2652</v>
      </c>
      <c r="D115" s="32" t="s">
        <v>2677</v>
      </c>
      <c r="E115" s="32" t="str">
        <f>IFERROR(__xludf.DUMMYFUNCTION("IF(ISBLANK(D115), """", GOOGLETRANSLATE(D115, ""es"", ""en""))"),"Abbreviation of the item's unit of measure")</f>
        <v>Abbreviation of the item's unit of measure</v>
      </c>
      <c r="F115" s="138"/>
      <c r="G115" s="139" t="s">
        <v>2234</v>
      </c>
      <c r="H115" s="139" t="s">
        <v>1626</v>
      </c>
      <c r="I115" s="141">
        <v>5.619536E7</v>
      </c>
      <c r="J115" s="141">
        <v>3.9121409E7</v>
      </c>
      <c r="K115" s="139" t="s">
        <v>2665</v>
      </c>
      <c r="L115" s="139" t="s">
        <v>2658</v>
      </c>
      <c r="M115" s="139" t="s">
        <v>2652</v>
      </c>
      <c r="N115" s="139" t="s">
        <v>2653</v>
      </c>
      <c r="O115" s="139" t="s">
        <v>2678</v>
      </c>
      <c r="P115" s="141">
        <v>1000.0</v>
      </c>
      <c r="Q115" s="141" t="s">
        <v>2679</v>
      </c>
      <c r="R115" s="141">
        <v>21240.0</v>
      </c>
      <c r="S115" s="141" t="s">
        <v>2655</v>
      </c>
    </row>
    <row r="116" ht="15.75" customHeight="1">
      <c r="B116" s="147" t="s">
        <v>2644</v>
      </c>
      <c r="C116" s="147" t="s">
        <v>2653</v>
      </c>
      <c r="D116" s="32" t="s">
        <v>2680</v>
      </c>
      <c r="E116" s="32" t="str">
        <f>IFERROR(__xludf.DUMMYFUNCTION("IF(ISBLANK(D116), """", GOOGLETRANSLATE(D116, ""es"", ""en""))"),"Description of the item's unit of measure")</f>
        <v>Description of the item's unit of measure</v>
      </c>
      <c r="F116" s="138"/>
      <c r="G116" s="139" t="s">
        <v>2234</v>
      </c>
      <c r="H116" s="139" t="s">
        <v>1626</v>
      </c>
      <c r="I116" s="141">
        <v>5.6195366E7</v>
      </c>
      <c r="J116" s="141">
        <v>3.9121409E7</v>
      </c>
      <c r="K116" s="139" t="s">
        <v>2665</v>
      </c>
      <c r="L116" s="139" t="s">
        <v>2658</v>
      </c>
      <c r="M116" s="139" t="s">
        <v>2652</v>
      </c>
      <c r="N116" s="139" t="s">
        <v>2653</v>
      </c>
      <c r="O116" s="139" t="s">
        <v>2681</v>
      </c>
      <c r="P116" s="141">
        <v>1000.0</v>
      </c>
      <c r="Q116" s="141" t="s">
        <v>2682</v>
      </c>
      <c r="R116" s="141">
        <v>18880.0</v>
      </c>
      <c r="S116" s="141" t="s">
        <v>2655</v>
      </c>
    </row>
    <row r="117" ht="15.75" customHeight="1">
      <c r="B117" s="147" t="s">
        <v>2645</v>
      </c>
      <c r="C117" s="147" t="s">
        <v>2654</v>
      </c>
      <c r="D117" s="32" t="s">
        <v>2683</v>
      </c>
      <c r="E117" s="32" t="str">
        <f>IFERROR(__xludf.DUMMYFUNCTION("IF(ISBLANK(D117), """", GOOGLETRANSLATE(D117, ""es"", ""en""))"),"Product description")</f>
        <v>Product description</v>
      </c>
      <c r="G117" s="139" t="s">
        <v>2234</v>
      </c>
      <c r="H117" s="139" t="s">
        <v>1626</v>
      </c>
      <c r="I117" s="141">
        <v>5.6195388E7</v>
      </c>
      <c r="J117" s="141">
        <v>3.9121409E7</v>
      </c>
      <c r="K117" s="139" t="s">
        <v>2665</v>
      </c>
      <c r="L117" s="139" t="s">
        <v>2658</v>
      </c>
      <c r="M117" s="139" t="s">
        <v>2652</v>
      </c>
      <c r="N117" s="139" t="s">
        <v>2653</v>
      </c>
      <c r="O117" s="139" t="s">
        <v>2684</v>
      </c>
      <c r="P117" s="141">
        <v>250.0</v>
      </c>
      <c r="Q117" s="141" t="s">
        <v>2685</v>
      </c>
      <c r="R117" s="141">
        <v>24780.0</v>
      </c>
      <c r="S117" s="141" t="s">
        <v>2655</v>
      </c>
    </row>
    <row r="118" ht="15.75" customHeight="1">
      <c r="B118" s="147" t="s">
        <v>2646</v>
      </c>
      <c r="C118" s="147">
        <v>120.0</v>
      </c>
      <c r="D118" s="32" t="s">
        <v>2686</v>
      </c>
      <c r="E118" s="32" t="str">
        <f>IFERROR(__xludf.DUMMYFUNCTION("IF(ISBLANK(D118), """", GOOGLETRANSLATE(D118, ""es"", ""en""))"),"Number of articles associated with the contracting process
")</f>
        <v>Number of articles associated with the contracting process
</v>
      </c>
    </row>
    <row r="119" ht="15.75" customHeight="1">
      <c r="B119" s="147" t="s">
        <v>2647</v>
      </c>
      <c r="C119" s="147">
        <v>826.0</v>
      </c>
      <c r="D119" s="32" t="s">
        <v>2687</v>
      </c>
      <c r="E119" s="32" t="str">
        <f>IFERROR(__xludf.DUMMYFUNCTION("IF(ISBLANK(D119), """", GOOGLETRANSLATE(D119, ""es"", ""en""))"),"Estimated unit price value of the item
")</f>
        <v>Estimated unit price value of the item
</v>
      </c>
    </row>
    <row r="120" ht="15.75" customHeight="1">
      <c r="B120" s="147" t="s">
        <v>2648</v>
      </c>
      <c r="C120" s="147">
        <v>99120.0</v>
      </c>
      <c r="D120" s="150" t="s">
        <v>2688</v>
      </c>
      <c r="E120" s="32" t="str">
        <f>IFERROR(__xludf.DUMMYFUNCTION("IF(ISBLANK(D120), """", GOOGLETRANSLATE(D120, ""es"", ""en""))"),"Estimated total price value of the item")</f>
        <v>Estimated total price value of the item</v>
      </c>
    </row>
    <row r="121" ht="15.75" customHeight="1">
      <c r="B121" s="147" t="s">
        <v>1999</v>
      </c>
      <c r="C121" s="147" t="s">
        <v>2655</v>
      </c>
      <c r="D121" s="32" t="s">
        <v>2290</v>
      </c>
      <c r="E121" s="32" t="str">
        <f>IFERROR(__xludf.DUMMYFUNCTION("IF(ISBLANK(D121), """", GOOGLETRANSLATE(D121, ""es"", ""en""))"),"Update date")</f>
        <v>Update date</v>
      </c>
    </row>
    <row r="122" ht="15.75" customHeight="1"/>
    <row r="123" ht="15.75" customHeight="1"/>
    <row r="124" ht="15.75" customHeight="1"/>
    <row r="125" ht="15.75" customHeight="1">
      <c r="B125" s="148" t="s">
        <v>2689</v>
      </c>
      <c r="G125" s="128" t="s">
        <v>33</v>
      </c>
    </row>
    <row r="126" ht="15.75" customHeight="1">
      <c r="B126" s="135" t="s">
        <v>2690</v>
      </c>
      <c r="C126" s="151"/>
      <c r="D126" s="135" t="s">
        <v>2691</v>
      </c>
    </row>
    <row r="127" ht="15.75" customHeight="1">
      <c r="B127" s="26" t="s">
        <v>1689</v>
      </c>
      <c r="C127" s="152" t="s">
        <v>1690</v>
      </c>
      <c r="D127" s="26" t="s">
        <v>1691</v>
      </c>
      <c r="E127" s="26" t="s">
        <v>1692</v>
      </c>
      <c r="G127" s="137" t="s">
        <v>1967</v>
      </c>
      <c r="H127" s="137" t="s">
        <v>2296</v>
      </c>
      <c r="I127" s="137" t="s">
        <v>1968</v>
      </c>
      <c r="J127" s="137" t="s">
        <v>1972</v>
      </c>
      <c r="K127" s="137" t="s">
        <v>2300</v>
      </c>
      <c r="L127" s="137" t="s">
        <v>1671</v>
      </c>
      <c r="M127" s="137" t="s">
        <v>2297</v>
      </c>
      <c r="N127" s="137" t="s">
        <v>2316</v>
      </c>
      <c r="O127" s="137" t="s">
        <v>2315</v>
      </c>
      <c r="P127" s="137" t="s">
        <v>2305</v>
      </c>
      <c r="Q127" s="137" t="s">
        <v>2692</v>
      </c>
      <c r="R127" s="137" t="s">
        <v>2693</v>
      </c>
      <c r="S127" s="137" t="s">
        <v>2639</v>
      </c>
      <c r="T127" s="137" t="s">
        <v>2640</v>
      </c>
      <c r="U127" s="137" t="s">
        <v>2694</v>
      </c>
      <c r="V127" s="137" t="s">
        <v>2641</v>
      </c>
      <c r="W127" s="137" t="s">
        <v>2642</v>
      </c>
      <c r="X127" s="137" t="s">
        <v>2646</v>
      </c>
      <c r="Y127" s="137" t="s">
        <v>2695</v>
      </c>
      <c r="Z127" s="137" t="s">
        <v>2644</v>
      </c>
      <c r="AA127" s="137" t="s">
        <v>2647</v>
      </c>
      <c r="AB127" s="137" t="s">
        <v>2696</v>
      </c>
      <c r="AC127" s="137" t="s">
        <v>2697</v>
      </c>
      <c r="AD127" s="137" t="s">
        <v>2698</v>
      </c>
      <c r="AE127" s="137" t="s">
        <v>2699</v>
      </c>
      <c r="AF127" s="137" t="s">
        <v>2700</v>
      </c>
      <c r="AG127" s="137" t="s">
        <v>1999</v>
      </c>
    </row>
    <row r="128" ht="15.75" customHeight="1">
      <c r="B128" s="140" t="s">
        <v>1967</v>
      </c>
      <c r="C128" s="140" t="s">
        <v>2214</v>
      </c>
      <c r="D128" s="32" t="s">
        <v>2373</v>
      </c>
      <c r="E128" s="32" t="str">
        <f>IFERROR(__xludf.DUMMYFUNCTION("IF(ISBLANK(D128), """", GOOGLETRANSLATE(D128, ""es"", ""en""))"),"Hiring process identifier code")</f>
        <v>Hiring process identifier code</v>
      </c>
      <c r="G128" s="139" t="s">
        <v>2214</v>
      </c>
      <c r="H128" s="139" t="s">
        <v>2701</v>
      </c>
      <c r="I128" s="139" t="s">
        <v>2004</v>
      </c>
      <c r="J128" s="139" t="s">
        <v>1626</v>
      </c>
      <c r="K128" s="139" t="s">
        <v>1663</v>
      </c>
      <c r="L128" s="141">
        <v>42020.0</v>
      </c>
      <c r="M128" s="139" t="s">
        <v>2702</v>
      </c>
      <c r="N128" s="139" t="s">
        <v>2352</v>
      </c>
      <c r="O128" s="141">
        <v>1.30996598E8</v>
      </c>
      <c r="P128" s="141" t="s">
        <v>2703</v>
      </c>
      <c r="Q128" s="141">
        <v>3.04592631E8</v>
      </c>
      <c r="R128" s="141">
        <v>5.8228031E7</v>
      </c>
      <c r="S128" s="141">
        <v>5.8228031E7</v>
      </c>
      <c r="T128" s="141">
        <v>2.6111701E7</v>
      </c>
      <c r="U128" s="139" t="s">
        <v>2704</v>
      </c>
      <c r="V128" s="139" t="s">
        <v>2705</v>
      </c>
      <c r="W128" s="139" t="s">
        <v>2658</v>
      </c>
      <c r="X128" s="141">
        <v>100.0</v>
      </c>
      <c r="Y128" s="139" t="s">
        <v>2652</v>
      </c>
      <c r="Z128" s="139" t="s">
        <v>2653</v>
      </c>
      <c r="AA128" s="141" t="s">
        <v>2706</v>
      </c>
      <c r="AB128" s="141">
        <v>13983.0</v>
      </c>
      <c r="AC128" s="141">
        <v>0.0</v>
      </c>
      <c r="AD128" s="141">
        <v>251694.0</v>
      </c>
      <c r="AE128" s="141">
        <v>0.0</v>
      </c>
      <c r="AF128" s="141">
        <v>1649994.0</v>
      </c>
      <c r="AG128" s="141" t="s">
        <v>2707</v>
      </c>
    </row>
    <row r="129" ht="15.75" customHeight="1">
      <c r="B129" s="140" t="s">
        <v>2296</v>
      </c>
      <c r="C129" s="140" t="s">
        <v>2701</v>
      </c>
      <c r="D129" s="32" t="s">
        <v>2418</v>
      </c>
      <c r="E129" s="32" t="str">
        <f>IFERROR(__xludf.DUMMYFUNCTION("IF(ISBLANK(D129), """", GOOGLETRANSLATE(D129, ""es"", ""en""))"),"Contract identifier code")</f>
        <v>Contract identifier code</v>
      </c>
      <c r="G129" s="139" t="s">
        <v>2214</v>
      </c>
      <c r="H129" s="139" t="s">
        <v>2701</v>
      </c>
      <c r="I129" s="139" t="s">
        <v>2004</v>
      </c>
      <c r="J129" s="139" t="s">
        <v>1626</v>
      </c>
      <c r="K129" s="139" t="s">
        <v>1663</v>
      </c>
      <c r="L129" s="141">
        <v>42020.0</v>
      </c>
      <c r="M129" s="139" t="s">
        <v>2702</v>
      </c>
      <c r="N129" s="139" t="s">
        <v>2352</v>
      </c>
      <c r="O129" s="141">
        <v>1.30996598E8</v>
      </c>
      <c r="P129" s="141" t="s">
        <v>2703</v>
      </c>
      <c r="Q129" s="141">
        <v>3.04592631E8</v>
      </c>
      <c r="R129" s="141">
        <v>5.8228034E7</v>
      </c>
      <c r="S129" s="141">
        <v>5.8228034E7</v>
      </c>
      <c r="T129" s="141">
        <v>2.6111701E7</v>
      </c>
      <c r="U129" s="139" t="s">
        <v>2704</v>
      </c>
      <c r="V129" s="139" t="s">
        <v>2705</v>
      </c>
      <c r="W129" s="139" t="s">
        <v>2658</v>
      </c>
      <c r="X129" s="141">
        <v>100.0</v>
      </c>
      <c r="Y129" s="139" t="s">
        <v>2652</v>
      </c>
      <c r="Z129" s="139" t="s">
        <v>2653</v>
      </c>
      <c r="AA129" s="141" t="s">
        <v>2706</v>
      </c>
      <c r="AB129" s="141">
        <v>13983.0</v>
      </c>
      <c r="AC129" s="141">
        <v>0.0</v>
      </c>
      <c r="AD129" s="141">
        <v>251694.0</v>
      </c>
      <c r="AE129" s="141">
        <v>0.0</v>
      </c>
      <c r="AF129" s="141">
        <v>1649994.0</v>
      </c>
      <c r="AG129" s="141" t="s">
        <v>2707</v>
      </c>
    </row>
    <row r="130" ht="15.75" customHeight="1">
      <c r="B130" s="140" t="s">
        <v>1968</v>
      </c>
      <c r="C130" s="140" t="s">
        <v>2004</v>
      </c>
      <c r="D130" s="32" t="s">
        <v>2623</v>
      </c>
      <c r="E130" s="32" t="str">
        <f>IFERROR(__xludf.DUMMYFUNCTION("IF(ISBLANK(D130), """", GOOGLETRANSLATE(D130, ""es"", ""en""))"),"Description of the contracting modality (Example: Exception Processes)")</f>
        <v>Description of the contracting modality (Example: Exception Processes)</v>
      </c>
      <c r="G130" s="139" t="s">
        <v>2214</v>
      </c>
      <c r="H130" s="139" t="s">
        <v>2701</v>
      </c>
      <c r="I130" s="139" t="s">
        <v>2004</v>
      </c>
      <c r="J130" s="139" t="s">
        <v>1626</v>
      </c>
      <c r="K130" s="139" t="s">
        <v>1663</v>
      </c>
      <c r="L130" s="141">
        <v>42020.0</v>
      </c>
      <c r="M130" s="139" t="s">
        <v>2702</v>
      </c>
      <c r="N130" s="139" t="s">
        <v>2352</v>
      </c>
      <c r="O130" s="141">
        <v>1.30996598E8</v>
      </c>
      <c r="P130" s="141" t="s">
        <v>2703</v>
      </c>
      <c r="Q130" s="141">
        <v>3.04592631E8</v>
      </c>
      <c r="R130" s="141">
        <v>5.8228036E7</v>
      </c>
      <c r="S130" s="141">
        <v>5.8228036E7</v>
      </c>
      <c r="T130" s="141">
        <v>2.6111701E7</v>
      </c>
      <c r="U130" s="139" t="s">
        <v>2704</v>
      </c>
      <c r="V130" s="139" t="s">
        <v>2708</v>
      </c>
      <c r="W130" s="139" t="s">
        <v>2658</v>
      </c>
      <c r="X130" s="141">
        <v>100.0</v>
      </c>
      <c r="Y130" s="139" t="s">
        <v>2652</v>
      </c>
      <c r="Z130" s="139" t="s">
        <v>2653</v>
      </c>
      <c r="AA130" s="141" t="s">
        <v>2709</v>
      </c>
      <c r="AB130" s="153">
        <v>2.4152584E7</v>
      </c>
      <c r="AC130" s="141">
        <v>0.0</v>
      </c>
      <c r="AD130" s="141" t="s">
        <v>2710</v>
      </c>
      <c r="AE130" s="141">
        <v>0.0</v>
      </c>
      <c r="AF130" s="141" t="s">
        <v>2711</v>
      </c>
      <c r="AG130" s="141" t="s">
        <v>2707</v>
      </c>
    </row>
    <row r="131" ht="15.75" customHeight="1">
      <c r="B131" s="140" t="s">
        <v>1972</v>
      </c>
      <c r="C131" s="140" t="s">
        <v>1626</v>
      </c>
      <c r="D131" s="32" t="s">
        <v>2621</v>
      </c>
      <c r="E131" s="32" t="str">
        <f>IFERROR(__xludf.DUMMYFUNCTION("IF(ISBLANK(D131), """", GOOGLETRANSLATE(D131, ""es"", ""en""))"),"Description of the status of the hiring process")</f>
        <v>Description of the status of the hiring process</v>
      </c>
      <c r="G131" s="139" t="s">
        <v>2234</v>
      </c>
      <c r="H131" s="139" t="s">
        <v>2712</v>
      </c>
      <c r="I131" s="139" t="s">
        <v>2004</v>
      </c>
      <c r="J131" s="139" t="s">
        <v>1626</v>
      </c>
      <c r="K131" s="139" t="s">
        <v>2365</v>
      </c>
      <c r="L131" s="141">
        <v>85638.0</v>
      </c>
      <c r="M131" s="139" t="s">
        <v>2713</v>
      </c>
      <c r="N131" s="139" t="s">
        <v>2352</v>
      </c>
      <c r="O131" s="141">
        <v>1.31968856E8</v>
      </c>
      <c r="P131" s="141" t="s">
        <v>2714</v>
      </c>
      <c r="Q131" s="141">
        <v>3.0934511E8</v>
      </c>
      <c r="R131" s="141">
        <v>5.905733E7</v>
      </c>
      <c r="S131" s="141">
        <v>5.905733E7</v>
      </c>
      <c r="T131" s="141">
        <v>3.9121409E7</v>
      </c>
      <c r="U131" s="139" t="s">
        <v>2665</v>
      </c>
      <c r="V131" s="139" t="s">
        <v>2715</v>
      </c>
      <c r="W131" s="139" t="s">
        <v>2658</v>
      </c>
      <c r="X131" s="141">
        <v>2000.0</v>
      </c>
      <c r="Y131" s="139" t="s">
        <v>2652</v>
      </c>
      <c r="Z131" s="139" t="s">
        <v>2653</v>
      </c>
      <c r="AA131" s="141" t="s">
        <v>2716</v>
      </c>
      <c r="AB131" s="141" t="s">
        <v>2717</v>
      </c>
      <c r="AC131" s="141">
        <v>0.0</v>
      </c>
      <c r="AD131" s="141">
        <v>3294.0</v>
      </c>
      <c r="AE131" s="141">
        <v>0.0</v>
      </c>
      <c r="AF131" s="141">
        <v>21594.0</v>
      </c>
      <c r="AG131" s="141" t="s">
        <v>2707</v>
      </c>
    </row>
    <row r="132" ht="15.75" customHeight="1">
      <c r="B132" s="140" t="s">
        <v>2300</v>
      </c>
      <c r="C132" s="140" t="s">
        <v>1663</v>
      </c>
      <c r="D132" s="32" t="s">
        <v>2487</v>
      </c>
      <c r="E132" s="32" t="str">
        <f>IFERROR(__xludf.DUMMYFUNCTION("IF(ISBLANK(D132), """", GOOGLETRANSLATE(D132, ""es"", ""en""))"),"Contract Status Description")</f>
        <v>Contract Status Description</v>
      </c>
      <c r="F132" s="138"/>
      <c r="G132" s="139" t="s">
        <v>2234</v>
      </c>
      <c r="H132" s="139" t="s">
        <v>2712</v>
      </c>
      <c r="I132" s="139" t="s">
        <v>2004</v>
      </c>
      <c r="J132" s="139" t="s">
        <v>1626</v>
      </c>
      <c r="K132" s="139" t="s">
        <v>2365</v>
      </c>
      <c r="L132" s="141">
        <v>85638.0</v>
      </c>
      <c r="M132" s="139" t="s">
        <v>2713</v>
      </c>
      <c r="N132" s="139" t="s">
        <v>2352</v>
      </c>
      <c r="O132" s="141">
        <v>1.31968856E8</v>
      </c>
      <c r="P132" s="141" t="s">
        <v>2714</v>
      </c>
      <c r="Q132" s="141">
        <v>3.0934511E8</v>
      </c>
      <c r="R132" s="141">
        <v>5.9057335E7</v>
      </c>
      <c r="S132" s="141">
        <v>5.9057335E7</v>
      </c>
      <c r="T132" s="141">
        <v>3.9121409E7</v>
      </c>
      <c r="U132" s="139" t="s">
        <v>2665</v>
      </c>
      <c r="V132" s="139" t="s">
        <v>2681</v>
      </c>
      <c r="W132" s="139" t="s">
        <v>2658</v>
      </c>
      <c r="X132" s="141">
        <v>1000.0</v>
      </c>
      <c r="Y132" s="139" t="s">
        <v>2652</v>
      </c>
      <c r="Z132" s="139" t="s">
        <v>2653</v>
      </c>
      <c r="AA132" s="141" t="s">
        <v>2682</v>
      </c>
      <c r="AB132" s="154">
        <v>45337.0</v>
      </c>
      <c r="AC132" s="141">
        <v>0.0</v>
      </c>
      <c r="AD132" s="141">
        <v>2736.0</v>
      </c>
      <c r="AE132" s="141">
        <v>0.0</v>
      </c>
      <c r="AF132" s="141">
        <v>17936.0</v>
      </c>
      <c r="AG132" s="141" t="s">
        <v>2707</v>
      </c>
    </row>
    <row r="133" ht="15.75" customHeight="1">
      <c r="B133" s="140" t="s">
        <v>1671</v>
      </c>
      <c r="C133" s="140">
        <v>42020.0</v>
      </c>
      <c r="D133" s="32" t="s">
        <v>1671</v>
      </c>
      <c r="E133" s="32" t="str">
        <f>IFERROR(__xludf.DUMMYFUNCTION("IF(ISBLANK(D133), """", GOOGLETRANSLATE(D133, ""es"", ""en""))"),"RPE")</f>
        <v>RPE</v>
      </c>
      <c r="F133" s="138"/>
      <c r="G133" s="139" t="s">
        <v>2234</v>
      </c>
      <c r="H133" s="139" t="s">
        <v>2712</v>
      </c>
      <c r="I133" s="139" t="s">
        <v>2004</v>
      </c>
      <c r="J133" s="139" t="s">
        <v>1626</v>
      </c>
      <c r="K133" s="139" t="s">
        <v>2365</v>
      </c>
      <c r="L133" s="141">
        <v>85638.0</v>
      </c>
      <c r="M133" s="139" t="s">
        <v>2713</v>
      </c>
      <c r="N133" s="139" t="s">
        <v>2352</v>
      </c>
      <c r="O133" s="141">
        <v>1.31968856E8</v>
      </c>
      <c r="P133" s="141" t="s">
        <v>2714</v>
      </c>
      <c r="Q133" s="141">
        <v>3.0934511E8</v>
      </c>
      <c r="R133" s="141">
        <v>5.9057344E7</v>
      </c>
      <c r="S133" s="141">
        <v>5.9057344E7</v>
      </c>
      <c r="T133" s="141">
        <v>2.7111701E7</v>
      </c>
      <c r="U133" s="139" t="s">
        <v>2718</v>
      </c>
      <c r="V133" s="139" t="s">
        <v>2719</v>
      </c>
      <c r="W133" s="139" t="s">
        <v>2670</v>
      </c>
      <c r="X133" s="141">
        <v>10.0</v>
      </c>
      <c r="Y133" s="139" t="s">
        <v>2652</v>
      </c>
      <c r="Z133" s="139" t="s">
        <v>2653</v>
      </c>
      <c r="AA133" s="155" t="s">
        <v>2720</v>
      </c>
      <c r="AB133" s="141">
        <v>1510.0</v>
      </c>
      <c r="AC133" s="141">
        <v>0.0</v>
      </c>
      <c r="AD133" s="141">
        <v>2718.0</v>
      </c>
      <c r="AE133" s="141">
        <v>0.0</v>
      </c>
      <c r="AF133" s="141">
        <v>17818.0</v>
      </c>
      <c r="AG133" s="141" t="s">
        <v>2707</v>
      </c>
    </row>
    <row r="134" ht="15.75" customHeight="1">
      <c r="B134" s="140" t="s">
        <v>2297</v>
      </c>
      <c r="C134" s="140" t="s">
        <v>2702</v>
      </c>
      <c r="D134" s="32" t="s">
        <v>2442</v>
      </c>
      <c r="E134" s="32" t="str">
        <f>IFERROR(__xludf.DUMMYFUNCTION("IF(ISBLANK(D134), """", GOOGLETRANSLATE(D134, ""es"", ""en""))"),"Company name of the supplier of the items")</f>
        <v>Company name of the supplier of the items</v>
      </c>
      <c r="G134" s="139" t="s">
        <v>2234</v>
      </c>
      <c r="H134" s="139" t="s">
        <v>2712</v>
      </c>
      <c r="I134" s="139" t="s">
        <v>2004</v>
      </c>
      <c r="J134" s="139" t="s">
        <v>1626</v>
      </c>
      <c r="K134" s="139" t="s">
        <v>2365</v>
      </c>
      <c r="L134" s="141">
        <v>85638.0</v>
      </c>
      <c r="M134" s="139" t="s">
        <v>2713</v>
      </c>
      <c r="N134" s="139" t="s">
        <v>2352</v>
      </c>
      <c r="O134" s="141">
        <v>1.31968856E8</v>
      </c>
      <c r="P134" s="141" t="s">
        <v>2714</v>
      </c>
      <c r="Q134" s="141">
        <v>3.0934511E8</v>
      </c>
      <c r="R134" s="141">
        <v>5.9057345E7</v>
      </c>
      <c r="S134" s="141">
        <v>5.9057345E7</v>
      </c>
      <c r="T134" s="141">
        <v>2.7112114E7</v>
      </c>
      <c r="U134" s="139" t="s">
        <v>2721</v>
      </c>
      <c r="V134" s="139" t="s">
        <v>2722</v>
      </c>
      <c r="W134" s="139" t="s">
        <v>2670</v>
      </c>
      <c r="X134" s="141">
        <v>25.0</v>
      </c>
      <c r="Y134" s="139" t="s">
        <v>2652</v>
      </c>
      <c r="Z134" s="139" t="s">
        <v>2653</v>
      </c>
      <c r="AA134" s="141">
        <v>1062.0</v>
      </c>
      <c r="AB134" s="141">
        <v>650.0</v>
      </c>
      <c r="AC134" s="141">
        <v>0.0</v>
      </c>
      <c r="AD134" s="141">
        <v>2925.0</v>
      </c>
      <c r="AE134" s="141">
        <v>0.0</v>
      </c>
      <c r="AF134" s="141">
        <v>19175.0</v>
      </c>
      <c r="AG134" s="141" t="s">
        <v>2707</v>
      </c>
    </row>
    <row r="135" ht="15.75" customHeight="1">
      <c r="B135" s="140" t="s">
        <v>2316</v>
      </c>
      <c r="C135" s="140" t="s">
        <v>2352</v>
      </c>
      <c r="D135" s="32" t="s">
        <v>2625</v>
      </c>
      <c r="E135" s="32" t="str">
        <f>IFERROR(__xludf.DUMMYFUNCTION("IF(ISBLANK(D135), """", GOOGLETRANSLATE(D135, ""es"", ""en""))"),"Supplier ID type")</f>
        <v>Supplier ID type</v>
      </c>
      <c r="G135" s="139" t="s">
        <v>2234</v>
      </c>
      <c r="H135" s="139" t="s">
        <v>2712</v>
      </c>
      <c r="I135" s="139" t="s">
        <v>2004</v>
      </c>
      <c r="J135" s="139" t="s">
        <v>1626</v>
      </c>
      <c r="K135" s="139" t="s">
        <v>2365</v>
      </c>
      <c r="L135" s="141">
        <v>85638.0</v>
      </c>
      <c r="M135" s="139" t="s">
        <v>2713</v>
      </c>
      <c r="N135" s="139" t="s">
        <v>2352</v>
      </c>
      <c r="O135" s="141">
        <v>1.31968856E8</v>
      </c>
      <c r="P135" s="141" t="s">
        <v>2714</v>
      </c>
      <c r="Q135" s="141">
        <v>3.0934511E8</v>
      </c>
      <c r="R135" s="141">
        <v>5.9057348E7</v>
      </c>
      <c r="S135" s="141">
        <v>5.9057348E7</v>
      </c>
      <c r="T135" s="141">
        <v>2.310151E7</v>
      </c>
      <c r="U135" s="139" t="s">
        <v>2723</v>
      </c>
      <c r="V135" s="139" t="s">
        <v>2724</v>
      </c>
      <c r="W135" s="139" t="s">
        <v>2725</v>
      </c>
      <c r="X135" s="141">
        <v>5.0</v>
      </c>
      <c r="Y135" s="139" t="s">
        <v>2652</v>
      </c>
      <c r="Z135" s="139" t="s">
        <v>2653</v>
      </c>
      <c r="AA135" s="141" t="s">
        <v>2726</v>
      </c>
      <c r="AB135" s="141">
        <v>4510.0</v>
      </c>
      <c r="AC135" s="141">
        <v>0.0</v>
      </c>
      <c r="AD135" s="141">
        <v>4059.0</v>
      </c>
      <c r="AE135" s="141">
        <v>0.0</v>
      </c>
      <c r="AF135" s="141">
        <v>26609.0</v>
      </c>
      <c r="AG135" s="141" t="s">
        <v>2707</v>
      </c>
    </row>
    <row r="136" ht="15.75" customHeight="1">
      <c r="B136" s="140" t="s">
        <v>2315</v>
      </c>
      <c r="C136" s="140">
        <v>1.30996598E8</v>
      </c>
      <c r="D136" s="32" t="s">
        <v>2624</v>
      </c>
      <c r="E136" s="32" t="str">
        <f>IFERROR(__xludf.DUMMYFUNCTION("IF(ISBLANK(D136), """", GOOGLETRANSLATE(D136, ""es"", ""en""))"),"Supplier identification document number")</f>
        <v>Supplier identification document number</v>
      </c>
      <c r="G136" s="139" t="s">
        <v>2234</v>
      </c>
      <c r="H136" s="139" t="s">
        <v>2727</v>
      </c>
      <c r="I136" s="139" t="s">
        <v>2004</v>
      </c>
      <c r="J136" s="139" t="s">
        <v>1626</v>
      </c>
      <c r="K136" s="139" t="s">
        <v>2365</v>
      </c>
      <c r="L136" s="141">
        <v>49247.0</v>
      </c>
      <c r="M136" s="139" t="s">
        <v>2728</v>
      </c>
      <c r="N136" s="139" t="s">
        <v>2352</v>
      </c>
      <c r="O136" s="141">
        <v>1.30371652E8</v>
      </c>
      <c r="P136" s="141" t="s">
        <v>2729</v>
      </c>
      <c r="Q136" s="141">
        <v>3.26724002E8</v>
      </c>
      <c r="R136" s="141">
        <v>6.3657991E7</v>
      </c>
      <c r="S136" s="141">
        <v>6.3657991E7</v>
      </c>
      <c r="T136" s="141">
        <v>3.1201525E7</v>
      </c>
      <c r="U136" s="139" t="s">
        <v>2650</v>
      </c>
      <c r="V136" s="139" t="s">
        <v>2730</v>
      </c>
      <c r="W136" s="139" t="s">
        <v>2651</v>
      </c>
      <c r="X136" s="141">
        <v>300.0</v>
      </c>
      <c r="Y136" s="139" t="s">
        <v>2652</v>
      </c>
      <c r="Z136" s="139" t="s">
        <v>2653</v>
      </c>
      <c r="AA136" s="141" t="s">
        <v>2731</v>
      </c>
      <c r="AB136" s="141" t="s">
        <v>2732</v>
      </c>
      <c r="AC136" s="141" t="s">
        <v>2733</v>
      </c>
      <c r="AD136" s="141">
        <v>0.0</v>
      </c>
      <c r="AE136" s="141">
        <v>0.0</v>
      </c>
      <c r="AF136" s="141" t="s">
        <v>2734</v>
      </c>
      <c r="AG136" s="141" t="s">
        <v>2707</v>
      </c>
    </row>
    <row r="137" ht="15.75" customHeight="1">
      <c r="B137" s="140" t="s">
        <v>2305</v>
      </c>
      <c r="C137" s="140" t="s">
        <v>2703</v>
      </c>
      <c r="D137" s="32" t="s">
        <v>2735</v>
      </c>
      <c r="E137" s="32" t="str">
        <f>IFERROR(__xludf.DUMMYFUNCTION("IF(ISBLANK(D137), """", GOOGLETRANSLATE(D137, ""es"", ""en""))"),"Contract Signing Date")</f>
        <v>Contract Signing Date</v>
      </c>
      <c r="G137" s="139" t="s">
        <v>2234</v>
      </c>
      <c r="H137" s="139" t="s">
        <v>2727</v>
      </c>
      <c r="I137" s="139" t="s">
        <v>2004</v>
      </c>
      <c r="J137" s="139" t="s">
        <v>1626</v>
      </c>
      <c r="K137" s="139" t="s">
        <v>2365</v>
      </c>
      <c r="L137" s="141">
        <v>49247.0</v>
      </c>
      <c r="M137" s="139" t="s">
        <v>2728</v>
      </c>
      <c r="N137" s="139" t="s">
        <v>2352</v>
      </c>
      <c r="O137" s="141">
        <v>1.30371652E8</v>
      </c>
      <c r="P137" s="141" t="s">
        <v>2729</v>
      </c>
      <c r="Q137" s="141">
        <v>3.26724002E8</v>
      </c>
      <c r="R137" s="141">
        <v>6.3657992E7</v>
      </c>
      <c r="S137" s="141">
        <v>6.3657992E7</v>
      </c>
      <c r="T137" s="141">
        <v>1.5121519E7</v>
      </c>
      <c r="U137" s="139" t="s">
        <v>2736</v>
      </c>
      <c r="V137" s="139" t="s">
        <v>2737</v>
      </c>
      <c r="W137" s="139" t="s">
        <v>2738</v>
      </c>
      <c r="X137" s="141">
        <v>5.0</v>
      </c>
      <c r="Y137" s="139" t="s">
        <v>2652</v>
      </c>
      <c r="Z137" s="139" t="s">
        <v>2653</v>
      </c>
      <c r="AA137" s="141">
        <v>590.0</v>
      </c>
      <c r="AB137" s="141" t="s">
        <v>2739</v>
      </c>
      <c r="AC137" s="141" t="s">
        <v>2740</v>
      </c>
      <c r="AD137" s="141">
        <v>0.0</v>
      </c>
      <c r="AE137" s="141">
        <v>0.0</v>
      </c>
      <c r="AF137" s="156">
        <v>1261946.0</v>
      </c>
      <c r="AG137" s="141" t="s">
        <v>2707</v>
      </c>
    </row>
    <row r="138" ht="15.75" customHeight="1">
      <c r="B138" s="140" t="s">
        <v>2692</v>
      </c>
      <c r="C138" s="140">
        <v>3.04592631E8</v>
      </c>
      <c r="D138" s="32"/>
      <c r="E138" s="32" t="str">
        <f>IFERROR(__xludf.DUMMYFUNCTION("IF(ISBLANK(D138), """", GOOGLETRANSLATE(D138, ""es"", ""en""))"),"")</f>
        <v/>
      </c>
      <c r="G138" s="139" t="s">
        <v>2234</v>
      </c>
      <c r="H138" s="139" t="s">
        <v>2727</v>
      </c>
      <c r="I138" s="139" t="s">
        <v>2004</v>
      </c>
      <c r="J138" s="139" t="s">
        <v>1626</v>
      </c>
      <c r="K138" s="139" t="s">
        <v>2365</v>
      </c>
      <c r="L138" s="141">
        <v>49247.0</v>
      </c>
      <c r="M138" s="139" t="s">
        <v>2728</v>
      </c>
      <c r="N138" s="139" t="s">
        <v>2352</v>
      </c>
      <c r="O138" s="141">
        <v>1.30371652E8</v>
      </c>
      <c r="P138" s="141" t="s">
        <v>2729</v>
      </c>
      <c r="Q138" s="141">
        <v>3.26724002E8</v>
      </c>
      <c r="R138" s="141">
        <v>6.3657995E7</v>
      </c>
      <c r="S138" s="141">
        <v>6.3657995E7</v>
      </c>
      <c r="T138" s="141">
        <v>3.9121409E7</v>
      </c>
      <c r="U138" s="139" t="s">
        <v>2665</v>
      </c>
      <c r="V138" s="139" t="s">
        <v>2741</v>
      </c>
      <c r="W138" s="139" t="s">
        <v>2658</v>
      </c>
      <c r="X138" s="141">
        <v>200.0</v>
      </c>
      <c r="Y138" s="139" t="s">
        <v>2652</v>
      </c>
      <c r="Z138" s="139" t="s">
        <v>2653</v>
      </c>
      <c r="AA138" s="141" t="s">
        <v>2742</v>
      </c>
      <c r="AB138" s="141" t="s">
        <v>2743</v>
      </c>
      <c r="AC138" s="155">
        <v>797052.0</v>
      </c>
      <c r="AD138" s="141">
        <v>0.0</v>
      </c>
      <c r="AE138" s="141">
        <v>0.0</v>
      </c>
      <c r="AF138" s="141" t="s">
        <v>2744</v>
      </c>
      <c r="AG138" s="141" t="s">
        <v>2707</v>
      </c>
    </row>
    <row r="139" ht="15.75" customHeight="1">
      <c r="B139" s="140" t="s">
        <v>2693</v>
      </c>
      <c r="C139" s="140">
        <v>5.8228031E7</v>
      </c>
      <c r="D139" s="32"/>
      <c r="E139" s="32" t="str">
        <f>IFERROR(__xludf.DUMMYFUNCTION("IF(ISBLANK(D139), """", GOOGLETRANSLATE(D139, ""es"", ""en""))"),"")</f>
        <v/>
      </c>
      <c r="G139" s="139" t="s">
        <v>2234</v>
      </c>
      <c r="H139" s="139" t="s">
        <v>2727</v>
      </c>
      <c r="I139" s="139" t="s">
        <v>2004</v>
      </c>
      <c r="J139" s="139" t="s">
        <v>1626</v>
      </c>
      <c r="K139" s="139" t="s">
        <v>2365</v>
      </c>
      <c r="L139" s="141">
        <v>49247.0</v>
      </c>
      <c r="M139" s="139" t="s">
        <v>2728</v>
      </c>
      <c r="N139" s="139" t="s">
        <v>2352</v>
      </c>
      <c r="O139" s="141">
        <v>1.30371652E8</v>
      </c>
      <c r="P139" s="141" t="s">
        <v>2729</v>
      </c>
      <c r="Q139" s="141">
        <v>3.26724002E8</v>
      </c>
      <c r="R139" s="141">
        <v>6.3658002E7</v>
      </c>
      <c r="S139" s="141">
        <v>6.3658002E7</v>
      </c>
      <c r="T139" s="141">
        <v>3.9121409E7</v>
      </c>
      <c r="U139" s="139" t="s">
        <v>2665</v>
      </c>
      <c r="V139" s="139" t="s">
        <v>2745</v>
      </c>
      <c r="W139" s="139" t="s">
        <v>2658</v>
      </c>
      <c r="X139" s="141">
        <v>1000.0</v>
      </c>
      <c r="Y139" s="139" t="s">
        <v>2652</v>
      </c>
      <c r="Z139" s="139" t="s">
        <v>2653</v>
      </c>
      <c r="AA139" s="141" t="s">
        <v>2746</v>
      </c>
      <c r="AB139" s="154">
        <v>45436.0</v>
      </c>
      <c r="AC139" s="141">
        <v>4410.0</v>
      </c>
      <c r="AD139" s="141">
        <v>0.0</v>
      </c>
      <c r="AE139" s="141">
        <v>0.0</v>
      </c>
      <c r="AF139" s="141">
        <v>28910.0</v>
      </c>
      <c r="AG139" s="141" t="s">
        <v>2707</v>
      </c>
    </row>
    <row r="140" ht="15.75" customHeight="1">
      <c r="B140" s="140" t="s">
        <v>2639</v>
      </c>
      <c r="C140" s="140">
        <v>5.8228031E7</v>
      </c>
      <c r="D140" s="32" t="s">
        <v>2661</v>
      </c>
      <c r="E140" s="32" t="str">
        <f>IFERROR(__xludf.DUMMYFUNCTION("IF(ISBLANK(D140), """", GOOGLETRANSLATE(D140, ""es"", ""en""))"),"Item identifier in the item catalog")</f>
        <v>Item identifier in the item catalog</v>
      </c>
      <c r="G140" s="139" t="s">
        <v>2234</v>
      </c>
      <c r="H140" s="139" t="s">
        <v>2727</v>
      </c>
      <c r="I140" s="139" t="s">
        <v>2004</v>
      </c>
      <c r="J140" s="139" t="s">
        <v>1626</v>
      </c>
      <c r="K140" s="139" t="s">
        <v>2365</v>
      </c>
      <c r="L140" s="141">
        <v>49247.0</v>
      </c>
      <c r="M140" s="139" t="s">
        <v>2728</v>
      </c>
      <c r="N140" s="139" t="s">
        <v>2352</v>
      </c>
      <c r="O140" s="141">
        <v>1.30371652E8</v>
      </c>
      <c r="P140" s="141" t="s">
        <v>2729</v>
      </c>
      <c r="Q140" s="141">
        <v>3.26724002E8</v>
      </c>
      <c r="R140" s="141">
        <v>6.3658005E7</v>
      </c>
      <c r="S140" s="141">
        <v>6.3658005E7</v>
      </c>
      <c r="T140" s="141">
        <v>3.9121601E7</v>
      </c>
      <c r="U140" s="139" t="s">
        <v>2747</v>
      </c>
      <c r="V140" s="139" t="s">
        <v>2748</v>
      </c>
      <c r="W140" s="139" t="s">
        <v>2658</v>
      </c>
      <c r="X140" s="141">
        <v>10.0</v>
      </c>
      <c r="Y140" s="139" t="s">
        <v>2652</v>
      </c>
      <c r="Z140" s="139" t="s">
        <v>2653</v>
      </c>
      <c r="AA140" s="141" t="s">
        <v>2749</v>
      </c>
      <c r="AB140" s="141" t="s">
        <v>2750</v>
      </c>
      <c r="AC140" s="141" t="s">
        <v>2751</v>
      </c>
      <c r="AD140" s="141">
        <v>0.0</v>
      </c>
      <c r="AE140" s="141">
        <v>0.0</v>
      </c>
      <c r="AF140" s="141" t="s">
        <v>2752</v>
      </c>
      <c r="AG140" s="141" t="s">
        <v>2707</v>
      </c>
    </row>
    <row r="141" ht="15.75" customHeight="1">
      <c r="B141" s="140" t="s">
        <v>2640</v>
      </c>
      <c r="C141" s="140">
        <v>2.6111701E7</v>
      </c>
      <c r="D141" s="32" t="s">
        <v>2753</v>
      </c>
      <c r="E141" s="32" t="str">
        <f>IFERROR(__xludf.DUMMYFUNCTION("IF(ISBLANK(D141), """", GOOGLETRANSLATE(D141, ""es"", ""en""))"),"Subclass identifier in the UNSPSC catalog")</f>
        <v>Subclass identifier in the UNSPSC catalog</v>
      </c>
      <c r="G141" s="139" t="s">
        <v>2234</v>
      </c>
      <c r="H141" s="139" t="s">
        <v>2727</v>
      </c>
      <c r="I141" s="139" t="s">
        <v>2004</v>
      </c>
      <c r="J141" s="139" t="s">
        <v>1626</v>
      </c>
      <c r="K141" s="139" t="s">
        <v>2365</v>
      </c>
      <c r="L141" s="141">
        <v>49247.0</v>
      </c>
      <c r="M141" s="139" t="s">
        <v>2728</v>
      </c>
      <c r="N141" s="139" t="s">
        <v>2352</v>
      </c>
      <c r="O141" s="141">
        <v>1.30371652E8</v>
      </c>
      <c r="P141" s="141" t="s">
        <v>2729</v>
      </c>
      <c r="Q141" s="141">
        <v>3.26724002E8</v>
      </c>
      <c r="R141" s="141">
        <v>6.3658007E7</v>
      </c>
      <c r="S141" s="141">
        <v>6.3658007E7</v>
      </c>
      <c r="T141" s="141">
        <v>3.9121601E7</v>
      </c>
      <c r="U141" s="139" t="s">
        <v>2747</v>
      </c>
      <c r="V141" s="139" t="s">
        <v>2754</v>
      </c>
      <c r="W141" s="139" t="s">
        <v>2658</v>
      </c>
      <c r="X141" s="141">
        <v>150.0</v>
      </c>
      <c r="Y141" s="139" t="s">
        <v>2652</v>
      </c>
      <c r="Z141" s="139" t="s">
        <v>2653</v>
      </c>
      <c r="AA141" s="141" t="s">
        <v>2755</v>
      </c>
      <c r="AB141" s="141" t="s">
        <v>2756</v>
      </c>
      <c r="AC141" s="141" t="s">
        <v>2757</v>
      </c>
      <c r="AD141" s="141">
        <v>0.0</v>
      </c>
      <c r="AE141" s="141">
        <v>0.0</v>
      </c>
      <c r="AF141" s="141" t="s">
        <v>2758</v>
      </c>
      <c r="AG141" s="141" t="s">
        <v>2707</v>
      </c>
    </row>
    <row r="142" ht="15.75" customHeight="1">
      <c r="B142" s="140" t="s">
        <v>2694</v>
      </c>
      <c r="C142" s="140" t="s">
        <v>2704</v>
      </c>
      <c r="D142" s="32" t="s">
        <v>2759</v>
      </c>
      <c r="E142" s="32" t="str">
        <f>IFERROR(__xludf.DUMMYFUNCTION("IF(ISBLANK(D142), """", GOOGLETRANSLATE(D142, ""es"", ""en""))"),"Description of the subclass in the UNSPSC catalog")</f>
        <v>Description of the subclass in the UNSPSC catalog</v>
      </c>
      <c r="G142" s="139" t="s">
        <v>2234</v>
      </c>
      <c r="H142" s="139" t="s">
        <v>2727</v>
      </c>
      <c r="I142" s="139" t="s">
        <v>2004</v>
      </c>
      <c r="J142" s="139" t="s">
        <v>1626</v>
      </c>
      <c r="K142" s="139" t="s">
        <v>2365</v>
      </c>
      <c r="L142" s="141">
        <v>49247.0</v>
      </c>
      <c r="M142" s="139" t="s">
        <v>2728</v>
      </c>
      <c r="N142" s="139" t="s">
        <v>2352</v>
      </c>
      <c r="O142" s="141">
        <v>1.30371652E8</v>
      </c>
      <c r="P142" s="141" t="s">
        <v>2729</v>
      </c>
      <c r="Q142" s="141">
        <v>3.26724002E8</v>
      </c>
      <c r="R142" s="141">
        <v>6.3658008E7</v>
      </c>
      <c r="S142" s="141">
        <v>6.3658008E7</v>
      </c>
      <c r="T142" s="141">
        <v>3.9121601E7</v>
      </c>
      <c r="U142" s="139" t="s">
        <v>2747</v>
      </c>
      <c r="V142" s="139" t="s">
        <v>2760</v>
      </c>
      <c r="W142" s="139" t="s">
        <v>2658</v>
      </c>
      <c r="X142" s="141">
        <v>100.0</v>
      </c>
      <c r="Y142" s="139" t="s">
        <v>2652</v>
      </c>
      <c r="Z142" s="139" t="s">
        <v>2653</v>
      </c>
      <c r="AA142" s="141" t="s">
        <v>2761</v>
      </c>
      <c r="AB142" s="141" t="s">
        <v>2762</v>
      </c>
      <c r="AC142" s="155">
        <v>149141.0</v>
      </c>
      <c r="AD142" s="141">
        <v>0.0</v>
      </c>
      <c r="AE142" s="141">
        <v>0.0</v>
      </c>
      <c r="AF142" s="141" t="s">
        <v>2763</v>
      </c>
      <c r="AG142" s="141" t="s">
        <v>2707</v>
      </c>
    </row>
    <row r="143" ht="15.75" customHeight="1">
      <c r="B143" s="140" t="s">
        <v>2641</v>
      </c>
      <c r="C143" s="140" t="s">
        <v>2705</v>
      </c>
      <c r="D143" s="32" t="s">
        <v>2668</v>
      </c>
      <c r="E143" s="32" t="str">
        <f>IFERROR(__xludf.DUMMYFUNCTION("IF(ISBLANK(D143), """", GOOGLETRANSLATE(D143, ""es"", ""en""))"),"Description of the article")</f>
        <v>Description of the article</v>
      </c>
      <c r="G143" s="139" t="s">
        <v>2234</v>
      </c>
      <c r="H143" s="139" t="s">
        <v>2727</v>
      </c>
      <c r="I143" s="139" t="s">
        <v>2004</v>
      </c>
      <c r="J143" s="139" t="s">
        <v>1626</v>
      </c>
      <c r="K143" s="139" t="s">
        <v>2365</v>
      </c>
      <c r="L143" s="141">
        <v>49247.0</v>
      </c>
      <c r="M143" s="139" t="s">
        <v>2728</v>
      </c>
      <c r="N143" s="139" t="s">
        <v>2352</v>
      </c>
      <c r="O143" s="141">
        <v>1.30371652E8</v>
      </c>
      <c r="P143" s="141" t="s">
        <v>2729</v>
      </c>
      <c r="Q143" s="141">
        <v>3.26724002E8</v>
      </c>
      <c r="R143" s="141">
        <v>6.3658013E7</v>
      </c>
      <c r="S143" s="141">
        <v>6.3658013E7</v>
      </c>
      <c r="T143" s="141">
        <v>3.1151706E7</v>
      </c>
      <c r="U143" s="139" t="s">
        <v>2764</v>
      </c>
      <c r="V143" s="139" t="s">
        <v>2765</v>
      </c>
      <c r="W143" s="139" t="s">
        <v>2651</v>
      </c>
      <c r="X143" s="141">
        <v>40.0</v>
      </c>
      <c r="Y143" s="139" t="s">
        <v>2652</v>
      </c>
      <c r="Z143" s="139" t="s">
        <v>2653</v>
      </c>
      <c r="AA143" s="141" t="s">
        <v>2766</v>
      </c>
      <c r="AB143" s="141" t="s">
        <v>2767</v>
      </c>
      <c r="AC143" s="141" t="s">
        <v>2768</v>
      </c>
      <c r="AD143" s="141">
        <v>0.0</v>
      </c>
      <c r="AE143" s="141">
        <v>0.0</v>
      </c>
      <c r="AF143" s="141" t="s">
        <v>2769</v>
      </c>
      <c r="AG143" s="141" t="s">
        <v>2707</v>
      </c>
    </row>
    <row r="144" ht="15.75" customHeight="1">
      <c r="B144" s="140" t="s">
        <v>2642</v>
      </c>
      <c r="C144" s="140" t="s">
        <v>2658</v>
      </c>
      <c r="D144" s="32" t="s">
        <v>2673</v>
      </c>
      <c r="E144" s="32" t="str">
        <f>IFERROR(__xludf.DUMMYFUNCTION("IF(ISBLANK(D144), """", GOOGLETRANSLATE(D144, ""es"", ""en""))"),"budget account code")</f>
        <v>budget account code</v>
      </c>
      <c r="G144" s="139" t="s">
        <v>2234</v>
      </c>
      <c r="H144" s="139" t="s">
        <v>2727</v>
      </c>
      <c r="I144" s="139" t="s">
        <v>2004</v>
      </c>
      <c r="J144" s="139" t="s">
        <v>1626</v>
      </c>
      <c r="K144" s="139" t="s">
        <v>2365</v>
      </c>
      <c r="L144" s="141">
        <v>49247.0</v>
      </c>
      <c r="M144" s="139" t="s">
        <v>2728</v>
      </c>
      <c r="N144" s="139" t="s">
        <v>2352</v>
      </c>
      <c r="O144" s="141">
        <v>1.30371652E8</v>
      </c>
      <c r="P144" s="141" t="s">
        <v>2729</v>
      </c>
      <c r="Q144" s="141">
        <v>3.26724002E8</v>
      </c>
      <c r="R144" s="141">
        <v>6.3658015E7</v>
      </c>
      <c r="S144" s="141">
        <v>6.3658015E7</v>
      </c>
      <c r="T144" s="141">
        <v>3.1161725E7</v>
      </c>
      <c r="U144" s="139" t="s">
        <v>2770</v>
      </c>
      <c r="V144" s="139" t="s">
        <v>2771</v>
      </c>
      <c r="W144" s="139" t="s">
        <v>2772</v>
      </c>
      <c r="X144" s="141">
        <v>100.0</v>
      </c>
      <c r="Y144" s="139" t="s">
        <v>2652</v>
      </c>
      <c r="Z144" s="139" t="s">
        <v>2653</v>
      </c>
      <c r="AA144" s="141" t="s">
        <v>2773</v>
      </c>
      <c r="AB144" s="141" t="s">
        <v>2774</v>
      </c>
      <c r="AC144" s="141" t="s">
        <v>2775</v>
      </c>
      <c r="AD144" s="141">
        <v>0.0</v>
      </c>
      <c r="AE144" s="141">
        <v>0.0</v>
      </c>
      <c r="AF144" s="141" t="s">
        <v>2776</v>
      </c>
      <c r="AG144" s="141" t="s">
        <v>2707</v>
      </c>
    </row>
    <row r="145" ht="15.75" customHeight="1">
      <c r="B145" s="140" t="s">
        <v>2646</v>
      </c>
      <c r="C145" s="140">
        <v>100.0</v>
      </c>
      <c r="D145" s="32" t="s">
        <v>2777</v>
      </c>
      <c r="E145" s="32" t="str">
        <f>IFERROR(__xludf.DUMMYFUNCTION("IF(ISBLANK(D145), """", GOOGLETRANSLATE(D145, ""es"", ""en""))"),"Number of items associated with the contract")</f>
        <v>Number of items associated with the contract</v>
      </c>
      <c r="G145" s="139" t="s">
        <v>2234</v>
      </c>
      <c r="H145" s="139" t="s">
        <v>2727</v>
      </c>
      <c r="I145" s="139" t="s">
        <v>2004</v>
      </c>
      <c r="J145" s="139" t="s">
        <v>1626</v>
      </c>
      <c r="K145" s="139" t="s">
        <v>2365</v>
      </c>
      <c r="L145" s="141">
        <v>49247.0</v>
      </c>
      <c r="M145" s="139" t="s">
        <v>2728</v>
      </c>
      <c r="N145" s="139" t="s">
        <v>2352</v>
      </c>
      <c r="O145" s="141">
        <v>1.30371652E8</v>
      </c>
      <c r="P145" s="141" t="s">
        <v>2729</v>
      </c>
      <c r="Q145" s="141">
        <v>3.26724002E8</v>
      </c>
      <c r="R145" s="141">
        <v>6.3658027E7</v>
      </c>
      <c r="S145" s="141">
        <v>6.3658027E7</v>
      </c>
      <c r="T145" s="141">
        <v>3.1211904E7</v>
      </c>
      <c r="U145" s="139" t="s">
        <v>2778</v>
      </c>
      <c r="V145" s="139" t="s">
        <v>2779</v>
      </c>
      <c r="W145" s="139" t="s">
        <v>2670</v>
      </c>
      <c r="X145" s="141">
        <v>4.0</v>
      </c>
      <c r="Y145" s="139" t="s">
        <v>2652</v>
      </c>
      <c r="Z145" s="139" t="s">
        <v>2653</v>
      </c>
      <c r="AA145" s="141" t="s">
        <v>2780</v>
      </c>
      <c r="AB145" s="141" t="s">
        <v>2781</v>
      </c>
      <c r="AC145" s="141" t="s">
        <v>2782</v>
      </c>
      <c r="AD145" s="141">
        <v>0.0</v>
      </c>
      <c r="AE145" s="141">
        <v>0.0</v>
      </c>
      <c r="AF145" s="141" t="s">
        <v>2783</v>
      </c>
      <c r="AG145" s="141" t="s">
        <v>2707</v>
      </c>
    </row>
    <row r="146" ht="15.75" customHeight="1">
      <c r="B146" s="140" t="s">
        <v>2695</v>
      </c>
      <c r="C146" s="140" t="s">
        <v>2652</v>
      </c>
      <c r="D146" s="32" t="s">
        <v>2677</v>
      </c>
      <c r="E146" s="32" t="str">
        <f>IFERROR(__xludf.DUMMYFUNCTION("IF(ISBLANK(D146), """", GOOGLETRANSLATE(D146, ""es"", ""en""))"),"Abbreviation of the item's unit of measure")</f>
        <v>Abbreviation of the item's unit of measure</v>
      </c>
      <c r="G146" s="139" t="s">
        <v>2234</v>
      </c>
      <c r="H146" s="139" t="s">
        <v>2727</v>
      </c>
      <c r="I146" s="139" t="s">
        <v>2004</v>
      </c>
      <c r="J146" s="139" t="s">
        <v>1626</v>
      </c>
      <c r="K146" s="139" t="s">
        <v>2365</v>
      </c>
      <c r="L146" s="141">
        <v>49247.0</v>
      </c>
      <c r="M146" s="139" t="s">
        <v>2728</v>
      </c>
      <c r="N146" s="139" t="s">
        <v>2352</v>
      </c>
      <c r="O146" s="141">
        <v>1.30371652E8</v>
      </c>
      <c r="P146" s="141" t="s">
        <v>2729</v>
      </c>
      <c r="Q146" s="141">
        <v>3.26724002E8</v>
      </c>
      <c r="R146" s="141">
        <v>6.3658031E7</v>
      </c>
      <c r="S146" s="141">
        <v>6.3658031E7</v>
      </c>
      <c r="T146" s="141">
        <v>3.1231313E7</v>
      </c>
      <c r="U146" s="139" t="s">
        <v>2784</v>
      </c>
      <c r="V146" s="139" t="s">
        <v>2785</v>
      </c>
      <c r="W146" s="139" t="s">
        <v>2786</v>
      </c>
      <c r="X146" s="141">
        <v>100.0</v>
      </c>
      <c r="Y146" s="139" t="s">
        <v>2652</v>
      </c>
      <c r="Z146" s="139" t="s">
        <v>2653</v>
      </c>
      <c r="AA146" s="141" t="s">
        <v>2787</v>
      </c>
      <c r="AB146" s="141" t="s">
        <v>2788</v>
      </c>
      <c r="AC146" s="155">
        <v>697431.0</v>
      </c>
      <c r="AD146" s="141">
        <v>0.0</v>
      </c>
      <c r="AE146" s="141">
        <v>0.0</v>
      </c>
      <c r="AF146" s="141" t="s">
        <v>2789</v>
      </c>
      <c r="AG146" s="141" t="s">
        <v>2707</v>
      </c>
    </row>
    <row r="147" ht="15.75" customHeight="1">
      <c r="B147" s="140" t="s">
        <v>2644</v>
      </c>
      <c r="C147" s="140" t="s">
        <v>2653</v>
      </c>
      <c r="D147" s="32" t="s">
        <v>2680</v>
      </c>
      <c r="E147" s="32" t="str">
        <f>IFERROR(__xludf.DUMMYFUNCTION("IF(ISBLANK(D147), """", GOOGLETRANSLATE(D147, ""es"", ""en""))"),"Description of the item's unit of measure")</f>
        <v>Description of the item's unit of measure</v>
      </c>
    </row>
    <row r="148" ht="15.75" customHeight="1">
      <c r="B148" s="140" t="s">
        <v>2647</v>
      </c>
      <c r="C148" s="140" t="s">
        <v>2706</v>
      </c>
      <c r="D148" s="32" t="s">
        <v>2790</v>
      </c>
      <c r="E148" s="32" t="str">
        <f>IFERROR(__xludf.DUMMYFUNCTION("IF(ISBLANK(D148), """", GOOGLETRANSLATE(D148, ""es"", ""en""))"),"Estimated unit price value of the item")</f>
        <v>Estimated unit price value of the item</v>
      </c>
    </row>
    <row r="149" ht="15.75" customHeight="1">
      <c r="B149" s="140" t="s">
        <v>2696</v>
      </c>
      <c r="C149" s="140">
        <v>13983.0</v>
      </c>
      <c r="D149" s="32" t="s">
        <v>2791</v>
      </c>
      <c r="E149" s="32" t="str">
        <f>IFERROR(__xludf.DUMMYFUNCTION("IF(ISBLANK(D149), """", GOOGLETRANSLATE(D149, ""es"", ""en""))"),"Unit price value of the item")</f>
        <v>Unit price value of the item</v>
      </c>
    </row>
    <row r="150" ht="15.75" customHeight="1">
      <c r="B150" s="140" t="s">
        <v>2697</v>
      </c>
      <c r="C150" s="140">
        <v>0.0</v>
      </c>
      <c r="D150" s="32" t="s">
        <v>2697</v>
      </c>
      <c r="E150" s="32" t="str">
        <f>IFERROR(__xludf.DUMMYFUNCTION("IF(ISBLANK(D150), """", GOOGLETRANSLATE(D150, ""es"", ""en""))"),"ITBIS")</f>
        <v>ITBIS</v>
      </c>
    </row>
    <row r="151" ht="15.75" customHeight="1">
      <c r="B151" s="140" t="s">
        <v>2698</v>
      </c>
      <c r="C151" s="140">
        <v>251694.0</v>
      </c>
      <c r="D151" s="32" t="s">
        <v>2792</v>
      </c>
      <c r="E151" s="32" t="str">
        <f>IFERROR(__xludf.DUMMYFUNCTION("IF(ISBLANK(D151), """", GOOGLETRANSLATE(D151, ""es"", ""en""))"),"Other taxes defined for the item")</f>
        <v>Other taxes defined for the item</v>
      </c>
    </row>
    <row r="152" ht="15.75" customHeight="1">
      <c r="B152" s="140" t="s">
        <v>2699</v>
      </c>
      <c r="C152" s="140">
        <v>0.0</v>
      </c>
      <c r="D152" s="32" t="s">
        <v>2793</v>
      </c>
      <c r="E152" s="32" t="str">
        <f>IFERROR(__xludf.DUMMYFUNCTION("IF(ISBLANK(D152), """", GOOGLETRANSLATE(D152, ""es"", ""en""))"),"Discounts associated with the item")</f>
        <v>Discounts associated with the item</v>
      </c>
    </row>
    <row r="153" ht="15.75" customHeight="1">
      <c r="B153" s="140" t="s">
        <v>2700</v>
      </c>
      <c r="C153" s="140">
        <v>1649994.0</v>
      </c>
      <c r="D153" s="32" t="s">
        <v>2794</v>
      </c>
      <c r="E153" s="32" t="str">
        <f>IFERROR(__xludf.DUMMYFUNCTION("IF(ISBLANK(D153), """", GOOGLETRANSLATE(D153, ""es"", ""en""))"),"Corresponds to the number of items times the estimated price of the item plus the ITBIS")</f>
        <v>Corresponds to the number of items times the estimated price of the item plus the ITBIS</v>
      </c>
    </row>
    <row r="154" ht="15.75" customHeight="1">
      <c r="B154" s="140" t="s">
        <v>1999</v>
      </c>
      <c r="C154" s="140" t="s">
        <v>2707</v>
      </c>
      <c r="D154" s="32" t="s">
        <v>2290</v>
      </c>
      <c r="E154" s="32" t="str">
        <f>IFERROR(__xludf.DUMMYFUNCTION("IF(ISBLANK(D154), """", GOOGLETRANSLATE(D154, ""es"", ""en""))"),"Update date")</f>
        <v>Update date</v>
      </c>
    </row>
    <row r="155" ht="15.75" customHeight="1"/>
    <row r="156" ht="15.75" customHeight="1"/>
    <row r="157" ht="15.75" customHeight="1"/>
    <row r="158" ht="15.75" customHeight="1">
      <c r="B158" s="148" t="s">
        <v>2795</v>
      </c>
      <c r="G158" s="128" t="s">
        <v>33</v>
      </c>
    </row>
    <row r="159" ht="23.25" customHeight="1">
      <c r="B159" s="135" t="s">
        <v>2796</v>
      </c>
      <c r="C159" s="151"/>
      <c r="D159" s="135" t="str">
        <f>IFERROR(__xludf.DUMMYFUNCTION("IF(ISBLANK(B159), """", GOOGLETRANSLATE(B159, ""es"", ""en""))"),"Contains a catalog of information on suppliers of goods and services.		
")</f>
        <v>Contains a catalog of information on suppliers of goods and services.		
</v>
      </c>
    </row>
    <row r="160" ht="15.75" customHeight="1">
      <c r="B160" s="26" t="s">
        <v>1689</v>
      </c>
      <c r="C160" s="152" t="s">
        <v>1690</v>
      </c>
      <c r="D160" s="26" t="s">
        <v>1691</v>
      </c>
      <c r="E160" s="26" t="s">
        <v>1692</v>
      </c>
      <c r="G160" s="137" t="s">
        <v>2797</v>
      </c>
      <c r="H160" s="137" t="s">
        <v>2798</v>
      </c>
      <c r="I160" s="137" t="s">
        <v>1671</v>
      </c>
      <c r="J160" s="137" t="s">
        <v>2297</v>
      </c>
      <c r="K160" s="137" t="s">
        <v>2315</v>
      </c>
      <c r="L160" s="137" t="s">
        <v>2316</v>
      </c>
      <c r="M160" s="137" t="s">
        <v>2799</v>
      </c>
      <c r="N160" s="137" t="s">
        <v>2317</v>
      </c>
      <c r="O160" s="137" t="s">
        <v>2318</v>
      </c>
      <c r="P160" s="137" t="s">
        <v>2319</v>
      </c>
      <c r="Q160" s="137" t="s">
        <v>2800</v>
      </c>
      <c r="R160" s="137" t="s">
        <v>2801</v>
      </c>
      <c r="S160" s="137" t="s">
        <v>2802</v>
      </c>
      <c r="T160" s="137" t="s">
        <v>2803</v>
      </c>
      <c r="U160" s="137" t="s">
        <v>2321</v>
      </c>
      <c r="V160" s="137" t="s">
        <v>2804</v>
      </c>
      <c r="W160" s="137" t="s">
        <v>2329</v>
      </c>
      <c r="X160" s="137" t="s">
        <v>2805</v>
      </c>
      <c r="Y160" s="137" t="s">
        <v>2806</v>
      </c>
      <c r="Z160" s="137" t="s">
        <v>2807</v>
      </c>
      <c r="AA160" s="137" t="s">
        <v>2808</v>
      </c>
      <c r="AB160" s="137" t="s">
        <v>2809</v>
      </c>
      <c r="AC160" s="137" t="s">
        <v>2810</v>
      </c>
      <c r="AD160" s="137" t="s">
        <v>2811</v>
      </c>
      <c r="AE160" s="137" t="s">
        <v>2812</v>
      </c>
      <c r="AF160" s="137" t="s">
        <v>2328</v>
      </c>
      <c r="AG160" s="137" t="s">
        <v>2326</v>
      </c>
      <c r="AH160" s="137" t="s">
        <v>2325</v>
      </c>
      <c r="AI160" s="137" t="s">
        <v>2324</v>
      </c>
      <c r="AJ160" s="137" t="s">
        <v>2813</v>
      </c>
      <c r="AK160" s="137" t="s">
        <v>2814</v>
      </c>
      <c r="AL160" s="137" t="s">
        <v>2815</v>
      </c>
      <c r="AM160" s="137" t="s">
        <v>2816</v>
      </c>
      <c r="AN160" s="137" t="s">
        <v>2322</v>
      </c>
      <c r="AO160" s="137" t="s">
        <v>2323</v>
      </c>
      <c r="AP160" s="137" t="s">
        <v>2817</v>
      </c>
      <c r="AQ160" s="137" t="s">
        <v>1995</v>
      </c>
      <c r="AR160" s="137" t="s">
        <v>2327</v>
      </c>
      <c r="AS160" s="137" t="s">
        <v>1999</v>
      </c>
    </row>
    <row r="161" ht="15.75" customHeight="1">
      <c r="B161" s="147" t="s">
        <v>2797</v>
      </c>
      <c r="C161" s="147">
        <v>7.00000011E8</v>
      </c>
      <c r="D161" s="36"/>
      <c r="E161" s="32" t="str">
        <f>IFERROR(__xludf.DUMMYFUNCTION("IF(ISBLANK(D161), """", GOOGLETRANSLATE(D161, ""es"", ""en""))"),"")</f>
        <v/>
      </c>
      <c r="G161" s="141">
        <v>7.00000011E8</v>
      </c>
      <c r="H161" s="141">
        <v>2.0</v>
      </c>
      <c r="I161" s="141">
        <v>51981.0</v>
      </c>
      <c r="J161" s="139" t="s">
        <v>2818</v>
      </c>
      <c r="K161" s="141">
        <v>1.16733635E8</v>
      </c>
      <c r="L161" s="139" t="s">
        <v>2819</v>
      </c>
      <c r="M161" s="139" t="s">
        <v>2365</v>
      </c>
      <c r="N161" s="139" t="s">
        <v>2353</v>
      </c>
      <c r="O161" s="139" t="s">
        <v>2820</v>
      </c>
      <c r="P161" s="139" t="s">
        <v>2821</v>
      </c>
      <c r="Q161" s="139"/>
      <c r="R161" s="141" t="s">
        <v>2822</v>
      </c>
      <c r="S161" s="139"/>
      <c r="T161" s="139"/>
      <c r="U161" s="139" t="s">
        <v>423</v>
      </c>
      <c r="V161" s="139"/>
      <c r="W161" s="139"/>
      <c r="X161" s="139" t="s">
        <v>423</v>
      </c>
      <c r="Y161" s="139"/>
      <c r="Z161" s="139" t="s">
        <v>2823</v>
      </c>
      <c r="AA161" s="139" t="s">
        <v>2824</v>
      </c>
      <c r="AB161" s="139"/>
      <c r="AC161" s="139" t="s">
        <v>2825</v>
      </c>
      <c r="AD161" s="157" t="s">
        <v>2825</v>
      </c>
      <c r="AE161" s="22"/>
      <c r="AF161" s="139" t="s">
        <v>2359</v>
      </c>
      <c r="AG161" s="139" t="s">
        <v>920</v>
      </c>
      <c r="AH161" s="139" t="s">
        <v>921</v>
      </c>
      <c r="AI161" s="157" t="s">
        <v>2495</v>
      </c>
      <c r="AJ161" s="22"/>
      <c r="AK161" s="139" t="s">
        <v>2178</v>
      </c>
      <c r="AL161" s="139"/>
      <c r="AM161" s="143" t="s">
        <v>2826</v>
      </c>
      <c r="AN161" s="139" t="s">
        <v>2356</v>
      </c>
      <c r="AO161" s="139" t="s">
        <v>2827</v>
      </c>
      <c r="AP161" s="139"/>
      <c r="AQ161" s="139" t="s">
        <v>2828</v>
      </c>
      <c r="AR161" s="139" t="s">
        <v>2358</v>
      </c>
      <c r="AS161" s="141" t="s">
        <v>2829</v>
      </c>
    </row>
    <row r="162" ht="15.75" customHeight="1">
      <c r="B162" s="147" t="s">
        <v>2798</v>
      </c>
      <c r="C162" s="158">
        <v>2.0</v>
      </c>
      <c r="D162" s="36"/>
      <c r="E162" s="32" t="str">
        <f>IFERROR(__xludf.DUMMYFUNCTION("IF(ISBLANK(D162), """", GOOGLETRANSLATE(D162, ""es"", ""en""))"),"")</f>
        <v/>
      </c>
      <c r="G162" s="141">
        <v>7.00000037E8</v>
      </c>
      <c r="H162" s="141">
        <v>4.0</v>
      </c>
      <c r="I162" s="141">
        <v>51979.0</v>
      </c>
      <c r="J162" s="139" t="s">
        <v>2830</v>
      </c>
      <c r="K162" s="141">
        <v>1.31009972E8</v>
      </c>
      <c r="L162" s="139" t="s">
        <v>2352</v>
      </c>
      <c r="M162" s="139" t="s">
        <v>2831</v>
      </c>
      <c r="N162" s="139" t="s">
        <v>2353</v>
      </c>
      <c r="O162" s="139" t="s">
        <v>2354</v>
      </c>
      <c r="P162" s="139" t="s">
        <v>2355</v>
      </c>
      <c r="Q162" s="141" t="s">
        <v>2832</v>
      </c>
      <c r="R162" s="141" t="s">
        <v>2822</v>
      </c>
      <c r="S162" s="139" t="s">
        <v>2833</v>
      </c>
      <c r="T162" s="141" t="s">
        <v>2834</v>
      </c>
      <c r="U162" s="139" t="s">
        <v>423</v>
      </c>
      <c r="V162" s="139"/>
      <c r="W162" s="139" t="s">
        <v>2356</v>
      </c>
      <c r="X162" s="139" t="s">
        <v>423</v>
      </c>
      <c r="Y162" s="139"/>
      <c r="Z162" s="139"/>
      <c r="AA162" s="139" t="s">
        <v>2835</v>
      </c>
      <c r="AB162" s="139"/>
      <c r="AC162" s="139" t="s">
        <v>2836</v>
      </c>
      <c r="AD162" s="157" t="s">
        <v>2836</v>
      </c>
      <c r="AE162" s="22"/>
      <c r="AF162" s="139" t="s">
        <v>2359</v>
      </c>
      <c r="AG162" s="139" t="s">
        <v>920</v>
      </c>
      <c r="AH162" s="139" t="s">
        <v>932</v>
      </c>
      <c r="AI162" s="157" t="s">
        <v>932</v>
      </c>
      <c r="AJ162" s="22"/>
      <c r="AK162" s="139" t="s">
        <v>2178</v>
      </c>
      <c r="AL162" s="139"/>
      <c r="AM162" s="143" t="s">
        <v>2837</v>
      </c>
      <c r="AN162" s="139" t="s">
        <v>2356</v>
      </c>
      <c r="AO162" s="157" t="s">
        <v>2357</v>
      </c>
      <c r="AP162" s="22"/>
      <c r="AQ162" s="139" t="s">
        <v>2838</v>
      </c>
      <c r="AR162" s="139" t="s">
        <v>2358</v>
      </c>
      <c r="AS162" s="141" t="s">
        <v>2829</v>
      </c>
    </row>
    <row r="163" ht="15.75" customHeight="1">
      <c r="B163" s="147" t="s">
        <v>1671</v>
      </c>
      <c r="C163" s="159">
        <v>51981.0</v>
      </c>
      <c r="D163" s="36" t="s">
        <v>1671</v>
      </c>
      <c r="E163" s="32" t="str">
        <f>IFERROR(__xludf.DUMMYFUNCTION("IF(ISBLANK(D163), """", GOOGLETRANSLATE(D163, ""es"", ""en""))"),"RPE")</f>
        <v>RPE</v>
      </c>
      <c r="G163" s="141">
        <v>7.00000086E8</v>
      </c>
      <c r="H163" s="141">
        <v>9.0</v>
      </c>
      <c r="I163" s="141">
        <v>51974.0</v>
      </c>
      <c r="J163" s="139" t="s">
        <v>2839</v>
      </c>
      <c r="K163" s="141">
        <v>1.31152864E8</v>
      </c>
      <c r="L163" s="139" t="s">
        <v>2352</v>
      </c>
      <c r="M163" s="139" t="s">
        <v>2831</v>
      </c>
      <c r="N163" s="139" t="s">
        <v>2353</v>
      </c>
      <c r="O163" s="139" t="s">
        <v>2354</v>
      </c>
      <c r="P163" s="139" t="s">
        <v>2355</v>
      </c>
      <c r="Q163" s="141" t="s">
        <v>2840</v>
      </c>
      <c r="R163" s="141" t="s">
        <v>2822</v>
      </c>
      <c r="S163" s="139" t="s">
        <v>2841</v>
      </c>
      <c r="T163" s="141" t="s">
        <v>2842</v>
      </c>
      <c r="U163" s="139" t="s">
        <v>423</v>
      </c>
      <c r="V163" s="139"/>
      <c r="W163" s="139" t="s">
        <v>2356</v>
      </c>
      <c r="X163" s="139" t="s">
        <v>423</v>
      </c>
      <c r="Y163" s="139"/>
      <c r="Z163" s="139"/>
      <c r="AA163" s="139" t="s">
        <v>2843</v>
      </c>
      <c r="AB163" s="139"/>
      <c r="AC163" s="139" t="s">
        <v>2844</v>
      </c>
      <c r="AD163" s="139" t="s">
        <v>2845</v>
      </c>
      <c r="AE163" s="139" t="s">
        <v>2846</v>
      </c>
      <c r="AF163" s="139" t="s">
        <v>2359</v>
      </c>
      <c r="AG163" s="139" t="s">
        <v>920</v>
      </c>
      <c r="AH163" s="139" t="s">
        <v>921</v>
      </c>
      <c r="AI163" s="157" t="s">
        <v>2405</v>
      </c>
      <c r="AJ163" s="22"/>
      <c r="AK163" s="139" t="s">
        <v>2847</v>
      </c>
      <c r="AL163" s="139"/>
      <c r="AM163" s="143" t="s">
        <v>2848</v>
      </c>
      <c r="AN163" s="139" t="s">
        <v>2356</v>
      </c>
      <c r="AO163" s="157" t="s">
        <v>2357</v>
      </c>
      <c r="AP163" s="22"/>
      <c r="AQ163" s="139" t="s">
        <v>2828</v>
      </c>
      <c r="AR163" s="139" t="s">
        <v>2358</v>
      </c>
      <c r="AS163" s="141" t="s">
        <v>2829</v>
      </c>
    </row>
    <row r="164" ht="15.75" customHeight="1">
      <c r="B164" s="147" t="s">
        <v>2297</v>
      </c>
      <c r="C164" s="147" t="s">
        <v>2818</v>
      </c>
      <c r="D164" s="36" t="s">
        <v>2442</v>
      </c>
      <c r="E164" s="32" t="str">
        <f>IFERROR(__xludf.DUMMYFUNCTION("IF(ISBLANK(D164), """", GOOGLETRANSLATE(D164, ""es"", ""en""))"),"Company name of the supplier of the items")</f>
        <v>Company name of the supplier of the items</v>
      </c>
      <c r="F164" s="138"/>
      <c r="G164" s="141">
        <v>7.00000102E8</v>
      </c>
      <c r="H164" s="141">
        <v>11.0</v>
      </c>
      <c r="I164" s="141">
        <v>51972.0</v>
      </c>
      <c r="J164" s="139" t="s">
        <v>2849</v>
      </c>
      <c r="K164" s="141">
        <v>1.23003994E8</v>
      </c>
      <c r="L164" s="139" t="s">
        <v>2352</v>
      </c>
      <c r="M164" s="139" t="s">
        <v>2831</v>
      </c>
      <c r="N164" s="139" t="s">
        <v>2397</v>
      </c>
      <c r="O164" s="139" t="s">
        <v>2354</v>
      </c>
      <c r="P164" s="139" t="s">
        <v>2355</v>
      </c>
      <c r="Q164" s="141" t="s">
        <v>2850</v>
      </c>
      <c r="R164" s="141" t="s">
        <v>2822</v>
      </c>
      <c r="S164" s="139" t="s">
        <v>2851</v>
      </c>
      <c r="T164" s="141" t="s">
        <v>2852</v>
      </c>
      <c r="U164" s="139" t="s">
        <v>423</v>
      </c>
      <c r="V164" s="139"/>
      <c r="W164" s="139" t="s">
        <v>2356</v>
      </c>
      <c r="X164" s="139" t="s">
        <v>423</v>
      </c>
      <c r="Y164" s="139"/>
      <c r="Z164" s="139"/>
      <c r="AA164" s="139" t="s">
        <v>2853</v>
      </c>
      <c r="AB164" s="139"/>
      <c r="AC164" s="139" t="s">
        <v>2854</v>
      </c>
      <c r="AD164" s="139" t="s">
        <v>2854</v>
      </c>
      <c r="AE164" s="139" t="s">
        <v>2855</v>
      </c>
      <c r="AF164" s="139" t="s">
        <v>2359</v>
      </c>
      <c r="AG164" s="139" t="s">
        <v>920</v>
      </c>
      <c r="AH164" s="139" t="s">
        <v>921</v>
      </c>
      <c r="AI164" s="157" t="s">
        <v>2405</v>
      </c>
      <c r="AJ164" s="22"/>
      <c r="AK164" s="139" t="s">
        <v>2178</v>
      </c>
      <c r="AL164" s="139"/>
      <c r="AM164" s="143" t="s">
        <v>2856</v>
      </c>
      <c r="AN164" s="139" t="s">
        <v>2356</v>
      </c>
      <c r="AO164" s="157" t="s">
        <v>2357</v>
      </c>
      <c r="AP164" s="22"/>
      <c r="AQ164" s="139" t="s">
        <v>2828</v>
      </c>
      <c r="AR164" s="139" t="s">
        <v>2358</v>
      </c>
      <c r="AS164" s="141" t="s">
        <v>2829</v>
      </c>
    </row>
    <row r="165" ht="15.75" customHeight="1">
      <c r="B165" s="147" t="s">
        <v>2315</v>
      </c>
      <c r="C165" s="147">
        <v>1.16733635E8</v>
      </c>
      <c r="D165" s="36" t="s">
        <v>2624</v>
      </c>
      <c r="E165" s="32" t="str">
        <f>IFERROR(__xludf.DUMMYFUNCTION("IF(ISBLANK(D165), """", GOOGLETRANSLATE(D165, ""es"", ""en""))"),"Supplier identification document number")</f>
        <v>Supplier identification document number</v>
      </c>
      <c r="F165" s="144"/>
      <c r="G165" s="141">
        <v>7.00000177E8</v>
      </c>
      <c r="H165" s="141">
        <v>18.0</v>
      </c>
      <c r="I165" s="141">
        <v>51965.0</v>
      </c>
      <c r="J165" s="139" t="s">
        <v>2857</v>
      </c>
      <c r="K165" s="141">
        <v>1.03985446E8</v>
      </c>
      <c r="L165" s="139" t="s">
        <v>2819</v>
      </c>
      <c r="M165" s="139" t="s">
        <v>2365</v>
      </c>
      <c r="N165" s="139" t="s">
        <v>2397</v>
      </c>
      <c r="O165" s="139" t="s">
        <v>2820</v>
      </c>
      <c r="P165" s="139" t="s">
        <v>2821</v>
      </c>
      <c r="Q165" s="139"/>
      <c r="R165" s="141" t="s">
        <v>2822</v>
      </c>
      <c r="S165" s="139"/>
      <c r="T165" s="139"/>
      <c r="U165" s="139" t="s">
        <v>423</v>
      </c>
      <c r="V165" s="139"/>
      <c r="W165" s="139"/>
      <c r="X165" s="139" t="s">
        <v>423</v>
      </c>
      <c r="Y165" s="139"/>
      <c r="Z165" s="139" t="s">
        <v>2858</v>
      </c>
      <c r="AA165" s="139" t="s">
        <v>2859</v>
      </c>
      <c r="AB165" s="139"/>
      <c r="AC165" s="139" t="s">
        <v>2860</v>
      </c>
      <c r="AD165" s="157" t="s">
        <v>2860</v>
      </c>
      <c r="AE165" s="22"/>
      <c r="AF165" s="139" t="s">
        <v>2359</v>
      </c>
      <c r="AG165" s="139" t="s">
        <v>920</v>
      </c>
      <c r="AH165" s="139" t="s">
        <v>932</v>
      </c>
      <c r="AI165" s="157" t="s">
        <v>932</v>
      </c>
      <c r="AJ165" s="22"/>
      <c r="AK165" s="157" t="s">
        <v>2861</v>
      </c>
      <c r="AL165" s="22"/>
      <c r="AM165" s="143" t="s">
        <v>2862</v>
      </c>
      <c r="AN165" s="139" t="s">
        <v>2356</v>
      </c>
      <c r="AO165" s="139" t="s">
        <v>2827</v>
      </c>
      <c r="AP165" s="139"/>
      <c r="AQ165" s="139" t="s">
        <v>2828</v>
      </c>
      <c r="AR165" s="139" t="s">
        <v>2358</v>
      </c>
      <c r="AS165" s="141" t="s">
        <v>2829</v>
      </c>
    </row>
    <row r="166" ht="15.75" customHeight="1">
      <c r="B166" s="147" t="s">
        <v>2316</v>
      </c>
      <c r="C166" s="147" t="s">
        <v>2819</v>
      </c>
      <c r="D166" s="36" t="s">
        <v>2625</v>
      </c>
      <c r="E166" s="32" t="str">
        <f>IFERROR(__xludf.DUMMYFUNCTION("IF(ISBLANK(D166), """", GOOGLETRANSLATE(D166, ""es"", ""en""))"),"Supplier ID type")</f>
        <v>Supplier ID type</v>
      </c>
      <c r="G166" s="141">
        <v>7.00009665E8</v>
      </c>
      <c r="H166" s="141">
        <v>967.0</v>
      </c>
      <c r="I166" s="141">
        <v>51479.0</v>
      </c>
      <c r="J166" s="139" t="s">
        <v>2863</v>
      </c>
      <c r="K166" s="141">
        <v>1.31246745E8</v>
      </c>
      <c r="L166" s="139" t="s">
        <v>2352</v>
      </c>
      <c r="M166" s="139" t="s">
        <v>2365</v>
      </c>
      <c r="N166" s="139" t="s">
        <v>2353</v>
      </c>
      <c r="O166" s="139" t="s">
        <v>2354</v>
      </c>
      <c r="P166" s="139" t="s">
        <v>2355</v>
      </c>
      <c r="Q166" s="141" t="s">
        <v>2864</v>
      </c>
      <c r="R166" s="142">
        <v>42250.333333333336</v>
      </c>
      <c r="S166" s="139" t="s">
        <v>2865</v>
      </c>
      <c r="T166" s="141" t="s">
        <v>2866</v>
      </c>
      <c r="U166" s="139" t="s">
        <v>423</v>
      </c>
      <c r="V166" s="139"/>
      <c r="W166" s="139" t="s">
        <v>2356</v>
      </c>
      <c r="X166" s="139" t="s">
        <v>423</v>
      </c>
      <c r="Y166" s="139"/>
      <c r="Z166" s="139"/>
      <c r="AA166" s="139" t="s">
        <v>2867</v>
      </c>
      <c r="AB166" s="139"/>
      <c r="AC166" s="139" t="s">
        <v>2868</v>
      </c>
      <c r="AD166" s="139" t="s">
        <v>2869</v>
      </c>
      <c r="AE166" s="139" t="s">
        <v>2870</v>
      </c>
      <c r="AF166" s="139" t="s">
        <v>2359</v>
      </c>
      <c r="AG166" s="139" t="s">
        <v>920</v>
      </c>
      <c r="AH166" s="139" t="s">
        <v>921</v>
      </c>
      <c r="AI166" s="157" t="s">
        <v>2405</v>
      </c>
      <c r="AJ166" s="22"/>
      <c r="AK166" s="157" t="s">
        <v>2871</v>
      </c>
      <c r="AL166" s="22"/>
      <c r="AM166" s="143" t="s">
        <v>2872</v>
      </c>
      <c r="AN166" s="139" t="s">
        <v>2356</v>
      </c>
      <c r="AO166" s="157" t="s">
        <v>2357</v>
      </c>
      <c r="AP166" s="22"/>
      <c r="AQ166" s="139" t="s">
        <v>2828</v>
      </c>
      <c r="AR166" s="139" t="s">
        <v>2358</v>
      </c>
      <c r="AS166" s="141" t="s">
        <v>2829</v>
      </c>
    </row>
    <row r="167" ht="15.75" customHeight="1">
      <c r="B167" s="147" t="s">
        <v>2799</v>
      </c>
      <c r="C167" s="147" t="s">
        <v>2365</v>
      </c>
      <c r="D167" s="36" t="s">
        <v>2873</v>
      </c>
      <c r="E167" s="32" t="str">
        <f>IFERROR(__xludf.DUMMYFUNCTION("IF(ISBLANK(D167), """", GOOGLETRANSLATE(D167, ""es"", ""en""))"),"Description of RPE status")</f>
        <v>Description of RPE status</v>
      </c>
      <c r="G167" s="141">
        <v>7.00009673E8</v>
      </c>
      <c r="H167" s="141">
        <v>968.0</v>
      </c>
      <c r="I167" s="141">
        <v>51478.0</v>
      </c>
      <c r="J167" s="139" t="s">
        <v>2874</v>
      </c>
      <c r="K167" s="141">
        <v>1.31241964E8</v>
      </c>
      <c r="L167" s="139" t="s">
        <v>2352</v>
      </c>
      <c r="M167" s="139" t="s">
        <v>2831</v>
      </c>
      <c r="N167" s="139" t="s">
        <v>2353</v>
      </c>
      <c r="O167" s="139" t="s">
        <v>2354</v>
      </c>
      <c r="P167" s="139" t="s">
        <v>2355</v>
      </c>
      <c r="Q167" s="141" t="s">
        <v>2875</v>
      </c>
      <c r="R167" s="142">
        <v>42250.333333333336</v>
      </c>
      <c r="S167" s="139" t="s">
        <v>2876</v>
      </c>
      <c r="T167" s="141" t="s">
        <v>2877</v>
      </c>
      <c r="U167" s="139" t="s">
        <v>423</v>
      </c>
      <c r="V167" s="139"/>
      <c r="W167" s="139" t="s">
        <v>2356</v>
      </c>
      <c r="X167" s="139" t="s">
        <v>423</v>
      </c>
      <c r="Y167" s="139"/>
      <c r="Z167" s="139"/>
      <c r="AA167" s="139" t="s">
        <v>2878</v>
      </c>
      <c r="AB167" s="139"/>
      <c r="AC167" s="139" t="s">
        <v>2879</v>
      </c>
      <c r="AD167" s="157" t="s">
        <v>2879</v>
      </c>
      <c r="AE167" s="22"/>
      <c r="AF167" s="139" t="s">
        <v>2359</v>
      </c>
      <c r="AG167" s="139" t="s">
        <v>920</v>
      </c>
      <c r="AH167" s="139" t="s">
        <v>932</v>
      </c>
      <c r="AI167" s="157" t="s">
        <v>932</v>
      </c>
      <c r="AJ167" s="22"/>
      <c r="AK167" s="139" t="s">
        <v>2178</v>
      </c>
      <c r="AL167" s="139"/>
      <c r="AM167" s="143" t="s">
        <v>2880</v>
      </c>
      <c r="AN167" s="139" t="s">
        <v>2356</v>
      </c>
      <c r="AO167" s="157" t="s">
        <v>2357</v>
      </c>
      <c r="AP167" s="22"/>
      <c r="AQ167" s="139" t="s">
        <v>2828</v>
      </c>
      <c r="AR167" s="139" t="s">
        <v>2358</v>
      </c>
      <c r="AS167" s="141" t="s">
        <v>2829</v>
      </c>
    </row>
    <row r="168" ht="15.75" customHeight="1">
      <c r="B168" s="147" t="s">
        <v>2317</v>
      </c>
      <c r="C168" s="147" t="s">
        <v>2353</v>
      </c>
      <c r="D168" s="36" t="s">
        <v>2626</v>
      </c>
      <c r="E168" s="32" t="str">
        <f>IFERROR(__xludf.DUMMYFUNCTION("IF(ISBLANK(D168), """", GOOGLETRANSLATE(D168, ""es"", ""en""))"),"Provider gender identity")</f>
        <v>Provider gender identity</v>
      </c>
      <c r="G168" s="141">
        <v>7.00009681E8</v>
      </c>
      <c r="H168" s="141">
        <v>969.0</v>
      </c>
      <c r="I168" s="141">
        <v>51477.0</v>
      </c>
      <c r="J168" s="139" t="s">
        <v>2881</v>
      </c>
      <c r="K168" s="141">
        <v>1.31249736E8</v>
      </c>
      <c r="L168" s="139" t="s">
        <v>2352</v>
      </c>
      <c r="M168" s="139" t="s">
        <v>2831</v>
      </c>
      <c r="N168" s="139" t="s">
        <v>2353</v>
      </c>
      <c r="O168" s="139" t="s">
        <v>2354</v>
      </c>
      <c r="P168" s="139" t="s">
        <v>2355</v>
      </c>
      <c r="Q168" s="141" t="s">
        <v>2882</v>
      </c>
      <c r="R168" s="142">
        <v>42250.333333333336</v>
      </c>
      <c r="S168" s="139" t="s">
        <v>2883</v>
      </c>
      <c r="T168" s="141" t="s">
        <v>2884</v>
      </c>
      <c r="U168" s="139" t="s">
        <v>423</v>
      </c>
      <c r="V168" s="139"/>
      <c r="W168" s="139" t="s">
        <v>2356</v>
      </c>
      <c r="X168" s="139" t="s">
        <v>423</v>
      </c>
      <c r="Y168" s="139"/>
      <c r="Z168" s="139"/>
      <c r="AA168" s="139" t="s">
        <v>2885</v>
      </c>
      <c r="AB168" s="139"/>
      <c r="AC168" s="139" t="s">
        <v>2886</v>
      </c>
      <c r="AD168" s="157" t="s">
        <v>2886</v>
      </c>
      <c r="AE168" s="22"/>
      <c r="AF168" s="139" t="s">
        <v>2359</v>
      </c>
      <c r="AG168" s="139" t="s">
        <v>920</v>
      </c>
      <c r="AH168" s="139" t="s">
        <v>932</v>
      </c>
      <c r="AI168" s="157" t="s">
        <v>932</v>
      </c>
      <c r="AJ168" s="22"/>
      <c r="AK168" s="139" t="s">
        <v>2847</v>
      </c>
      <c r="AL168" s="139"/>
      <c r="AM168" s="143" t="s">
        <v>2887</v>
      </c>
      <c r="AN168" s="139" t="s">
        <v>2356</v>
      </c>
      <c r="AO168" s="157" t="s">
        <v>2357</v>
      </c>
      <c r="AP168" s="22"/>
      <c r="AQ168" s="139" t="s">
        <v>2828</v>
      </c>
      <c r="AR168" s="139" t="s">
        <v>2358</v>
      </c>
      <c r="AS168" s="141" t="s">
        <v>2829</v>
      </c>
    </row>
    <row r="169" ht="15.75" customHeight="1">
      <c r="B169" s="147" t="s">
        <v>2318</v>
      </c>
      <c r="C169" s="147" t="s">
        <v>2820</v>
      </c>
      <c r="D169" s="36" t="s">
        <v>2888</v>
      </c>
      <c r="E169" s="32" t="str">
        <f>IFERROR(__xludf.DUMMYFUNCTION("IF(ISBLANK(D169), """", GOOGLETRANSLATE(D169, ""es"", ""en""))"),"Type of person (Example: Natural or Legal)")</f>
        <v>Type of person (Example: Natural or Legal)</v>
      </c>
      <c r="G169" s="141">
        <v>7.00009814E8</v>
      </c>
      <c r="H169" s="141">
        <v>982.0</v>
      </c>
      <c r="I169" s="141">
        <v>51458.0</v>
      </c>
      <c r="J169" s="139" t="s">
        <v>2889</v>
      </c>
      <c r="K169" s="141">
        <v>1.24031494E8</v>
      </c>
      <c r="L169" s="139" t="s">
        <v>2352</v>
      </c>
      <c r="M169" s="139" t="s">
        <v>2365</v>
      </c>
      <c r="N169" s="139" t="s">
        <v>2353</v>
      </c>
      <c r="O169" s="139" t="s">
        <v>2354</v>
      </c>
      <c r="P169" s="139" t="s">
        <v>2355</v>
      </c>
      <c r="Q169" s="141" t="s">
        <v>2890</v>
      </c>
      <c r="R169" s="142">
        <v>42158.97222222222</v>
      </c>
      <c r="S169" s="139" t="s">
        <v>2891</v>
      </c>
      <c r="T169" s="141" t="s">
        <v>2892</v>
      </c>
      <c r="U169" s="139" t="s">
        <v>67</v>
      </c>
      <c r="V169" s="141" t="s">
        <v>2893</v>
      </c>
      <c r="W169" s="139" t="s">
        <v>2372</v>
      </c>
      <c r="X169" s="139" t="s">
        <v>423</v>
      </c>
      <c r="Y169" s="139"/>
      <c r="Z169" s="139"/>
      <c r="AA169" s="139" t="s">
        <v>2894</v>
      </c>
      <c r="AB169" s="139"/>
      <c r="AC169" s="139" t="s">
        <v>2895</v>
      </c>
      <c r="AD169" s="139" t="s">
        <v>2895</v>
      </c>
      <c r="AE169" s="139" t="s">
        <v>2896</v>
      </c>
      <c r="AF169" s="139" t="s">
        <v>2359</v>
      </c>
      <c r="AG169" s="139" t="s">
        <v>920</v>
      </c>
      <c r="AH169" s="139" t="s">
        <v>932</v>
      </c>
      <c r="AI169" s="157" t="s">
        <v>932</v>
      </c>
      <c r="AJ169" s="22"/>
      <c r="AK169" s="139" t="s">
        <v>2178</v>
      </c>
      <c r="AL169" s="139"/>
      <c r="AM169" s="143" t="s">
        <v>2897</v>
      </c>
      <c r="AN169" s="139" t="s">
        <v>2370</v>
      </c>
      <c r="AO169" s="157" t="s">
        <v>2371</v>
      </c>
      <c r="AP169" s="22"/>
      <c r="AQ169" s="139" t="s">
        <v>2828</v>
      </c>
      <c r="AR169" s="139" t="s">
        <v>2358</v>
      </c>
      <c r="AS169" s="141" t="s">
        <v>2829</v>
      </c>
    </row>
    <row r="170" ht="15.75" customHeight="1">
      <c r="B170" s="147" t="s">
        <v>2319</v>
      </c>
      <c r="C170" s="147" t="s">
        <v>2821</v>
      </c>
      <c r="D170" s="36" t="s">
        <v>2898</v>
      </c>
      <c r="E170" s="32" t="str">
        <f>IFERROR(__xludf.DUMMYFUNCTION("IF(ISBLANK(D170), """", GOOGLETRANSLATE(D170, ""es"", ""en""))"),"Legal form")</f>
        <v>Legal form</v>
      </c>
      <c r="G170" s="141">
        <v>7.00009822E8</v>
      </c>
      <c r="H170" s="141">
        <v>983.0</v>
      </c>
      <c r="I170" s="141">
        <v>51447.0</v>
      </c>
      <c r="J170" s="139" t="s">
        <v>2899</v>
      </c>
      <c r="K170" s="141">
        <v>1.01192267E8</v>
      </c>
      <c r="L170" s="139" t="s">
        <v>2352</v>
      </c>
      <c r="M170" s="139" t="s">
        <v>2831</v>
      </c>
      <c r="N170" s="139" t="s">
        <v>2353</v>
      </c>
      <c r="O170" s="139" t="s">
        <v>2354</v>
      </c>
      <c r="P170" s="139" t="s">
        <v>2355</v>
      </c>
      <c r="Q170" s="141" t="s">
        <v>2900</v>
      </c>
      <c r="R170" s="142">
        <v>42127.98819444444</v>
      </c>
      <c r="S170" s="139" t="s">
        <v>2901</v>
      </c>
      <c r="T170" s="141" t="s">
        <v>2902</v>
      </c>
      <c r="U170" s="139" t="s">
        <v>423</v>
      </c>
      <c r="V170" s="141" t="s">
        <v>2903</v>
      </c>
      <c r="W170" s="139"/>
      <c r="X170" s="139" t="s">
        <v>423</v>
      </c>
      <c r="Y170" s="139"/>
      <c r="Z170" s="139"/>
      <c r="AA170" s="139" t="s">
        <v>2904</v>
      </c>
      <c r="AB170" s="139"/>
      <c r="AC170" s="139" t="s">
        <v>2905</v>
      </c>
      <c r="AD170" s="139" t="s">
        <v>2906</v>
      </c>
      <c r="AE170" s="139" t="s">
        <v>2907</v>
      </c>
      <c r="AF170" s="139" t="s">
        <v>2359</v>
      </c>
      <c r="AG170" s="139" t="s">
        <v>920</v>
      </c>
      <c r="AH170" s="139" t="s">
        <v>932</v>
      </c>
      <c r="AI170" s="157" t="s">
        <v>932</v>
      </c>
      <c r="AJ170" s="22"/>
      <c r="AK170" s="139" t="s">
        <v>2847</v>
      </c>
      <c r="AL170" s="139"/>
      <c r="AM170" s="143" t="s">
        <v>2908</v>
      </c>
      <c r="AN170" s="139" t="s">
        <v>2356</v>
      </c>
      <c r="AO170" s="157" t="s">
        <v>2357</v>
      </c>
      <c r="AP170" s="22"/>
      <c r="AQ170" s="139" t="s">
        <v>2828</v>
      </c>
      <c r="AR170" s="139" t="s">
        <v>2358</v>
      </c>
      <c r="AS170" s="141" t="s">
        <v>2829</v>
      </c>
    </row>
    <row r="171" ht="15.75" customHeight="1">
      <c r="B171" s="147" t="s">
        <v>2800</v>
      </c>
      <c r="C171" s="147"/>
      <c r="D171" s="36" t="s">
        <v>2909</v>
      </c>
      <c r="E171" s="32" t="str">
        <f>IFERROR(__xludf.DUMMYFUNCTION("IF(ISBLANK(D171), """", GOOGLETRANSLATE(D171, ""es"", ""en""))"),"Creation date")</f>
        <v>Creation date</v>
      </c>
      <c r="G171" s="141">
        <v>7.00000193E8</v>
      </c>
      <c r="H171" s="141">
        <v>20.0</v>
      </c>
      <c r="I171" s="141">
        <v>51963.0</v>
      </c>
      <c r="J171" s="139" t="s">
        <v>2910</v>
      </c>
      <c r="K171" s="141">
        <v>1.30707774E8</v>
      </c>
      <c r="L171" s="139" t="s">
        <v>2352</v>
      </c>
      <c r="M171" s="139" t="s">
        <v>2831</v>
      </c>
      <c r="N171" s="139" t="s">
        <v>2397</v>
      </c>
      <c r="O171" s="139" t="s">
        <v>2354</v>
      </c>
      <c r="P171" s="139" t="s">
        <v>2355</v>
      </c>
      <c r="Q171" s="141" t="s">
        <v>2911</v>
      </c>
      <c r="R171" s="141" t="s">
        <v>2822</v>
      </c>
      <c r="S171" s="139" t="s">
        <v>2912</v>
      </c>
      <c r="T171" s="141" t="s">
        <v>2913</v>
      </c>
      <c r="U171" s="139" t="s">
        <v>423</v>
      </c>
      <c r="V171" s="139"/>
      <c r="W171" s="139" t="s">
        <v>2356</v>
      </c>
      <c r="X171" s="139" t="s">
        <v>423</v>
      </c>
      <c r="Y171" s="139"/>
      <c r="Z171" s="139"/>
      <c r="AA171" s="139" t="s">
        <v>2914</v>
      </c>
      <c r="AB171" s="139"/>
      <c r="AC171" s="139" t="s">
        <v>2915</v>
      </c>
      <c r="AD171" s="139" t="s">
        <v>2916</v>
      </c>
      <c r="AE171" s="139" t="s">
        <v>2917</v>
      </c>
      <c r="AF171" s="139" t="s">
        <v>2359</v>
      </c>
      <c r="AG171" s="139" t="s">
        <v>925</v>
      </c>
      <c r="AH171" s="139" t="s">
        <v>2918</v>
      </c>
      <c r="AI171" s="139" t="s">
        <v>2918</v>
      </c>
      <c r="AJ171" s="139"/>
      <c r="AK171" s="139" t="s">
        <v>2178</v>
      </c>
      <c r="AL171" s="139"/>
      <c r="AM171" s="143" t="s">
        <v>2919</v>
      </c>
      <c r="AN171" s="139" t="s">
        <v>2356</v>
      </c>
      <c r="AO171" s="157" t="s">
        <v>2357</v>
      </c>
      <c r="AP171" s="22"/>
      <c r="AQ171" s="139" t="s">
        <v>2828</v>
      </c>
      <c r="AR171" s="139" t="s">
        <v>2920</v>
      </c>
      <c r="AS171" s="141" t="s">
        <v>2829</v>
      </c>
    </row>
    <row r="172" ht="15.75" customHeight="1">
      <c r="B172" s="147" t="s">
        <v>2801</v>
      </c>
      <c r="C172" s="147" t="s">
        <v>2822</v>
      </c>
      <c r="D172" s="36" t="s">
        <v>2921</v>
      </c>
      <c r="E172" s="32" t="str">
        <f>IFERROR(__xludf.DUMMYFUNCTION("IF(ISBLANK(D172), """", GOOGLETRANSLATE(D172, ""es"", ""en""))"),"Supplier registration date in the supplier catalog")</f>
        <v>Supplier registration date in the supplier catalog</v>
      </c>
      <c r="G172" s="141">
        <v>7.00006448E8</v>
      </c>
      <c r="H172" s="141">
        <v>645.0</v>
      </c>
      <c r="I172" s="141">
        <v>46256.0</v>
      </c>
      <c r="J172" s="139" t="s">
        <v>2922</v>
      </c>
      <c r="K172" s="141">
        <v>2.0548128847E10</v>
      </c>
      <c r="L172" s="139" t="s">
        <v>2923</v>
      </c>
      <c r="M172" s="139" t="s">
        <v>2365</v>
      </c>
      <c r="N172" s="139" t="s">
        <v>2397</v>
      </c>
      <c r="O172" s="139" t="s">
        <v>2354</v>
      </c>
      <c r="P172" s="139" t="s">
        <v>2355</v>
      </c>
      <c r="Q172" s="141" t="s">
        <v>2924</v>
      </c>
      <c r="R172" s="141" t="s">
        <v>2925</v>
      </c>
      <c r="S172" s="139"/>
      <c r="T172" s="139"/>
      <c r="U172" s="139" t="s">
        <v>423</v>
      </c>
      <c r="V172" s="139"/>
      <c r="W172" s="139" t="s">
        <v>2356</v>
      </c>
      <c r="X172" s="139" t="s">
        <v>423</v>
      </c>
      <c r="Y172" s="139"/>
      <c r="Z172" s="139"/>
      <c r="AA172" s="139" t="s">
        <v>2926</v>
      </c>
      <c r="AB172" s="139"/>
      <c r="AC172" s="139" t="s">
        <v>2927</v>
      </c>
      <c r="AD172" s="157" t="s">
        <v>2927</v>
      </c>
      <c r="AE172" s="22"/>
      <c r="AF172" s="139"/>
      <c r="AG172" s="139" t="s">
        <v>2384</v>
      </c>
      <c r="AH172" s="139" t="s">
        <v>2384</v>
      </c>
      <c r="AI172" s="139"/>
      <c r="AJ172" s="139"/>
      <c r="AK172" s="139" t="s">
        <v>2178</v>
      </c>
      <c r="AL172" s="139"/>
      <c r="AM172" s="143" t="s">
        <v>2928</v>
      </c>
      <c r="AN172" s="139" t="s">
        <v>2356</v>
      </c>
      <c r="AO172" s="157" t="s">
        <v>2357</v>
      </c>
      <c r="AP172" s="22"/>
      <c r="AQ172" s="139" t="s">
        <v>2828</v>
      </c>
      <c r="AR172" s="139" t="s">
        <v>2384</v>
      </c>
      <c r="AS172" s="141" t="s">
        <v>2829</v>
      </c>
    </row>
    <row r="173" ht="15.75" customHeight="1">
      <c r="B173" s="147" t="s">
        <v>2802</v>
      </c>
      <c r="C173" s="147"/>
      <c r="D173" s="36" t="s">
        <v>2929</v>
      </c>
      <c r="E173" s="32" t="str">
        <f>IFERROR(__xludf.DUMMYFUNCTION("IF(ISBLANK(D173), """", GOOGLETRANSLATE(D173, ""es"", ""en""))"),"Commercial Registry Number")</f>
        <v>Commercial Registry Number</v>
      </c>
      <c r="G173" s="141">
        <v>7.00006463E8</v>
      </c>
      <c r="H173" s="141">
        <v>647.0</v>
      </c>
      <c r="I173" s="141">
        <v>45955.0</v>
      </c>
      <c r="J173" s="139" t="s">
        <v>2930</v>
      </c>
      <c r="K173" s="141">
        <v>2049341.0</v>
      </c>
      <c r="L173" s="139" t="s">
        <v>2923</v>
      </c>
      <c r="M173" s="139" t="s">
        <v>2365</v>
      </c>
      <c r="N173" s="139" t="s">
        <v>2353</v>
      </c>
      <c r="O173" s="139" t="s">
        <v>2354</v>
      </c>
      <c r="P173" s="139" t="s">
        <v>2355</v>
      </c>
      <c r="Q173" s="141" t="s">
        <v>2931</v>
      </c>
      <c r="R173" s="142">
        <v>41680.70208333333</v>
      </c>
      <c r="S173" s="139"/>
      <c r="T173" s="139"/>
      <c r="U173" s="139" t="s">
        <v>423</v>
      </c>
      <c r="V173" s="139"/>
      <c r="W173" s="139" t="s">
        <v>2356</v>
      </c>
      <c r="X173" s="139" t="s">
        <v>423</v>
      </c>
      <c r="Y173" s="139"/>
      <c r="Z173" s="139"/>
      <c r="AA173" s="139" t="s">
        <v>2932</v>
      </c>
      <c r="AB173" s="139"/>
      <c r="AC173" s="139" t="s">
        <v>2933</v>
      </c>
      <c r="AD173" s="157" t="s">
        <v>2933</v>
      </c>
      <c r="AE173" s="22"/>
      <c r="AF173" s="139"/>
      <c r="AG173" s="139" t="s">
        <v>2384</v>
      </c>
      <c r="AH173" s="139" t="s">
        <v>2384</v>
      </c>
      <c r="AI173" s="139"/>
      <c r="AJ173" s="139"/>
      <c r="AK173" s="139" t="s">
        <v>2178</v>
      </c>
      <c r="AL173" s="139"/>
      <c r="AM173" s="143" t="s">
        <v>2934</v>
      </c>
      <c r="AN173" s="139" t="s">
        <v>2356</v>
      </c>
      <c r="AO173" s="157" t="s">
        <v>2357</v>
      </c>
      <c r="AP173" s="22"/>
      <c r="AQ173" s="139" t="s">
        <v>2828</v>
      </c>
      <c r="AR173" s="139" t="s">
        <v>2384</v>
      </c>
      <c r="AS173" s="141" t="s">
        <v>2829</v>
      </c>
    </row>
    <row r="174" ht="15.75" customHeight="1">
      <c r="B174" s="147" t="s">
        <v>2803</v>
      </c>
      <c r="C174" s="147"/>
      <c r="D174" s="36" t="s">
        <v>2935</v>
      </c>
      <c r="E174" s="32" t="str">
        <f>IFERROR(__xludf.DUMMYFUNCTION("IF(ISBLANK(D174), """", GOOGLETRANSLATE(D174, ""es"", ""en""))"),"Commercial registration date of the supplier")</f>
        <v>Commercial registration date of the supplier</v>
      </c>
      <c r="G174" s="141">
        <v>7.00006513E8</v>
      </c>
      <c r="H174" s="141">
        <v>652.0</v>
      </c>
      <c r="I174" s="141">
        <v>43548.0</v>
      </c>
      <c r="J174" s="139" t="s">
        <v>2936</v>
      </c>
      <c r="K174" s="139" t="s">
        <v>2937</v>
      </c>
      <c r="L174" s="139" t="s">
        <v>2923</v>
      </c>
      <c r="M174" s="139" t="s">
        <v>2831</v>
      </c>
      <c r="N174" s="139" t="s">
        <v>2353</v>
      </c>
      <c r="O174" s="139" t="s">
        <v>2354</v>
      </c>
      <c r="P174" s="139" t="s">
        <v>2355</v>
      </c>
      <c r="Q174" s="141" t="s">
        <v>2938</v>
      </c>
      <c r="R174" s="142">
        <v>41858.90138888889</v>
      </c>
      <c r="S174" s="160">
        <v>3.5200653554E10</v>
      </c>
      <c r="T174" s="141" t="s">
        <v>2939</v>
      </c>
      <c r="U174" s="139" t="s">
        <v>423</v>
      </c>
      <c r="V174" s="139"/>
      <c r="W174" s="139" t="s">
        <v>2356</v>
      </c>
      <c r="X174" s="139" t="s">
        <v>423</v>
      </c>
      <c r="Y174" s="139"/>
      <c r="Z174" s="139"/>
      <c r="AA174" s="139" t="s">
        <v>2940</v>
      </c>
      <c r="AB174" s="139"/>
      <c r="AC174" s="139" t="s">
        <v>2941</v>
      </c>
      <c r="AD174" s="157" t="s">
        <v>2941</v>
      </c>
      <c r="AE174" s="20"/>
      <c r="AF174" s="22"/>
      <c r="AG174" s="139" t="s">
        <v>2384</v>
      </c>
      <c r="AH174" s="139" t="s">
        <v>2384</v>
      </c>
      <c r="AI174" s="139"/>
      <c r="AJ174" s="139"/>
      <c r="AK174" s="139" t="s">
        <v>2942</v>
      </c>
      <c r="AL174" s="139"/>
      <c r="AM174" s="143" t="s">
        <v>2943</v>
      </c>
      <c r="AN174" s="139" t="s">
        <v>2356</v>
      </c>
      <c r="AO174" s="157" t="s">
        <v>2357</v>
      </c>
      <c r="AP174" s="22"/>
      <c r="AQ174" s="139" t="s">
        <v>2828</v>
      </c>
      <c r="AR174" s="139" t="s">
        <v>2384</v>
      </c>
      <c r="AS174" s="141" t="s">
        <v>2829</v>
      </c>
    </row>
    <row r="175" ht="15.75" customHeight="1">
      <c r="B175" s="147" t="s">
        <v>2321</v>
      </c>
      <c r="C175" s="147" t="s">
        <v>423</v>
      </c>
      <c r="D175" s="36"/>
      <c r="E175" s="32" t="str">
        <f>IFERROR(__xludf.DUMMYFUNCTION("IF(ISBLANK(D175), """", GOOGLETRANSLATE(D175, ""es"", ""en""))"),"")</f>
        <v/>
      </c>
      <c r="G175" s="141">
        <v>7.00006539E8</v>
      </c>
      <c r="H175" s="141">
        <v>654.0</v>
      </c>
      <c r="I175" s="141">
        <v>42749.0</v>
      </c>
      <c r="J175" s="139" t="s">
        <v>2944</v>
      </c>
      <c r="K175" s="141">
        <v>4.0220069591E10</v>
      </c>
      <c r="L175" s="139" t="s">
        <v>2819</v>
      </c>
      <c r="M175" s="139" t="s">
        <v>2365</v>
      </c>
      <c r="N175" s="139" t="s">
        <v>2353</v>
      </c>
      <c r="O175" s="139" t="s">
        <v>2820</v>
      </c>
      <c r="P175" s="139" t="s">
        <v>2821</v>
      </c>
      <c r="Q175" s="139"/>
      <c r="R175" s="142">
        <v>41796.333333333336</v>
      </c>
      <c r="S175" s="139"/>
      <c r="T175" s="139"/>
      <c r="U175" s="139" t="s">
        <v>67</v>
      </c>
      <c r="V175" s="141" t="s">
        <v>2945</v>
      </c>
      <c r="W175" s="139" t="s">
        <v>2441</v>
      </c>
      <c r="X175" s="139" t="s">
        <v>423</v>
      </c>
      <c r="Y175" s="139"/>
      <c r="Z175" s="139" t="s">
        <v>2946</v>
      </c>
      <c r="AA175" s="139" t="s">
        <v>2947</v>
      </c>
      <c r="AB175" s="139"/>
      <c r="AC175" s="139" t="s">
        <v>2948</v>
      </c>
      <c r="AD175" s="157" t="s">
        <v>2948</v>
      </c>
      <c r="AE175" s="22"/>
      <c r="AF175" s="139" t="s">
        <v>2359</v>
      </c>
      <c r="AG175" s="139" t="s">
        <v>920</v>
      </c>
      <c r="AH175" s="139" t="s">
        <v>921</v>
      </c>
      <c r="AI175" s="157" t="s">
        <v>2495</v>
      </c>
      <c r="AJ175" s="22"/>
      <c r="AK175" s="139" t="s">
        <v>2014</v>
      </c>
      <c r="AL175" s="139"/>
      <c r="AM175" s="143" t="s">
        <v>2949</v>
      </c>
      <c r="AN175" s="139" t="s">
        <v>2440</v>
      </c>
      <c r="AO175" s="157" t="s">
        <v>2371</v>
      </c>
      <c r="AP175" s="22"/>
      <c r="AQ175" s="139" t="s">
        <v>2828</v>
      </c>
      <c r="AR175" s="139" t="s">
        <v>2358</v>
      </c>
      <c r="AS175" s="141" t="s">
        <v>2829</v>
      </c>
    </row>
    <row r="176" ht="15.75" customHeight="1">
      <c r="B176" s="147" t="s">
        <v>2804</v>
      </c>
      <c r="C176" s="147"/>
      <c r="D176" s="36" t="s">
        <v>2950</v>
      </c>
      <c r="E176" s="32" t="str">
        <f>IFERROR(__xludf.DUMMYFUNCTION("IF(ISBLANK(D176), """", GOOGLETRANSLATE(D176, ""es"", ""en""))"),"Certification Expiration Date")</f>
        <v>Certification Expiration Date</v>
      </c>
      <c r="G176" s="141">
        <v>7.00006604E8</v>
      </c>
      <c r="H176" s="141">
        <v>661.0</v>
      </c>
      <c r="I176" s="141">
        <v>41695.0</v>
      </c>
      <c r="J176" s="139" t="s">
        <v>2951</v>
      </c>
      <c r="K176" s="141">
        <v>1.31129862E8</v>
      </c>
      <c r="L176" s="139" t="s">
        <v>2352</v>
      </c>
      <c r="M176" s="139" t="s">
        <v>2831</v>
      </c>
      <c r="N176" s="139" t="s">
        <v>2353</v>
      </c>
      <c r="O176" s="139" t="s">
        <v>2354</v>
      </c>
      <c r="P176" s="139" t="s">
        <v>2355</v>
      </c>
      <c r="Q176" s="141" t="s">
        <v>2952</v>
      </c>
      <c r="R176" s="141" t="s">
        <v>2953</v>
      </c>
      <c r="S176" s="139" t="s">
        <v>2954</v>
      </c>
      <c r="T176" s="141" t="s">
        <v>2955</v>
      </c>
      <c r="U176" s="139" t="s">
        <v>67</v>
      </c>
      <c r="V176" s="141" t="s">
        <v>2956</v>
      </c>
      <c r="W176" s="139" t="s">
        <v>2372</v>
      </c>
      <c r="X176" s="139" t="s">
        <v>423</v>
      </c>
      <c r="Y176" s="139"/>
      <c r="Z176" s="139"/>
      <c r="AA176" s="139" t="s">
        <v>2957</v>
      </c>
      <c r="AB176" s="139"/>
      <c r="AC176" s="139" t="s">
        <v>2958</v>
      </c>
      <c r="AD176" s="157" t="s">
        <v>2958</v>
      </c>
      <c r="AE176" s="22"/>
      <c r="AF176" s="139" t="s">
        <v>2359</v>
      </c>
      <c r="AG176" s="139" t="s">
        <v>920</v>
      </c>
      <c r="AH176" s="139" t="s">
        <v>921</v>
      </c>
      <c r="AI176" s="157" t="s">
        <v>2405</v>
      </c>
      <c r="AJ176" s="22"/>
      <c r="AK176" s="139" t="s">
        <v>2942</v>
      </c>
      <c r="AL176" s="139"/>
      <c r="AM176" s="143" t="s">
        <v>2959</v>
      </c>
      <c r="AN176" s="139" t="s">
        <v>2370</v>
      </c>
      <c r="AO176" s="157" t="s">
        <v>2371</v>
      </c>
      <c r="AP176" s="22"/>
      <c r="AQ176" s="139" t="s">
        <v>2828</v>
      </c>
      <c r="AR176" s="139" t="s">
        <v>2358</v>
      </c>
      <c r="AS176" s="141" t="s">
        <v>2829</v>
      </c>
    </row>
    <row r="177" ht="15.75" customHeight="1">
      <c r="B177" s="147" t="s">
        <v>2329</v>
      </c>
      <c r="C177" s="147"/>
      <c r="D177" s="36" t="s">
        <v>2635</v>
      </c>
      <c r="E177" s="32" t="str">
        <f>IFERROR(__xludf.DUMMYFUNCTION("IF(ISBLANK(D177), """", GOOGLETRANSLATE(D177, ""es"", ""en""))"),"MICM classification description")</f>
        <v>MICM classification description</v>
      </c>
      <c r="G177" s="141">
        <v>7.0000662E8</v>
      </c>
      <c r="H177" s="141">
        <v>663.0</v>
      </c>
      <c r="I177" s="141">
        <v>40736.0</v>
      </c>
      <c r="J177" s="139" t="s">
        <v>2960</v>
      </c>
      <c r="K177" s="141">
        <v>1.11909396E8</v>
      </c>
      <c r="L177" s="139" t="s">
        <v>2819</v>
      </c>
      <c r="M177" s="139" t="s">
        <v>2365</v>
      </c>
      <c r="N177" s="139" t="s">
        <v>2353</v>
      </c>
      <c r="O177" s="139" t="s">
        <v>2820</v>
      </c>
      <c r="P177" s="139" t="s">
        <v>2821</v>
      </c>
      <c r="Q177" s="139"/>
      <c r="R177" s="141" t="s">
        <v>2961</v>
      </c>
      <c r="S177" s="139"/>
      <c r="T177" s="139"/>
      <c r="U177" s="139" t="s">
        <v>67</v>
      </c>
      <c r="V177" s="141" t="s">
        <v>2962</v>
      </c>
      <c r="W177" s="139" t="s">
        <v>2441</v>
      </c>
      <c r="X177" s="139" t="s">
        <v>423</v>
      </c>
      <c r="Y177" s="139"/>
      <c r="Z177" s="139" t="s">
        <v>2946</v>
      </c>
      <c r="AA177" s="139" t="s">
        <v>2963</v>
      </c>
      <c r="AB177" s="139"/>
      <c r="AC177" s="139" t="s">
        <v>2964</v>
      </c>
      <c r="AD177" s="139" t="s">
        <v>2964</v>
      </c>
      <c r="AE177" s="139" t="s">
        <v>2965</v>
      </c>
      <c r="AF177" s="139" t="s">
        <v>2359</v>
      </c>
      <c r="AG177" s="139" t="s">
        <v>920</v>
      </c>
      <c r="AH177" s="139" t="s">
        <v>932</v>
      </c>
      <c r="AI177" s="157" t="s">
        <v>932</v>
      </c>
      <c r="AJ177" s="22"/>
      <c r="AK177" s="139" t="s">
        <v>2942</v>
      </c>
      <c r="AL177" s="139"/>
      <c r="AM177" s="143" t="s">
        <v>2966</v>
      </c>
      <c r="AN177" s="139" t="s">
        <v>2440</v>
      </c>
      <c r="AO177" s="157" t="s">
        <v>2371</v>
      </c>
      <c r="AP177" s="22"/>
      <c r="AQ177" s="139" t="s">
        <v>2828</v>
      </c>
      <c r="AR177" s="139" t="s">
        <v>2358</v>
      </c>
      <c r="AS177" s="141" t="s">
        <v>2829</v>
      </c>
    </row>
    <row r="178" ht="15.75" customHeight="1">
      <c r="B178" s="147" t="s">
        <v>2805</v>
      </c>
      <c r="C178" s="147" t="s">
        <v>423</v>
      </c>
      <c r="D178" s="36" t="s">
        <v>2967</v>
      </c>
      <c r="E178" s="32" t="str">
        <f>IFERROR(__xludf.DUMMYFUNCTION("IF(ISBLANK(D178), """", GOOGLETRANSLATE(D178, ""es"", ""en""))"),"Is it a national producer?")</f>
        <v>Is it a national producer?</v>
      </c>
      <c r="G178" s="141">
        <v>7.00009699E8</v>
      </c>
      <c r="H178" s="141">
        <v>970.0</v>
      </c>
      <c r="I178" s="141">
        <v>51476.0</v>
      </c>
      <c r="J178" s="139" t="s">
        <v>2968</v>
      </c>
      <c r="K178" s="141">
        <v>2.0096695E8</v>
      </c>
      <c r="L178" s="139" t="s">
        <v>2819</v>
      </c>
      <c r="M178" s="139" t="s">
        <v>2365</v>
      </c>
      <c r="N178" s="139" t="s">
        <v>2353</v>
      </c>
      <c r="O178" s="139" t="s">
        <v>2820</v>
      </c>
      <c r="P178" s="139" t="s">
        <v>2821</v>
      </c>
      <c r="Q178" s="139"/>
      <c r="R178" s="142">
        <v>42250.333333333336</v>
      </c>
      <c r="S178" s="139"/>
      <c r="T178" s="139"/>
      <c r="U178" s="139" t="s">
        <v>423</v>
      </c>
      <c r="V178" s="139"/>
      <c r="W178" s="139"/>
      <c r="X178" s="139" t="s">
        <v>423</v>
      </c>
      <c r="Y178" s="139"/>
      <c r="Z178" s="139" t="s">
        <v>2969</v>
      </c>
      <c r="AA178" s="139" t="s">
        <v>2970</v>
      </c>
      <c r="AB178" s="139"/>
      <c r="AC178" s="139" t="s">
        <v>2971</v>
      </c>
      <c r="AD178" s="157" t="s">
        <v>2971</v>
      </c>
      <c r="AE178" s="22"/>
      <c r="AF178" s="139" t="s">
        <v>2359</v>
      </c>
      <c r="AG178" s="139" t="s">
        <v>920</v>
      </c>
      <c r="AH178" s="139" t="s">
        <v>921</v>
      </c>
      <c r="AI178" s="157" t="s">
        <v>2495</v>
      </c>
      <c r="AJ178" s="22"/>
      <c r="AK178" s="139" t="s">
        <v>2178</v>
      </c>
      <c r="AL178" s="139"/>
      <c r="AM178" s="143" t="s">
        <v>2972</v>
      </c>
      <c r="AN178" s="139" t="s">
        <v>2356</v>
      </c>
      <c r="AO178" s="139" t="s">
        <v>2827</v>
      </c>
      <c r="AP178" s="139"/>
      <c r="AQ178" s="139" t="s">
        <v>2828</v>
      </c>
      <c r="AR178" s="139" t="s">
        <v>2358</v>
      </c>
      <c r="AS178" s="141" t="s">
        <v>2829</v>
      </c>
    </row>
    <row r="179" ht="15.75" customHeight="1">
      <c r="B179" s="147" t="s">
        <v>2806</v>
      </c>
      <c r="C179" s="147"/>
      <c r="D179" s="36" t="s">
        <v>2973</v>
      </c>
      <c r="E179" s="32" t="str">
        <f>IFERROR(__xludf.DUMMYFUNCTION("IF(ISBLANK(D179), """", GOOGLETRANSLATE(D179, ""es"", ""en""))"),"Industrial Registration")</f>
        <v>Industrial Registration</v>
      </c>
      <c r="G179" s="141">
        <v>7.00009715E8</v>
      </c>
      <c r="H179" s="141">
        <v>972.0</v>
      </c>
      <c r="I179" s="141">
        <v>51474.0</v>
      </c>
      <c r="J179" s="139" t="s">
        <v>2974</v>
      </c>
      <c r="K179" s="141">
        <v>1.05510887E8</v>
      </c>
      <c r="L179" s="139" t="s">
        <v>2819</v>
      </c>
      <c r="M179" s="139" t="s">
        <v>2365</v>
      </c>
      <c r="N179" s="139" t="s">
        <v>2353</v>
      </c>
      <c r="O179" s="139" t="s">
        <v>2820</v>
      </c>
      <c r="P179" s="139" t="s">
        <v>2821</v>
      </c>
      <c r="Q179" s="139"/>
      <c r="R179" s="142">
        <v>42250.333333333336</v>
      </c>
      <c r="S179" s="139"/>
      <c r="T179" s="139"/>
      <c r="U179" s="139" t="s">
        <v>423</v>
      </c>
      <c r="V179" s="139"/>
      <c r="W179" s="139"/>
      <c r="X179" s="139" t="s">
        <v>423</v>
      </c>
      <c r="Y179" s="139"/>
      <c r="Z179" s="139" t="s">
        <v>2946</v>
      </c>
      <c r="AA179" s="139" t="s">
        <v>2975</v>
      </c>
      <c r="AB179" s="139"/>
      <c r="AC179" s="139" t="s">
        <v>2976</v>
      </c>
      <c r="AD179" s="157" t="s">
        <v>2976</v>
      </c>
      <c r="AE179" s="22"/>
      <c r="AF179" s="139" t="s">
        <v>2359</v>
      </c>
      <c r="AG179" s="139" t="s">
        <v>920</v>
      </c>
      <c r="AH179" s="139" t="s">
        <v>932</v>
      </c>
      <c r="AI179" s="157" t="s">
        <v>932</v>
      </c>
      <c r="AJ179" s="22"/>
      <c r="AK179" s="139" t="s">
        <v>2942</v>
      </c>
      <c r="AL179" s="139"/>
      <c r="AM179" s="143" t="s">
        <v>2977</v>
      </c>
      <c r="AN179" s="139" t="s">
        <v>2356</v>
      </c>
      <c r="AO179" s="139" t="s">
        <v>2827</v>
      </c>
      <c r="AP179" s="139"/>
      <c r="AQ179" s="139" t="s">
        <v>2828</v>
      </c>
      <c r="AR179" s="139" t="s">
        <v>2358</v>
      </c>
      <c r="AS179" s="141" t="s">
        <v>2829</v>
      </c>
    </row>
    <row r="180" ht="15.75" customHeight="1">
      <c r="B180" s="147" t="s">
        <v>2807</v>
      </c>
      <c r="C180" s="147" t="s">
        <v>2823</v>
      </c>
      <c r="D180" s="36" t="s">
        <v>2978</v>
      </c>
      <c r="E180" s="32" t="str">
        <f>IFERROR(__xludf.DUMMYFUNCTION("IF(ISBLANK(D180), """", GOOGLETRANSLATE(D180, ""es"", ""en""))"),"Provider Occupation Description")</f>
        <v>Provider Occupation Description</v>
      </c>
      <c r="G180" s="141">
        <v>7.0000978E8</v>
      </c>
      <c r="H180" s="141">
        <v>979.0</v>
      </c>
      <c r="I180" s="141">
        <v>51467.0</v>
      </c>
      <c r="J180" s="139" t="s">
        <v>2979</v>
      </c>
      <c r="K180" s="141">
        <v>1.11361416E8</v>
      </c>
      <c r="L180" s="139" t="s">
        <v>2819</v>
      </c>
      <c r="M180" s="139" t="s">
        <v>2365</v>
      </c>
      <c r="N180" s="139" t="s">
        <v>2397</v>
      </c>
      <c r="O180" s="139" t="s">
        <v>2820</v>
      </c>
      <c r="P180" s="139" t="s">
        <v>2821</v>
      </c>
      <c r="Q180" s="139"/>
      <c r="R180" s="142">
        <v>42250.333333333336</v>
      </c>
      <c r="S180" s="139"/>
      <c r="T180" s="139"/>
      <c r="U180" s="139" t="s">
        <v>423</v>
      </c>
      <c r="V180" s="139"/>
      <c r="W180" s="139"/>
      <c r="X180" s="139" t="s">
        <v>423</v>
      </c>
      <c r="Y180" s="139"/>
      <c r="Z180" s="139" t="s">
        <v>2980</v>
      </c>
      <c r="AA180" s="139" t="s">
        <v>2981</v>
      </c>
      <c r="AB180" s="139"/>
      <c r="AC180" s="139" t="s">
        <v>2982</v>
      </c>
      <c r="AD180" s="139" t="s">
        <v>2982</v>
      </c>
      <c r="AE180" s="139" t="s">
        <v>2983</v>
      </c>
      <c r="AF180" s="139" t="s">
        <v>2359</v>
      </c>
      <c r="AG180" s="139" t="s">
        <v>920</v>
      </c>
      <c r="AH180" s="139" t="s">
        <v>921</v>
      </c>
      <c r="AI180" s="157" t="s">
        <v>2405</v>
      </c>
      <c r="AJ180" s="22"/>
      <c r="AK180" s="139" t="s">
        <v>2178</v>
      </c>
      <c r="AL180" s="139"/>
      <c r="AM180" s="143" t="s">
        <v>2984</v>
      </c>
      <c r="AN180" s="139" t="s">
        <v>2356</v>
      </c>
      <c r="AO180" s="139" t="s">
        <v>2827</v>
      </c>
      <c r="AP180" s="139"/>
      <c r="AQ180" s="139" t="s">
        <v>2828</v>
      </c>
      <c r="AR180" s="139" t="s">
        <v>2358</v>
      </c>
      <c r="AS180" s="141" t="s">
        <v>2829</v>
      </c>
    </row>
    <row r="181" ht="15.75" customHeight="1">
      <c r="B181" s="147" t="s">
        <v>2808</v>
      </c>
      <c r="C181" s="147" t="s">
        <v>2824</v>
      </c>
      <c r="D181" s="36" t="s">
        <v>2985</v>
      </c>
      <c r="E181" s="32" t="str">
        <f>IFERROR(__xludf.DUMMYFUNCTION("IF(ISBLANK(D181), """", GOOGLETRANSLATE(D181, ""es"", ""en""))"),"Supplier contact telephone number")</f>
        <v>Supplier contact telephone number</v>
      </c>
    </row>
    <row r="182" ht="15.75" customHeight="1">
      <c r="B182" s="147" t="s">
        <v>2809</v>
      </c>
      <c r="C182" s="147"/>
      <c r="D182" s="36" t="s">
        <v>2986</v>
      </c>
      <c r="E182" s="32" t="str">
        <f>IFERROR(__xludf.DUMMYFUNCTION("IF(ISBLANK(D182), """", GOOGLETRANSLATE(D182, ""es"", ""en""))"),"Business Telephone Number")</f>
        <v>Business Telephone Number</v>
      </c>
    </row>
    <row r="183" ht="15.75" customHeight="1">
      <c r="B183" s="147" t="s">
        <v>2810</v>
      </c>
      <c r="C183" s="147" t="s">
        <v>2825</v>
      </c>
      <c r="D183" s="36" t="s">
        <v>2987</v>
      </c>
      <c r="E183" s="32" t="str">
        <f>IFERROR(__xludf.DUMMYFUNCTION("IF(ISBLANK(D183), """", GOOGLETRANSLATE(D183, ""es"", ""en""))"),"Business Email")</f>
        <v>Business Email</v>
      </c>
    </row>
    <row r="184" ht="15.75" customHeight="1">
      <c r="B184" s="147" t="s">
        <v>2811</v>
      </c>
      <c r="C184" s="147" t="s">
        <v>2825</v>
      </c>
      <c r="D184" s="36" t="s">
        <v>2988</v>
      </c>
      <c r="E184" s="32" t="str">
        <f>IFERROR(__xludf.DUMMYFUNCTION("IF(ISBLANK(D184), """", GOOGLETRANSLATE(D184, ""es"", ""en""))"),"Email for notifications")</f>
        <v>Email for notifications</v>
      </c>
    </row>
    <row r="185" ht="15.75" customHeight="1">
      <c r="B185" s="147" t="s">
        <v>2812</v>
      </c>
      <c r="C185" s="36"/>
      <c r="D185" s="36" t="s">
        <v>2989</v>
      </c>
      <c r="E185" s="32" t="str">
        <f>IFERROR(__xludf.DUMMYFUNCTION("IF(ISBLANK(D185), """", GOOGLETRANSLATE(D185, ""es"", ""en""))"),"Supplier address")</f>
        <v>Supplier address</v>
      </c>
    </row>
    <row r="186" ht="15.75" customHeight="1">
      <c r="B186" s="147" t="s">
        <v>2328</v>
      </c>
      <c r="C186" s="147" t="s">
        <v>2359</v>
      </c>
      <c r="D186" s="36" t="s">
        <v>2990</v>
      </c>
      <c r="E186" s="32" t="str">
        <f>IFERROR(__xludf.DUMMYFUNCTION("IF(ISBLANK(D186), """", GOOGLETRANSLATE(D186, ""es"", ""en""))"),"Name of the country of origin of the supplier")</f>
        <v>Name of the country of origin of the supplier</v>
      </c>
    </row>
    <row r="187" ht="15.75" customHeight="1">
      <c r="B187" s="147" t="s">
        <v>2326</v>
      </c>
      <c r="C187" s="147" t="s">
        <v>920</v>
      </c>
      <c r="D187" s="36" t="s">
        <v>2633</v>
      </c>
      <c r="E187" s="32" t="str">
        <f>IFERROR(__xludf.DUMMYFUNCTION("IF(ISBLANK(D187), """", GOOGLETRANSLATE(D187, ""es"", ""en""))"),"Region name")</f>
        <v>Region name</v>
      </c>
    </row>
    <row r="188" ht="15.75" customHeight="1">
      <c r="B188" s="147" t="s">
        <v>2325</v>
      </c>
      <c r="C188" s="147" t="s">
        <v>921</v>
      </c>
      <c r="D188" s="36" t="s">
        <v>2632</v>
      </c>
      <c r="E188" s="32" t="str">
        <f>IFERROR(__xludf.DUMMYFUNCTION("IF(ISBLANK(D188), """", GOOGLETRANSLATE(D188, ""es"", ""en""))"),"Province name")</f>
        <v>Province name</v>
      </c>
    </row>
    <row r="189" ht="15.75" customHeight="1">
      <c r="B189" s="147" t="s">
        <v>2324</v>
      </c>
      <c r="C189" s="147" t="s">
        <v>2495</v>
      </c>
      <c r="D189" s="36" t="s">
        <v>2631</v>
      </c>
      <c r="E189" s="32" t="str">
        <f>IFERROR(__xludf.DUMMYFUNCTION("IF(ISBLANK(D189), """", GOOGLETRANSLATE(D189, ""es"", ""en""))"),"Municipality name")</f>
        <v>Municipality name</v>
      </c>
    </row>
    <row r="190" ht="15.75" customHeight="1">
      <c r="B190" s="147" t="s">
        <v>2813</v>
      </c>
      <c r="C190" s="36"/>
      <c r="D190" s="36" t="s">
        <v>2991</v>
      </c>
      <c r="E190" s="32" t="str">
        <f>IFERROR(__xludf.DUMMYFUNCTION("IF(ISBLANK(D190), """", GOOGLETRANSLATE(D190, ""es"", ""en""))"),"Municipal District")</f>
        <v>Municipal District</v>
      </c>
    </row>
    <row r="191" ht="15.75" customHeight="1">
      <c r="B191" s="147" t="s">
        <v>2814</v>
      </c>
      <c r="C191" s="147" t="s">
        <v>2178</v>
      </c>
      <c r="D191" s="36" t="s">
        <v>2992</v>
      </c>
      <c r="E191" s="32" t="str">
        <f>IFERROR(__xludf.DUMMYFUNCTION("IF(ISBLANK(D191), """", GOOGLETRANSLATE(D191, ""es"", ""en""))"),"Product or service provider?")</f>
        <v>Product or service provider?</v>
      </c>
    </row>
    <row r="192" ht="15.75" customHeight="1">
      <c r="B192" s="147" t="s">
        <v>2815</v>
      </c>
      <c r="C192" s="147"/>
      <c r="D192" s="36" t="s">
        <v>2993</v>
      </c>
      <c r="E192" s="32" t="str">
        <f>IFERROR(__xludf.DUMMYFUNCTION("IF(ISBLANK(D192), """", GOOGLETRANSLATE(D192, ""es"", ""en""))"),"Contact Telephone Number")</f>
        <v>Contact Telephone Number</v>
      </c>
    </row>
    <row r="193" ht="15.75" customHeight="1">
      <c r="B193" s="147" t="s">
        <v>2816</v>
      </c>
      <c r="C193" s="161" t="s">
        <v>2826</v>
      </c>
      <c r="D193" s="36"/>
      <c r="E193" s="32" t="str">
        <f>IFERROR(__xludf.DUMMYFUNCTION("IF(ISBLANK(D193), """", GOOGLETRANSLATE(D193, ""es"", ""en""))"),"")</f>
        <v/>
      </c>
    </row>
    <row r="194" ht="15.75" customHeight="1">
      <c r="B194" s="147" t="s">
        <v>2322</v>
      </c>
      <c r="C194" s="147" t="s">
        <v>2356</v>
      </c>
      <c r="D194" s="36" t="s">
        <v>2629</v>
      </c>
      <c r="E194" s="32" t="str">
        <f>IFERROR(__xludf.DUMMYFUNCTION("IF(ISBLANK(D194), """", GOOGLETRANSLATE(D194, ""es"", ""en""))"),"Level 1 Business Classification")</f>
        <v>Level 1 Business Classification</v>
      </c>
    </row>
    <row r="195" ht="15.75" customHeight="1">
      <c r="B195" s="147" t="s">
        <v>2323</v>
      </c>
      <c r="C195" s="147" t="s">
        <v>2827</v>
      </c>
      <c r="D195" s="36" t="s">
        <v>2630</v>
      </c>
      <c r="E195" s="32" t="str">
        <f>IFERROR(__xludf.DUMMYFUNCTION("IF(ISBLANK(D195), """", GOOGLETRANSLATE(D195, ""es"", ""en""))"),"Level 2 Business Classification")</f>
        <v>Level 2 Business Classification</v>
      </c>
    </row>
    <row r="196" ht="15.75" customHeight="1">
      <c r="B196" s="147" t="s">
        <v>2817</v>
      </c>
      <c r="C196" s="147"/>
      <c r="D196" s="36"/>
      <c r="E196" s="32" t="str">
        <f>IFERROR(__xludf.DUMMYFUNCTION("IF(ISBLANK(D196), """", GOOGLETRANSLATE(D196, ""es"", ""en""))"),"")</f>
        <v/>
      </c>
    </row>
    <row r="197" ht="15.75" customHeight="1">
      <c r="B197" s="147" t="s">
        <v>1995</v>
      </c>
      <c r="C197" s="147" t="s">
        <v>2828</v>
      </c>
      <c r="D197" s="36" t="s">
        <v>2994</v>
      </c>
      <c r="E197" s="32" t="str">
        <f>IFERROR(__xludf.DUMMYFUNCTION("IF(ISBLANK(D197), """", GOOGLETRANSLATE(D197, ""es"", ""en""))"),"Last modified date")</f>
        <v>Last modified date</v>
      </c>
    </row>
    <row r="198" ht="15.75" customHeight="1">
      <c r="B198" s="147" t="s">
        <v>2327</v>
      </c>
      <c r="C198" s="147" t="s">
        <v>2358</v>
      </c>
      <c r="D198" s="36" t="s">
        <v>2634</v>
      </c>
      <c r="E198" s="32" t="str">
        <f>IFERROR(__xludf.DUMMYFUNCTION("IF(ISBLANK(D198), """", GOOGLETRANSLATE(D198, ""es"", ""en""))"),"Name of the Macroregion")</f>
        <v>Name of the Macroregion</v>
      </c>
    </row>
    <row r="199" ht="15.75" customHeight="1">
      <c r="B199" s="147" t="s">
        <v>1999</v>
      </c>
      <c r="C199" s="147" t="s">
        <v>2829</v>
      </c>
      <c r="D199" s="36" t="s">
        <v>2290</v>
      </c>
      <c r="E199" s="32" t="str">
        <f>IFERROR(__xludf.DUMMYFUNCTION("IF(ISBLANK(D199), """", GOOGLETRANSLATE(D199, ""es"", ""en""))"),"Update date")</f>
        <v>Update date</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1">
    <mergeCell ref="B6:C6"/>
    <mergeCell ref="D6:E6"/>
    <mergeCell ref="B50:C50"/>
    <mergeCell ref="D50:E50"/>
    <mergeCell ref="B107:C107"/>
    <mergeCell ref="D107:E107"/>
    <mergeCell ref="AI161:AJ161"/>
    <mergeCell ref="AD161:AE161"/>
    <mergeCell ref="AI162:AJ162"/>
    <mergeCell ref="AO162:AP162"/>
    <mergeCell ref="AI163:AJ163"/>
    <mergeCell ref="AO163:AP163"/>
    <mergeCell ref="AI164:AJ164"/>
    <mergeCell ref="AO164:AP164"/>
    <mergeCell ref="AO167:AP167"/>
    <mergeCell ref="AO168:AP168"/>
    <mergeCell ref="AO171:AP171"/>
    <mergeCell ref="AO172:AP172"/>
    <mergeCell ref="AO173:AP173"/>
    <mergeCell ref="AO174:AP174"/>
    <mergeCell ref="AO177:AP177"/>
    <mergeCell ref="AI165:AJ165"/>
    <mergeCell ref="AK165:AL165"/>
    <mergeCell ref="AI166:AJ166"/>
    <mergeCell ref="AK166:AL166"/>
    <mergeCell ref="AO166:AP166"/>
    <mergeCell ref="AI167:AJ167"/>
    <mergeCell ref="AI168:AJ168"/>
    <mergeCell ref="AD175:AE175"/>
    <mergeCell ref="AD176:AE176"/>
    <mergeCell ref="AD178:AE178"/>
    <mergeCell ref="AD179:AE179"/>
    <mergeCell ref="AD162:AE162"/>
    <mergeCell ref="AD165:AE165"/>
    <mergeCell ref="AD167:AE167"/>
    <mergeCell ref="AD168:AE168"/>
    <mergeCell ref="AD172:AE172"/>
    <mergeCell ref="AD173:AE173"/>
    <mergeCell ref="AD174:AF174"/>
    <mergeCell ref="AI176:AJ176"/>
    <mergeCell ref="AI177:AJ177"/>
    <mergeCell ref="AI178:AJ178"/>
    <mergeCell ref="AI179:AJ179"/>
    <mergeCell ref="AI180:AJ180"/>
    <mergeCell ref="AI169:AJ169"/>
    <mergeCell ref="AO169:AP169"/>
    <mergeCell ref="AI170:AJ170"/>
    <mergeCell ref="AO170:AP170"/>
    <mergeCell ref="AI175:AJ175"/>
    <mergeCell ref="AO175:AP175"/>
    <mergeCell ref="AO176:AP176"/>
  </mergeCells>
  <hyperlinks>
    <hyperlink r:id="rId1" ref="B2"/>
    <hyperlink r:id="rId2" ref="B5"/>
    <hyperlink r:id="rId3" ref="AN8"/>
    <hyperlink r:id="rId4" ref="AN9"/>
    <hyperlink r:id="rId5" ref="AN10"/>
    <hyperlink r:id="rId6" ref="AN11"/>
    <hyperlink r:id="rId7" ref="AN12"/>
    <hyperlink r:id="rId8" ref="AN13"/>
    <hyperlink r:id="rId9" ref="AN14"/>
    <hyperlink r:id="rId10" ref="AN15"/>
    <hyperlink r:id="rId11" ref="AN16"/>
    <hyperlink r:id="rId12" ref="AN17"/>
    <hyperlink r:id="rId13" ref="AN18"/>
    <hyperlink r:id="rId14" ref="AN19"/>
    <hyperlink r:id="rId15" ref="AN20"/>
    <hyperlink r:id="rId16" ref="AN21"/>
    <hyperlink r:id="rId17" ref="AN22"/>
    <hyperlink r:id="rId18" ref="AN23"/>
    <hyperlink r:id="rId19" ref="AN24"/>
    <hyperlink r:id="rId20" ref="AN25"/>
    <hyperlink r:id="rId21" ref="AN26"/>
    <hyperlink r:id="rId22" ref="AN27"/>
    <hyperlink r:id="rId23" ref="AN28"/>
    <hyperlink r:id="rId24" ref="AN29"/>
    <hyperlink r:id="rId25" ref="AN30"/>
    <hyperlink r:id="rId26" ref="AN31"/>
    <hyperlink r:id="rId27" ref="AN32"/>
    <hyperlink r:id="rId28" ref="C41"/>
    <hyperlink r:id="rId29" ref="B49"/>
    <hyperlink r:id="rId30" ref="AH52"/>
    <hyperlink r:id="rId31" ref="AM52"/>
    <hyperlink r:id="rId32" ref="AH53"/>
    <hyperlink r:id="rId33" ref="AM53"/>
    <hyperlink r:id="rId34" ref="AH54"/>
    <hyperlink r:id="rId35" ref="AM54"/>
    <hyperlink r:id="rId36" ref="AH55"/>
    <hyperlink r:id="rId37" ref="AM55"/>
    <hyperlink r:id="rId38" ref="AH56"/>
    <hyperlink r:id="rId39" ref="AM56"/>
    <hyperlink r:id="rId40" ref="AH57"/>
    <hyperlink r:id="rId41" ref="AM57"/>
    <hyperlink r:id="rId42" ref="AH58"/>
    <hyperlink r:id="rId43" ref="AM58"/>
    <hyperlink r:id="rId44" ref="AH59"/>
    <hyperlink r:id="rId45" ref="AM59"/>
    <hyperlink r:id="rId46" ref="AH60"/>
    <hyperlink r:id="rId47" ref="AM60"/>
    <hyperlink r:id="rId48" ref="AH61"/>
    <hyperlink r:id="rId49" ref="AM61"/>
    <hyperlink r:id="rId50" ref="AH62"/>
    <hyperlink r:id="rId51" ref="AM62"/>
    <hyperlink r:id="rId52" ref="AH63"/>
    <hyperlink r:id="rId53" ref="AM63"/>
    <hyperlink r:id="rId54" ref="AH64"/>
    <hyperlink r:id="rId55" ref="AM64"/>
    <hyperlink r:id="rId56" ref="AH65"/>
    <hyperlink r:id="rId57" ref="AM65"/>
    <hyperlink r:id="rId58" ref="AH66"/>
    <hyperlink r:id="rId59" ref="AM66"/>
    <hyperlink r:id="rId60" ref="AH67"/>
    <hyperlink r:id="rId61" ref="AM67"/>
    <hyperlink r:id="rId62" ref="AH68"/>
    <hyperlink r:id="rId63" ref="AM68"/>
    <hyperlink r:id="rId64" ref="AH69"/>
    <hyperlink r:id="rId65" ref="AM69"/>
    <hyperlink r:id="rId66" ref="AH70"/>
    <hyperlink r:id="rId67" ref="AM70"/>
    <hyperlink r:id="rId68" ref="AH71"/>
    <hyperlink r:id="rId69" ref="AM71"/>
    <hyperlink r:id="rId70" ref="AH72"/>
    <hyperlink r:id="rId71" ref="AM72"/>
    <hyperlink r:id="rId72" ref="AH73"/>
    <hyperlink r:id="rId73" ref="AM73"/>
    <hyperlink r:id="rId74" ref="AH74"/>
    <hyperlink r:id="rId75" ref="AM74"/>
    <hyperlink r:id="rId76" ref="AH75"/>
    <hyperlink r:id="rId77" ref="AM75"/>
    <hyperlink r:id="rId78" ref="AH76"/>
    <hyperlink r:id="rId79" ref="AM76"/>
    <hyperlink r:id="rId80" ref="C79"/>
    <hyperlink r:id="rId81" ref="C84"/>
    <hyperlink r:id="rId82" ref="B106"/>
    <hyperlink r:id="rId83" ref="B125"/>
    <hyperlink r:id="rId84" ref="B158"/>
    <hyperlink r:id="rId85" ref="AM161"/>
    <hyperlink r:id="rId86" ref="AM162"/>
    <hyperlink r:id="rId87" ref="AM163"/>
    <hyperlink r:id="rId88" ref="AM164"/>
    <hyperlink r:id="rId89" ref="AM165"/>
    <hyperlink r:id="rId90" ref="AM166"/>
    <hyperlink r:id="rId91" ref="AM167"/>
    <hyperlink r:id="rId92" ref="AM168"/>
    <hyperlink r:id="rId93" ref="AM169"/>
    <hyperlink r:id="rId94" ref="AM170"/>
    <hyperlink r:id="rId95" ref="AM171"/>
    <hyperlink r:id="rId96" ref="AM172"/>
    <hyperlink r:id="rId97" ref="AM173"/>
    <hyperlink r:id="rId98" ref="AM174"/>
    <hyperlink r:id="rId99" ref="AM175"/>
    <hyperlink r:id="rId100" ref="AM176"/>
    <hyperlink r:id="rId101" ref="AM177"/>
    <hyperlink r:id="rId102" ref="AM178"/>
    <hyperlink r:id="rId103" ref="AM179"/>
    <hyperlink r:id="rId104" ref="AM180"/>
    <hyperlink r:id="rId105" ref="C193"/>
  </hyperlinks>
  <drawing r:id="rId10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0"/>
  <cols>
    <col customWidth="1" min="1" max="1" width="5.75"/>
    <col customWidth="1" min="2" max="6" width="33.5"/>
    <col customWidth="1" min="7" max="7" width="39.25"/>
    <col customWidth="1" min="8" max="8" width="22.25"/>
    <col customWidth="1" min="9" max="9" width="46.25"/>
    <col customWidth="1" min="10" max="11" width="39.25"/>
  </cols>
  <sheetData>
    <row r="1" ht="15.75" customHeight="1"/>
    <row r="2" ht="15.75" customHeight="1">
      <c r="G2" s="71" t="s">
        <v>2995</v>
      </c>
      <c r="H2" s="20"/>
      <c r="I2" s="20"/>
      <c r="J2" s="20"/>
      <c r="K2" s="22"/>
      <c r="M2" s="128" t="s">
        <v>33</v>
      </c>
    </row>
    <row r="3" ht="15.75" customHeight="1">
      <c r="G3" s="113"/>
      <c r="H3" s="20"/>
      <c r="I3" s="22"/>
      <c r="J3" s="113"/>
      <c r="K3" s="22"/>
    </row>
    <row r="4" ht="15.75" customHeight="1">
      <c r="B4" s="73" t="s">
        <v>1291</v>
      </c>
      <c r="C4" s="74" t="s">
        <v>1287</v>
      </c>
      <c r="D4" s="74" t="s">
        <v>1288</v>
      </c>
      <c r="E4" s="74" t="s">
        <v>1289</v>
      </c>
      <c r="F4" s="74" t="s">
        <v>1290</v>
      </c>
      <c r="G4" s="75" t="s">
        <v>1291</v>
      </c>
      <c r="H4" s="75" t="s">
        <v>1292</v>
      </c>
      <c r="I4" s="75" t="s">
        <v>40</v>
      </c>
      <c r="J4" s="76" t="s">
        <v>1426</v>
      </c>
      <c r="K4" s="76" t="s">
        <v>1427</v>
      </c>
      <c r="M4" s="6" t="s">
        <v>2996</v>
      </c>
      <c r="N4" s="6" t="s">
        <v>2997</v>
      </c>
      <c r="O4" s="6" t="s">
        <v>2998</v>
      </c>
      <c r="P4" s="6" t="s">
        <v>2999</v>
      </c>
      <c r="Q4" s="6" t="s">
        <v>3000</v>
      </c>
      <c r="R4" s="6" t="s">
        <v>3001</v>
      </c>
      <c r="S4" s="6" t="s">
        <v>3002</v>
      </c>
      <c r="T4" s="6" t="s">
        <v>1492</v>
      </c>
      <c r="U4" s="6" t="s">
        <v>3003</v>
      </c>
      <c r="V4" s="6" t="s">
        <v>1402</v>
      </c>
      <c r="W4" s="6" t="s">
        <v>1464</v>
      </c>
      <c r="X4" s="6" t="s">
        <v>1497</v>
      </c>
      <c r="Y4" s="6" t="s">
        <v>1388</v>
      </c>
      <c r="Z4" s="6" t="s">
        <v>3004</v>
      </c>
      <c r="AA4" s="6" t="s">
        <v>1508</v>
      </c>
      <c r="AB4" s="6" t="s">
        <v>3005</v>
      </c>
      <c r="AC4" s="6" t="s">
        <v>1380</v>
      </c>
      <c r="AD4" s="6" t="s">
        <v>3006</v>
      </c>
      <c r="AE4" s="6" t="s">
        <v>3007</v>
      </c>
      <c r="AF4" s="6" t="s">
        <v>1398</v>
      </c>
    </row>
    <row r="5" ht="15.75" customHeight="1">
      <c r="B5" s="78" t="s">
        <v>3008</v>
      </c>
      <c r="C5" s="30" t="s">
        <v>3009</v>
      </c>
      <c r="D5" s="30" t="s">
        <v>1296</v>
      </c>
      <c r="E5" s="30" t="s">
        <v>1616</v>
      </c>
      <c r="F5" s="30" t="s">
        <v>1625</v>
      </c>
      <c r="G5" s="78" t="s">
        <v>3008</v>
      </c>
      <c r="H5" s="36" t="s">
        <v>2996</v>
      </c>
      <c r="I5" s="36" t="s">
        <v>3010</v>
      </c>
      <c r="J5" s="32" t="s">
        <v>3011</v>
      </c>
      <c r="K5" s="31" t="str">
        <f>IFERROR(__xludf.DUMMYFUNCTION("IF(ISBLANK(J5), """", GOOGLETRANSLATE(J5, ""es"", ""en""))"),"emergency name")</f>
        <v>emergency name</v>
      </c>
      <c r="M5" s="30" t="s">
        <v>3010</v>
      </c>
      <c r="N5" s="30" t="s">
        <v>3012</v>
      </c>
      <c r="O5" s="30" t="s">
        <v>141</v>
      </c>
      <c r="P5" s="30" t="s">
        <v>141</v>
      </c>
      <c r="Q5" s="30" t="s">
        <v>3013</v>
      </c>
      <c r="R5" s="30" t="s">
        <v>3014</v>
      </c>
      <c r="S5" s="30" t="s">
        <v>3015</v>
      </c>
      <c r="T5" s="30" t="s">
        <v>3016</v>
      </c>
      <c r="U5" s="30" t="s">
        <v>970</v>
      </c>
      <c r="V5" s="30">
        <v>2022.0</v>
      </c>
      <c r="W5" s="30" t="s">
        <v>3017</v>
      </c>
      <c r="X5" s="30" t="s">
        <v>1030</v>
      </c>
      <c r="Y5" s="30" t="s">
        <v>3018</v>
      </c>
      <c r="Z5" s="30" t="s">
        <v>3019</v>
      </c>
      <c r="AA5" s="30" t="s">
        <v>3020</v>
      </c>
      <c r="AB5" s="30" t="s">
        <v>1109</v>
      </c>
      <c r="AC5" s="30" t="s">
        <v>3021</v>
      </c>
      <c r="AD5" s="30" t="s">
        <v>1109</v>
      </c>
      <c r="AE5" s="30" t="s">
        <v>3022</v>
      </c>
      <c r="AF5" s="30">
        <v>3.5952928E8</v>
      </c>
    </row>
    <row r="6" ht="15.75" customHeight="1">
      <c r="B6" s="78" t="s">
        <v>3008</v>
      </c>
      <c r="C6" s="30" t="s">
        <v>3023</v>
      </c>
      <c r="D6" s="30" t="s">
        <v>1296</v>
      </c>
      <c r="E6" s="30" t="s">
        <v>974</v>
      </c>
      <c r="F6" s="30" t="s">
        <v>1659</v>
      </c>
      <c r="G6" s="78" t="s">
        <v>3008</v>
      </c>
      <c r="H6" s="36" t="s">
        <v>2997</v>
      </c>
      <c r="I6" s="36" t="s">
        <v>3012</v>
      </c>
      <c r="J6" s="32" t="s">
        <v>3024</v>
      </c>
      <c r="K6" s="31" t="str">
        <f>IFERROR(__xludf.DUMMYFUNCTION("IF(ISBLANK(J6), """", GOOGLETRANSLATE(J6, ""es"", ""en""))"),"chapter name (Institution)")</f>
        <v>chapter name (Institution)</v>
      </c>
      <c r="M6" s="30" t="s">
        <v>3010</v>
      </c>
      <c r="N6" s="30" t="s">
        <v>3012</v>
      </c>
      <c r="O6" s="30" t="s">
        <v>141</v>
      </c>
      <c r="P6" s="30" t="s">
        <v>3025</v>
      </c>
      <c r="Q6" s="30" t="s">
        <v>3026</v>
      </c>
      <c r="R6" s="30" t="s">
        <v>3027</v>
      </c>
      <c r="S6" s="30" t="s">
        <v>3026</v>
      </c>
      <c r="T6" s="30" t="s">
        <v>3028</v>
      </c>
      <c r="U6" s="30" t="s">
        <v>970</v>
      </c>
      <c r="V6" s="30">
        <v>2022.0</v>
      </c>
      <c r="W6" s="30" t="s">
        <v>3029</v>
      </c>
      <c r="X6" s="30" t="s">
        <v>1030</v>
      </c>
      <c r="Y6" s="30" t="s">
        <v>3018</v>
      </c>
      <c r="Z6" s="30" t="s">
        <v>3019</v>
      </c>
      <c r="AA6" s="30" t="s">
        <v>3020</v>
      </c>
      <c r="AB6" s="30" t="s">
        <v>1109</v>
      </c>
      <c r="AC6" s="30" t="s">
        <v>3021</v>
      </c>
      <c r="AD6" s="30" t="s">
        <v>1109</v>
      </c>
      <c r="AE6" s="30" t="s">
        <v>3030</v>
      </c>
      <c r="AF6" s="30">
        <v>6.5598964E7</v>
      </c>
    </row>
    <row r="7" ht="15.75" customHeight="1">
      <c r="B7" s="78" t="s">
        <v>3008</v>
      </c>
      <c r="C7" s="30" t="s">
        <v>3023</v>
      </c>
      <c r="D7" s="30" t="s">
        <v>1296</v>
      </c>
      <c r="E7" s="30" t="s">
        <v>3031</v>
      </c>
      <c r="F7" s="30" t="s">
        <v>1659</v>
      </c>
      <c r="G7" s="78" t="s">
        <v>3008</v>
      </c>
      <c r="H7" s="36" t="s">
        <v>2998</v>
      </c>
      <c r="I7" s="36" t="s">
        <v>141</v>
      </c>
      <c r="J7" s="32" t="s">
        <v>3032</v>
      </c>
      <c r="K7" s="31" t="str">
        <f>IFERROR(__xludf.DUMMYFUNCTION("IF(ISBLANK(J7), """", GOOGLETRANSLATE(J7, ""es"", ""en""))"),"subchapter name (Institution)")</f>
        <v>subchapter name (Institution)</v>
      </c>
      <c r="M7" s="30" t="s">
        <v>3010</v>
      </c>
      <c r="N7" s="30" t="s">
        <v>145</v>
      </c>
      <c r="O7" s="30" t="s">
        <v>145</v>
      </c>
      <c r="P7" s="30" t="s">
        <v>145</v>
      </c>
      <c r="Q7" s="30" t="s">
        <v>3033</v>
      </c>
      <c r="R7" s="30" t="s">
        <v>3027</v>
      </c>
      <c r="S7" s="30" t="s">
        <v>3034</v>
      </c>
      <c r="T7" s="30" t="s">
        <v>3035</v>
      </c>
      <c r="U7" s="30" t="s">
        <v>970</v>
      </c>
      <c r="V7" s="30">
        <v>2022.0</v>
      </c>
      <c r="W7" s="30" t="s">
        <v>3036</v>
      </c>
      <c r="X7" s="30" t="s">
        <v>3037</v>
      </c>
      <c r="Y7" s="30" t="s">
        <v>3018</v>
      </c>
      <c r="Z7" s="30" t="s">
        <v>3038</v>
      </c>
      <c r="AA7" s="30" t="s">
        <v>3039</v>
      </c>
      <c r="AB7" s="30" t="s">
        <v>1109</v>
      </c>
      <c r="AC7" s="30" t="s">
        <v>3021</v>
      </c>
      <c r="AD7" s="30" t="s">
        <v>1109</v>
      </c>
      <c r="AE7" s="30" t="s">
        <v>3040</v>
      </c>
      <c r="AF7" s="30">
        <v>0.0</v>
      </c>
    </row>
    <row r="8" ht="15.75" customHeight="1">
      <c r="B8" s="78" t="s">
        <v>3008</v>
      </c>
      <c r="C8" s="30" t="s">
        <v>3023</v>
      </c>
      <c r="D8" s="30" t="s">
        <v>1296</v>
      </c>
      <c r="E8" s="30" t="s">
        <v>984</v>
      </c>
      <c r="F8" s="30" t="s">
        <v>1659</v>
      </c>
      <c r="G8" s="78" t="s">
        <v>3008</v>
      </c>
      <c r="H8" s="36" t="s">
        <v>2999</v>
      </c>
      <c r="I8" s="36" t="s">
        <v>141</v>
      </c>
      <c r="J8" s="32" t="s">
        <v>3041</v>
      </c>
      <c r="K8" s="31" t="str">
        <f>IFERROR(__xludf.DUMMYFUNCTION("IF(ISBLANK(J8), """", GOOGLETRANSLATE(J8, ""es"", ""en""))"),"name of the executing executing unit (executing institution)")</f>
        <v>name of the executing executing unit (executing institution)</v>
      </c>
      <c r="M8" s="30" t="s">
        <v>3010</v>
      </c>
      <c r="N8" s="30" t="s">
        <v>145</v>
      </c>
      <c r="O8" s="30" t="s">
        <v>145</v>
      </c>
      <c r="P8" s="30" t="s">
        <v>145</v>
      </c>
      <c r="Q8" s="30" t="s">
        <v>3033</v>
      </c>
      <c r="R8" s="30" t="s">
        <v>3027</v>
      </c>
      <c r="S8" s="30" t="s">
        <v>3042</v>
      </c>
      <c r="T8" s="30" t="s">
        <v>3035</v>
      </c>
      <c r="U8" s="30" t="s">
        <v>970</v>
      </c>
      <c r="V8" s="30">
        <v>2022.0</v>
      </c>
      <c r="W8" s="30" t="s">
        <v>3036</v>
      </c>
      <c r="X8" s="30" t="s">
        <v>3037</v>
      </c>
      <c r="Y8" s="30" t="s">
        <v>3018</v>
      </c>
      <c r="Z8" s="30" t="s">
        <v>3038</v>
      </c>
      <c r="AA8" s="30" t="s">
        <v>3039</v>
      </c>
      <c r="AB8" s="30" t="s">
        <v>1109</v>
      </c>
      <c r="AC8" s="30" t="s">
        <v>3021</v>
      </c>
      <c r="AD8" s="30" t="s">
        <v>1109</v>
      </c>
      <c r="AE8" s="30" t="s">
        <v>3043</v>
      </c>
      <c r="AF8" s="30">
        <v>0.0</v>
      </c>
    </row>
    <row r="9" ht="15.75" customHeight="1">
      <c r="B9" s="78" t="s">
        <v>3008</v>
      </c>
      <c r="C9" s="30" t="s">
        <v>3023</v>
      </c>
      <c r="D9" s="30" t="s">
        <v>1296</v>
      </c>
      <c r="E9" s="30" t="s">
        <v>1060</v>
      </c>
      <c r="F9" s="30" t="s">
        <v>1659</v>
      </c>
      <c r="G9" s="78" t="s">
        <v>3008</v>
      </c>
      <c r="H9" s="36" t="s">
        <v>3000</v>
      </c>
      <c r="I9" s="36" t="s">
        <v>3013</v>
      </c>
      <c r="J9" s="32" t="s">
        <v>3044</v>
      </c>
      <c r="K9" s="31" t="str">
        <f>IFERROR(__xludf.DUMMYFUNCTION("IF(ISBLANK(J9), """", GOOGLETRANSLATE(J9, ""es"", ""en""))"),"budget subaccount name")</f>
        <v>budget subaccount name</v>
      </c>
      <c r="M9" s="30" t="s">
        <v>3010</v>
      </c>
      <c r="N9" s="30" t="s">
        <v>145</v>
      </c>
      <c r="O9" s="30" t="s">
        <v>145</v>
      </c>
      <c r="P9" s="30" t="s">
        <v>145</v>
      </c>
      <c r="Q9" s="30" t="s">
        <v>3045</v>
      </c>
      <c r="R9" s="30" t="s">
        <v>3027</v>
      </c>
      <c r="S9" s="30" t="s">
        <v>3046</v>
      </c>
      <c r="T9" s="30" t="s">
        <v>3047</v>
      </c>
      <c r="U9" s="30" t="s">
        <v>970</v>
      </c>
      <c r="V9" s="30">
        <v>2022.0</v>
      </c>
      <c r="W9" s="30" t="s">
        <v>3036</v>
      </c>
      <c r="X9" s="30" t="s">
        <v>3037</v>
      </c>
      <c r="Y9" s="30" t="s">
        <v>3018</v>
      </c>
      <c r="Z9" s="30" t="s">
        <v>3038</v>
      </c>
      <c r="AA9" s="30" t="s">
        <v>3039</v>
      </c>
      <c r="AB9" s="30" t="s">
        <v>1109</v>
      </c>
      <c r="AC9" s="30" t="s">
        <v>3021</v>
      </c>
      <c r="AD9" s="30" t="s">
        <v>1109</v>
      </c>
      <c r="AE9" s="30" t="s">
        <v>3048</v>
      </c>
      <c r="AF9" s="30">
        <v>0.0</v>
      </c>
    </row>
    <row r="10" ht="15.75" customHeight="1">
      <c r="B10" s="78" t="s">
        <v>3008</v>
      </c>
      <c r="C10" s="30" t="s">
        <v>3023</v>
      </c>
      <c r="D10" s="30" t="s">
        <v>1296</v>
      </c>
      <c r="E10" s="30" t="s">
        <v>1049</v>
      </c>
      <c r="F10" s="30" t="s">
        <v>1659</v>
      </c>
      <c r="G10" s="78" t="s">
        <v>3008</v>
      </c>
      <c r="H10" s="36" t="s">
        <v>3001</v>
      </c>
      <c r="I10" s="36" t="s">
        <v>3014</v>
      </c>
      <c r="J10" s="32" t="s">
        <v>3049</v>
      </c>
      <c r="K10" s="31" t="str">
        <f>IFERROR(__xludf.DUMMYFUNCTION("IF(ISBLANK(J10), """", GOOGLETRANSLATE(J10, ""es"", ""en""))"),"budget concept name")</f>
        <v>budget concept name</v>
      </c>
      <c r="M10" s="30" t="s">
        <v>3010</v>
      </c>
      <c r="N10" s="30" t="s">
        <v>145</v>
      </c>
      <c r="O10" s="30" t="s">
        <v>145</v>
      </c>
      <c r="P10" s="30" t="s">
        <v>145</v>
      </c>
      <c r="Q10" s="30" t="s">
        <v>3045</v>
      </c>
      <c r="R10" s="30" t="s">
        <v>3027</v>
      </c>
      <c r="S10" s="30" t="s">
        <v>3050</v>
      </c>
      <c r="T10" s="30" t="s">
        <v>3047</v>
      </c>
      <c r="U10" s="30" t="s">
        <v>970</v>
      </c>
      <c r="V10" s="30">
        <v>2022.0</v>
      </c>
      <c r="W10" s="30" t="s">
        <v>3036</v>
      </c>
      <c r="X10" s="30" t="s">
        <v>3037</v>
      </c>
      <c r="Y10" s="30" t="s">
        <v>3018</v>
      </c>
      <c r="Z10" s="30" t="s">
        <v>3038</v>
      </c>
      <c r="AA10" s="30" t="s">
        <v>3039</v>
      </c>
      <c r="AB10" s="30" t="s">
        <v>1109</v>
      </c>
      <c r="AC10" s="30" t="s">
        <v>3021</v>
      </c>
      <c r="AD10" s="30" t="s">
        <v>1109</v>
      </c>
      <c r="AE10" s="30" t="s">
        <v>3051</v>
      </c>
      <c r="AF10" s="30">
        <v>0.0</v>
      </c>
    </row>
    <row r="11" ht="15.75" customHeight="1">
      <c r="B11" s="78" t="s">
        <v>3008</v>
      </c>
      <c r="C11" s="30" t="s">
        <v>3023</v>
      </c>
      <c r="D11" s="30" t="s">
        <v>1296</v>
      </c>
      <c r="E11" s="30" t="s">
        <v>1066</v>
      </c>
      <c r="F11" s="30" t="s">
        <v>1659</v>
      </c>
      <c r="G11" s="78" t="s">
        <v>3008</v>
      </c>
      <c r="H11" s="36" t="s">
        <v>3002</v>
      </c>
      <c r="I11" s="36" t="s">
        <v>3015</v>
      </c>
      <c r="J11" s="32" t="s">
        <v>3052</v>
      </c>
      <c r="K11" s="31" t="str">
        <f>IFERROR(__xludf.DUMMYFUNCTION("IF(ISBLANK(J11), """", GOOGLETRANSLATE(J11, ""es"", ""en""))"),"name of budget assistant")</f>
        <v>name of budget assistant</v>
      </c>
      <c r="M11" s="30" t="s">
        <v>3010</v>
      </c>
      <c r="N11" s="30" t="s">
        <v>3053</v>
      </c>
      <c r="O11" s="30" t="s">
        <v>125</v>
      </c>
      <c r="P11" s="30" t="s">
        <v>125</v>
      </c>
      <c r="Q11" s="30" t="s">
        <v>3054</v>
      </c>
      <c r="R11" s="30" t="s">
        <v>3055</v>
      </c>
      <c r="S11" s="30" t="s">
        <v>3056</v>
      </c>
      <c r="T11" s="30" t="s">
        <v>3057</v>
      </c>
      <c r="U11" s="30" t="s">
        <v>970</v>
      </c>
      <c r="V11" s="30">
        <v>2022.0</v>
      </c>
      <c r="W11" s="30" t="s">
        <v>3058</v>
      </c>
      <c r="X11" s="30" t="s">
        <v>1542</v>
      </c>
      <c r="Y11" s="30" t="s">
        <v>3018</v>
      </c>
      <c r="Z11" s="30" t="s">
        <v>3059</v>
      </c>
      <c r="AA11" s="30" t="s">
        <v>3060</v>
      </c>
      <c r="AB11" s="30" t="s">
        <v>1109</v>
      </c>
      <c r="AC11" s="30" t="s">
        <v>3021</v>
      </c>
      <c r="AD11" s="30" t="s">
        <v>1109</v>
      </c>
      <c r="AE11" s="30" t="s">
        <v>3061</v>
      </c>
      <c r="AF11" s="30">
        <v>1000000.0</v>
      </c>
    </row>
    <row r="12" ht="15.75" customHeight="1">
      <c r="B12" s="78" t="s">
        <v>3008</v>
      </c>
      <c r="C12" s="30" t="s">
        <v>3023</v>
      </c>
      <c r="D12" s="30" t="s">
        <v>1296</v>
      </c>
      <c r="E12" s="30" t="s">
        <v>1054</v>
      </c>
      <c r="F12" s="30" t="s">
        <v>1659</v>
      </c>
      <c r="G12" s="78" t="s">
        <v>3008</v>
      </c>
      <c r="H12" s="36" t="s">
        <v>1492</v>
      </c>
      <c r="I12" s="36" t="s">
        <v>3016</v>
      </c>
      <c r="J12" s="32" t="s">
        <v>3062</v>
      </c>
      <c r="K12" s="31" t="str">
        <f>IFERROR(__xludf.DUMMYFUNCTION("IF(ISBLANK(J12), """", GOOGLETRANSLATE(J12, ""es"", ""en""))"),"budget account name")</f>
        <v>budget account name</v>
      </c>
      <c r="M12" s="30" t="s">
        <v>3010</v>
      </c>
      <c r="N12" s="30" t="s">
        <v>3053</v>
      </c>
      <c r="O12" s="30" t="s">
        <v>125</v>
      </c>
      <c r="P12" s="30" t="s">
        <v>125</v>
      </c>
      <c r="Q12" s="30" t="s">
        <v>3054</v>
      </c>
      <c r="R12" s="30" t="s">
        <v>3055</v>
      </c>
      <c r="S12" s="30" t="s">
        <v>3056</v>
      </c>
      <c r="T12" s="30" t="s">
        <v>3057</v>
      </c>
      <c r="U12" s="30" t="s">
        <v>970</v>
      </c>
      <c r="V12" s="30">
        <v>2022.0</v>
      </c>
      <c r="W12" s="30" t="s">
        <v>3058</v>
      </c>
      <c r="X12" s="30" t="s">
        <v>1542</v>
      </c>
      <c r="Y12" s="30" t="s">
        <v>3018</v>
      </c>
      <c r="Z12" s="30" t="s">
        <v>3059</v>
      </c>
      <c r="AA12" s="30" t="s">
        <v>3060</v>
      </c>
      <c r="AB12" s="30" t="s">
        <v>1109</v>
      </c>
      <c r="AC12" s="30" t="s">
        <v>3021</v>
      </c>
      <c r="AD12" s="30" t="s">
        <v>1109</v>
      </c>
      <c r="AE12" s="30" t="s">
        <v>3061</v>
      </c>
      <c r="AF12" s="30">
        <v>1000000.0</v>
      </c>
    </row>
    <row r="13" ht="15.75" customHeight="1">
      <c r="B13" s="78" t="s">
        <v>3008</v>
      </c>
      <c r="C13" s="30" t="s">
        <v>3023</v>
      </c>
      <c r="D13" s="30" t="s">
        <v>1296</v>
      </c>
      <c r="E13" s="30" t="s">
        <v>969</v>
      </c>
      <c r="F13" s="30" t="s">
        <v>1659</v>
      </c>
      <c r="G13" s="78" t="s">
        <v>3008</v>
      </c>
      <c r="H13" s="36" t="s">
        <v>3003</v>
      </c>
      <c r="I13" s="36" t="s">
        <v>970</v>
      </c>
      <c r="J13" s="32" t="s">
        <v>3063</v>
      </c>
      <c r="K13" s="31" t="str">
        <f>IFERROR(__xludf.DUMMYFUNCTION("IF(ISBLANK(J13), """", GOOGLETRANSLATE(J13, ""es"", ""en""))"),"budget section name")</f>
        <v>budget section name</v>
      </c>
      <c r="M13" s="30" t="s">
        <v>3010</v>
      </c>
      <c r="N13" s="30" t="s">
        <v>3053</v>
      </c>
      <c r="O13" s="30" t="s">
        <v>125</v>
      </c>
      <c r="P13" s="30" t="s">
        <v>125</v>
      </c>
      <c r="Q13" s="30" t="s">
        <v>3054</v>
      </c>
      <c r="R13" s="30" t="s">
        <v>3055</v>
      </c>
      <c r="S13" s="30" t="s">
        <v>3056</v>
      </c>
      <c r="T13" s="30" t="s">
        <v>3057</v>
      </c>
      <c r="U13" s="30" t="s">
        <v>970</v>
      </c>
      <c r="V13" s="30">
        <v>2022.0</v>
      </c>
      <c r="W13" s="30" t="s">
        <v>3058</v>
      </c>
      <c r="X13" s="30" t="s">
        <v>1542</v>
      </c>
      <c r="Y13" s="30" t="s">
        <v>3018</v>
      </c>
      <c r="Z13" s="30" t="s">
        <v>3059</v>
      </c>
      <c r="AA13" s="30" t="s">
        <v>3060</v>
      </c>
      <c r="AB13" s="30" t="s">
        <v>1109</v>
      </c>
      <c r="AC13" s="30" t="s">
        <v>3021</v>
      </c>
      <c r="AD13" s="30" t="s">
        <v>1109</v>
      </c>
      <c r="AE13" s="30" t="s">
        <v>3061</v>
      </c>
      <c r="AF13" s="30">
        <v>1000000.0</v>
      </c>
    </row>
    <row r="14" ht="15.75" customHeight="1">
      <c r="B14" s="78" t="s">
        <v>3008</v>
      </c>
      <c r="C14" s="30" t="s">
        <v>3023</v>
      </c>
      <c r="D14" s="30" t="s">
        <v>1296</v>
      </c>
      <c r="E14" s="30" t="s">
        <v>3064</v>
      </c>
      <c r="F14" s="30" t="s">
        <v>1659</v>
      </c>
      <c r="G14" s="78" t="s">
        <v>3008</v>
      </c>
      <c r="H14" s="36" t="s">
        <v>1402</v>
      </c>
      <c r="I14" s="36">
        <v>2022.0</v>
      </c>
      <c r="J14" s="32" t="s">
        <v>3065</v>
      </c>
      <c r="K14" s="31" t="str">
        <f>IFERROR(__xludf.DUMMYFUNCTION("IF(ISBLANK(J14), """", GOOGLETRANSLATE(J14, ""es"", ""en""))"),"budget year")</f>
        <v>budget year</v>
      </c>
      <c r="M14" s="30" t="s">
        <v>3010</v>
      </c>
      <c r="N14" s="30" t="s">
        <v>3053</v>
      </c>
      <c r="O14" s="30" t="s">
        <v>125</v>
      </c>
      <c r="P14" s="30" t="s">
        <v>125</v>
      </c>
      <c r="Q14" s="30" t="s">
        <v>3054</v>
      </c>
      <c r="R14" s="30" t="s">
        <v>3055</v>
      </c>
      <c r="S14" s="30" t="s">
        <v>3056</v>
      </c>
      <c r="T14" s="30" t="s">
        <v>3057</v>
      </c>
      <c r="U14" s="30" t="s">
        <v>970</v>
      </c>
      <c r="V14" s="30">
        <v>2022.0</v>
      </c>
      <c r="W14" s="30" t="s">
        <v>3058</v>
      </c>
      <c r="X14" s="30" t="s">
        <v>1542</v>
      </c>
      <c r="Y14" s="30" t="s">
        <v>3018</v>
      </c>
      <c r="Z14" s="30" t="s">
        <v>3059</v>
      </c>
      <c r="AA14" s="30" t="s">
        <v>3060</v>
      </c>
      <c r="AB14" s="30" t="s">
        <v>1109</v>
      </c>
      <c r="AC14" s="30" t="s">
        <v>3021</v>
      </c>
      <c r="AD14" s="30" t="s">
        <v>1109</v>
      </c>
      <c r="AE14" s="30" t="s">
        <v>3061</v>
      </c>
      <c r="AF14" s="30">
        <v>1000000.0</v>
      </c>
    </row>
    <row r="15" ht="15.75" customHeight="1">
      <c r="B15" s="78" t="s">
        <v>3008</v>
      </c>
      <c r="C15" s="30" t="s">
        <v>3023</v>
      </c>
      <c r="D15" s="30" t="s">
        <v>1296</v>
      </c>
      <c r="E15" s="30" t="s">
        <v>3066</v>
      </c>
      <c r="F15" s="30" t="s">
        <v>1659</v>
      </c>
      <c r="G15" s="78" t="s">
        <v>3008</v>
      </c>
      <c r="H15" s="36" t="s">
        <v>1464</v>
      </c>
      <c r="I15" s="36" t="s">
        <v>3017</v>
      </c>
      <c r="J15" s="32" t="s">
        <v>3067</v>
      </c>
      <c r="K15" s="31" t="str">
        <f>IFERROR(__xludf.DUMMYFUNCTION("IF(ISBLANK(J15), """", GOOGLETRANSLATE(J15, ""es"", ""en""))"),"budget program name")</f>
        <v>budget program name</v>
      </c>
      <c r="M15" s="30" t="s">
        <v>3010</v>
      </c>
      <c r="N15" s="30" t="s">
        <v>3053</v>
      </c>
      <c r="O15" s="30" t="s">
        <v>125</v>
      </c>
      <c r="P15" s="30" t="s">
        <v>125</v>
      </c>
      <c r="Q15" s="30" t="s">
        <v>3054</v>
      </c>
      <c r="R15" s="30" t="s">
        <v>3055</v>
      </c>
      <c r="S15" s="30" t="s">
        <v>3056</v>
      </c>
      <c r="T15" s="30" t="s">
        <v>3057</v>
      </c>
      <c r="U15" s="30" t="s">
        <v>970</v>
      </c>
      <c r="V15" s="30">
        <v>2022.0</v>
      </c>
      <c r="W15" s="30" t="s">
        <v>3058</v>
      </c>
      <c r="X15" s="30" t="s">
        <v>1542</v>
      </c>
      <c r="Y15" s="30" t="s">
        <v>3018</v>
      </c>
      <c r="Z15" s="30" t="s">
        <v>3059</v>
      </c>
      <c r="AA15" s="30" t="s">
        <v>3060</v>
      </c>
      <c r="AB15" s="30" t="s">
        <v>1109</v>
      </c>
      <c r="AC15" s="30" t="s">
        <v>3021</v>
      </c>
      <c r="AD15" s="30" t="s">
        <v>1109</v>
      </c>
      <c r="AE15" s="30" t="s">
        <v>3061</v>
      </c>
      <c r="AF15" s="30">
        <v>1000000.0</v>
      </c>
    </row>
    <row r="16" ht="15.75" customHeight="1">
      <c r="B16" s="78" t="s">
        <v>3008</v>
      </c>
      <c r="C16" s="30" t="s">
        <v>3023</v>
      </c>
      <c r="D16" s="30" t="s">
        <v>1296</v>
      </c>
      <c r="E16" s="30" t="s">
        <v>1029</v>
      </c>
      <c r="F16" s="30" t="s">
        <v>1659</v>
      </c>
      <c r="G16" s="78" t="s">
        <v>3008</v>
      </c>
      <c r="H16" s="36" t="s">
        <v>1497</v>
      </c>
      <c r="I16" s="36" t="s">
        <v>1030</v>
      </c>
      <c r="J16" s="32" t="s">
        <v>3068</v>
      </c>
      <c r="K16" s="31" t="str">
        <f>IFERROR(__xludf.DUMMYFUNCTION("IF(ISBLANK(J16), """", GOOGLETRANSLATE(J16, ""es"", ""en""))"),"budget purpose name")</f>
        <v>budget purpose name</v>
      </c>
      <c r="M16" s="30" t="s">
        <v>3010</v>
      </c>
      <c r="N16" s="30" t="s">
        <v>145</v>
      </c>
      <c r="O16" s="30" t="s">
        <v>145</v>
      </c>
      <c r="P16" s="30" t="s">
        <v>145</v>
      </c>
      <c r="Q16" s="30" t="s">
        <v>3069</v>
      </c>
      <c r="R16" s="30" t="s">
        <v>3070</v>
      </c>
      <c r="S16" s="30" t="s">
        <v>3069</v>
      </c>
      <c r="T16" s="30" t="s">
        <v>3071</v>
      </c>
      <c r="U16" s="30" t="s">
        <v>970</v>
      </c>
      <c r="V16" s="30">
        <v>2022.0</v>
      </c>
      <c r="W16" s="30" t="s">
        <v>3036</v>
      </c>
      <c r="X16" s="30" t="s">
        <v>3037</v>
      </c>
      <c r="Y16" s="30" t="s">
        <v>3018</v>
      </c>
      <c r="Z16" s="30" t="s">
        <v>3038</v>
      </c>
      <c r="AA16" s="30" t="s">
        <v>3039</v>
      </c>
      <c r="AB16" s="30" t="s">
        <v>1109</v>
      </c>
      <c r="AC16" s="30" t="s">
        <v>3021</v>
      </c>
      <c r="AD16" s="30" t="s">
        <v>1109</v>
      </c>
      <c r="AE16" s="30" t="s">
        <v>3072</v>
      </c>
      <c r="AF16" s="30">
        <v>0.0</v>
      </c>
    </row>
    <row r="17" ht="15.75" customHeight="1">
      <c r="B17" s="78" t="s">
        <v>3008</v>
      </c>
      <c r="C17" s="30" t="s">
        <v>3023</v>
      </c>
      <c r="D17" s="30" t="s">
        <v>1296</v>
      </c>
      <c r="E17" s="30" t="s">
        <v>1015</v>
      </c>
      <c r="F17" s="30" t="s">
        <v>1659</v>
      </c>
      <c r="G17" s="78" t="s">
        <v>3008</v>
      </c>
      <c r="H17" s="36" t="s">
        <v>1388</v>
      </c>
      <c r="I17" s="36" t="s">
        <v>3018</v>
      </c>
      <c r="J17" s="32" t="s">
        <v>3073</v>
      </c>
      <c r="K17" s="31" t="str">
        <f>IFERROR(__xludf.DUMMYFUNCTION("IF(ISBLANK(J17), """", GOOGLETRANSLATE(J17, ""es"", ""en""))"),"name of funding body")</f>
        <v>name of funding body</v>
      </c>
      <c r="M17" s="30" t="s">
        <v>3010</v>
      </c>
      <c r="N17" s="30" t="s">
        <v>145</v>
      </c>
      <c r="O17" s="30" t="s">
        <v>145</v>
      </c>
      <c r="P17" s="30" t="s">
        <v>145</v>
      </c>
      <c r="Q17" s="30" t="s">
        <v>3074</v>
      </c>
      <c r="R17" s="30" t="s">
        <v>3070</v>
      </c>
      <c r="S17" s="30" t="s">
        <v>3075</v>
      </c>
      <c r="T17" s="30" t="s">
        <v>3076</v>
      </c>
      <c r="U17" s="30" t="s">
        <v>970</v>
      </c>
      <c r="V17" s="30">
        <v>2022.0</v>
      </c>
      <c r="W17" s="30" t="s">
        <v>3036</v>
      </c>
      <c r="X17" s="30" t="s">
        <v>3037</v>
      </c>
      <c r="Y17" s="30" t="s">
        <v>3018</v>
      </c>
      <c r="Z17" s="30" t="s">
        <v>3038</v>
      </c>
      <c r="AA17" s="30" t="s">
        <v>3039</v>
      </c>
      <c r="AB17" s="30" t="s">
        <v>1109</v>
      </c>
      <c r="AC17" s="30" t="s">
        <v>3021</v>
      </c>
      <c r="AD17" s="30" t="s">
        <v>1109</v>
      </c>
      <c r="AE17" s="30" t="s">
        <v>3077</v>
      </c>
      <c r="AF17" s="30">
        <v>0.0</v>
      </c>
    </row>
    <row r="18" ht="15.75" customHeight="1">
      <c r="B18" s="78" t="s">
        <v>3008</v>
      </c>
      <c r="C18" s="30" t="s">
        <v>3023</v>
      </c>
      <c r="D18" s="30" t="s">
        <v>1296</v>
      </c>
      <c r="E18" s="30" t="s">
        <v>1034</v>
      </c>
      <c r="F18" s="30" t="s">
        <v>1659</v>
      </c>
      <c r="G18" s="78" t="s">
        <v>3008</v>
      </c>
      <c r="H18" s="36" t="s">
        <v>3004</v>
      </c>
      <c r="I18" s="36" t="s">
        <v>3019</v>
      </c>
      <c r="J18" s="32" t="s">
        <v>3078</v>
      </c>
      <c r="K18" s="31" t="str">
        <f>IFERROR(__xludf.DUMMYFUNCTION("IF(ISBLANK(J18), """", GOOGLETRANSLATE(J18, ""es"", ""en""))"),"function or sector of the government to which the budgeted resources are directed")</f>
        <v>function or sector of the government to which the budgeted resources are directed</v>
      </c>
      <c r="M18" s="30" t="s">
        <v>3010</v>
      </c>
      <c r="N18" s="30" t="s">
        <v>145</v>
      </c>
      <c r="O18" s="30" t="s">
        <v>145</v>
      </c>
      <c r="P18" s="30" t="s">
        <v>145</v>
      </c>
      <c r="Q18" s="30" t="s">
        <v>3079</v>
      </c>
      <c r="R18" s="30" t="s">
        <v>3027</v>
      </c>
      <c r="S18" s="30" t="s">
        <v>3080</v>
      </c>
      <c r="T18" s="30" t="s">
        <v>3081</v>
      </c>
      <c r="U18" s="30" t="s">
        <v>970</v>
      </c>
      <c r="V18" s="30">
        <v>2022.0</v>
      </c>
      <c r="W18" s="30" t="s">
        <v>3082</v>
      </c>
      <c r="X18" s="30" t="s">
        <v>3037</v>
      </c>
      <c r="Y18" s="30" t="s">
        <v>3018</v>
      </c>
      <c r="Z18" s="30" t="s">
        <v>3038</v>
      </c>
      <c r="AA18" s="30" t="s">
        <v>3039</v>
      </c>
      <c r="AB18" s="30" t="s">
        <v>1109</v>
      </c>
      <c r="AC18" s="30" t="s">
        <v>3021</v>
      </c>
      <c r="AD18" s="30" t="s">
        <v>1109</v>
      </c>
      <c r="AE18" s="30" t="s">
        <v>3083</v>
      </c>
      <c r="AF18" s="30">
        <v>0.0</v>
      </c>
    </row>
    <row r="19" ht="15.75" customHeight="1">
      <c r="B19" s="78" t="s">
        <v>3008</v>
      </c>
      <c r="C19" s="30" t="s">
        <v>3023</v>
      </c>
      <c r="D19" s="30" t="s">
        <v>1296</v>
      </c>
      <c r="E19" s="30" t="s">
        <v>1039</v>
      </c>
      <c r="F19" s="30" t="s">
        <v>1659</v>
      </c>
      <c r="G19" s="78" t="s">
        <v>3008</v>
      </c>
      <c r="H19" s="36" t="s">
        <v>1508</v>
      </c>
      <c r="I19" s="36" t="s">
        <v>3020</v>
      </c>
      <c r="J19" s="32" t="s">
        <v>3084</v>
      </c>
      <c r="K19" s="31" t="str">
        <f>IFERROR(__xludf.DUMMYFUNCTION("IF(ISBLANK(J19), """", GOOGLETRANSLATE(J19, ""es"", ""en""))"),"budget subfunction name")</f>
        <v>budget subfunction name</v>
      </c>
      <c r="M19" s="30" t="s">
        <v>3010</v>
      </c>
      <c r="N19" s="30" t="s">
        <v>145</v>
      </c>
      <c r="O19" s="30" t="s">
        <v>145</v>
      </c>
      <c r="P19" s="30" t="s">
        <v>145</v>
      </c>
      <c r="Q19" s="30" t="s">
        <v>3085</v>
      </c>
      <c r="R19" s="30" t="s">
        <v>3055</v>
      </c>
      <c r="S19" s="30" t="s">
        <v>3086</v>
      </c>
      <c r="T19" s="30" t="s">
        <v>3087</v>
      </c>
      <c r="U19" s="30" t="s">
        <v>970</v>
      </c>
      <c r="V19" s="30">
        <v>2022.0</v>
      </c>
      <c r="W19" s="30" t="s">
        <v>3082</v>
      </c>
      <c r="X19" s="30" t="s">
        <v>3037</v>
      </c>
      <c r="Y19" s="30" t="s">
        <v>3018</v>
      </c>
      <c r="Z19" s="30" t="s">
        <v>3038</v>
      </c>
      <c r="AA19" s="30" t="s">
        <v>3039</v>
      </c>
      <c r="AB19" s="30" t="s">
        <v>1109</v>
      </c>
      <c r="AC19" s="30" t="s">
        <v>3021</v>
      </c>
      <c r="AD19" s="30" t="s">
        <v>1109</v>
      </c>
      <c r="AE19" s="30" t="s">
        <v>3088</v>
      </c>
      <c r="AF19" s="30">
        <v>8.22664512E8</v>
      </c>
    </row>
    <row r="20" ht="15.75" customHeight="1">
      <c r="B20" s="78" t="s">
        <v>3008</v>
      </c>
      <c r="C20" s="30" t="s">
        <v>3023</v>
      </c>
      <c r="D20" s="30" t="s">
        <v>1296</v>
      </c>
      <c r="E20" s="30" t="s">
        <v>3089</v>
      </c>
      <c r="F20" s="30" t="s">
        <v>1659</v>
      </c>
      <c r="G20" s="78" t="s">
        <v>3008</v>
      </c>
      <c r="H20" s="36" t="s">
        <v>3005</v>
      </c>
      <c r="I20" s="36" t="s">
        <v>1109</v>
      </c>
      <c r="J20" s="32" t="s">
        <v>3090</v>
      </c>
      <c r="K20" s="31" t="str">
        <f>IFERROR(__xludf.DUMMYFUNCTION("IF(ISBLANK(J20), """", GOOGLETRANSLATE(J20, ""es"", ""en""))"),"name of receiving institution")</f>
        <v>name of receiving institution</v>
      </c>
      <c r="M20" s="30" t="s">
        <v>3010</v>
      </c>
      <c r="N20" s="30" t="s">
        <v>145</v>
      </c>
      <c r="O20" s="30" t="s">
        <v>145</v>
      </c>
      <c r="P20" s="30" t="s">
        <v>145</v>
      </c>
      <c r="Q20" s="30" t="s">
        <v>3091</v>
      </c>
      <c r="R20" s="30" t="s">
        <v>3070</v>
      </c>
      <c r="S20" s="30" t="s">
        <v>3091</v>
      </c>
      <c r="T20" s="30" t="s">
        <v>3092</v>
      </c>
      <c r="U20" s="30" t="s">
        <v>970</v>
      </c>
      <c r="V20" s="30">
        <v>2022.0</v>
      </c>
      <c r="W20" s="30" t="s">
        <v>3082</v>
      </c>
      <c r="X20" s="30" t="s">
        <v>3037</v>
      </c>
      <c r="Y20" s="30" t="s">
        <v>3018</v>
      </c>
      <c r="Z20" s="30" t="s">
        <v>3038</v>
      </c>
      <c r="AA20" s="30" t="s">
        <v>3039</v>
      </c>
      <c r="AB20" s="30" t="s">
        <v>1109</v>
      </c>
      <c r="AC20" s="30" t="s">
        <v>3021</v>
      </c>
      <c r="AD20" s="30" t="s">
        <v>1109</v>
      </c>
      <c r="AE20" s="30" t="s">
        <v>3093</v>
      </c>
      <c r="AF20" s="30">
        <v>0.0</v>
      </c>
    </row>
    <row r="21" ht="15.75" customHeight="1">
      <c r="B21" s="78" t="s">
        <v>3008</v>
      </c>
      <c r="C21" s="30" t="s">
        <v>3023</v>
      </c>
      <c r="D21" s="30" t="s">
        <v>1296</v>
      </c>
      <c r="E21" s="30" t="s">
        <v>3094</v>
      </c>
      <c r="F21" s="30" t="s">
        <v>1659</v>
      </c>
      <c r="G21" s="78" t="s">
        <v>3008</v>
      </c>
      <c r="H21" s="36" t="s">
        <v>1380</v>
      </c>
      <c r="I21" s="36" t="s">
        <v>3021</v>
      </c>
      <c r="J21" s="32" t="s">
        <v>3095</v>
      </c>
      <c r="K21" s="31" t="str">
        <f>IFERROR(__xludf.DUMMYFUNCTION("IF(ISBLANK(J21), """", GOOGLETRANSLATE(J21, ""es"", ""en""))"),"name of funding source")</f>
        <v>name of funding source</v>
      </c>
      <c r="M21" s="30" t="s">
        <v>3010</v>
      </c>
      <c r="N21" s="30" t="s">
        <v>145</v>
      </c>
      <c r="O21" s="30" t="s">
        <v>145</v>
      </c>
      <c r="P21" s="30" t="s">
        <v>145</v>
      </c>
      <c r="Q21" s="30" t="s">
        <v>3096</v>
      </c>
      <c r="R21" s="30" t="s">
        <v>3055</v>
      </c>
      <c r="S21" s="30" t="s">
        <v>3097</v>
      </c>
      <c r="T21" s="30" t="s">
        <v>3098</v>
      </c>
      <c r="U21" s="30" t="s">
        <v>970</v>
      </c>
      <c r="V21" s="30">
        <v>2022.0</v>
      </c>
      <c r="W21" s="30" t="s">
        <v>3058</v>
      </c>
      <c r="X21" s="30" t="s">
        <v>3037</v>
      </c>
      <c r="Y21" s="30" t="s">
        <v>3018</v>
      </c>
      <c r="Z21" s="30" t="s">
        <v>3038</v>
      </c>
      <c r="AA21" s="30" t="s">
        <v>3039</v>
      </c>
      <c r="AB21" s="30" t="s">
        <v>1109</v>
      </c>
      <c r="AC21" s="30" t="s">
        <v>3021</v>
      </c>
      <c r="AD21" s="30" t="s">
        <v>1109</v>
      </c>
      <c r="AE21" s="30" t="s">
        <v>3099</v>
      </c>
      <c r="AF21" s="30">
        <v>1.0E7</v>
      </c>
    </row>
    <row r="22" ht="15.75" customHeight="1">
      <c r="B22" s="78" t="s">
        <v>3008</v>
      </c>
      <c r="C22" s="30" t="s">
        <v>3023</v>
      </c>
      <c r="D22" s="30" t="s">
        <v>1296</v>
      </c>
      <c r="E22" s="30" t="s">
        <v>3100</v>
      </c>
      <c r="F22" s="116" t="s">
        <v>3101</v>
      </c>
      <c r="G22" s="78" t="s">
        <v>3008</v>
      </c>
      <c r="H22" s="36" t="s">
        <v>3006</v>
      </c>
      <c r="I22" s="36" t="s">
        <v>1109</v>
      </c>
      <c r="J22" s="32" t="s">
        <v>3102</v>
      </c>
      <c r="K22" s="31" t="str">
        <f>IFERROR(__xludf.DUMMYFUNCTION("IF(ISBLANK(J22), """", GOOGLETRANSLATE(J22, ""es"", ""en""))"),"funding source group name")</f>
        <v>funding source group name</v>
      </c>
      <c r="M22" s="30" t="s">
        <v>3010</v>
      </c>
      <c r="N22" s="30" t="s">
        <v>3053</v>
      </c>
      <c r="O22" s="30" t="s">
        <v>125</v>
      </c>
      <c r="P22" s="30" t="s">
        <v>125</v>
      </c>
      <c r="Q22" s="30" t="s">
        <v>3054</v>
      </c>
      <c r="R22" s="30" t="s">
        <v>3055</v>
      </c>
      <c r="S22" s="30" t="s">
        <v>3056</v>
      </c>
      <c r="T22" s="30" t="s">
        <v>3057</v>
      </c>
      <c r="U22" s="30" t="s">
        <v>970</v>
      </c>
      <c r="V22" s="30">
        <v>2022.0</v>
      </c>
      <c r="W22" s="30" t="s">
        <v>3058</v>
      </c>
      <c r="X22" s="30" t="s">
        <v>1542</v>
      </c>
      <c r="Y22" s="30" t="s">
        <v>3018</v>
      </c>
      <c r="Z22" s="30" t="s">
        <v>3059</v>
      </c>
      <c r="AA22" s="30" t="s">
        <v>3060</v>
      </c>
      <c r="AB22" s="30" t="s">
        <v>1109</v>
      </c>
      <c r="AC22" s="30" t="s">
        <v>3021</v>
      </c>
      <c r="AD22" s="30" t="s">
        <v>1109</v>
      </c>
      <c r="AE22" s="30" t="s">
        <v>3061</v>
      </c>
      <c r="AF22" s="30">
        <v>1000000.0</v>
      </c>
    </row>
    <row r="23" ht="15.75" customHeight="1">
      <c r="B23" s="78" t="s">
        <v>3008</v>
      </c>
      <c r="C23" s="30" t="s">
        <v>3023</v>
      </c>
      <c r="D23" s="30" t="s">
        <v>1296</v>
      </c>
      <c r="E23" s="30" t="s">
        <v>3103</v>
      </c>
      <c r="F23" s="30" t="s">
        <v>3104</v>
      </c>
      <c r="G23" s="78" t="s">
        <v>3008</v>
      </c>
      <c r="H23" s="36" t="s">
        <v>3007</v>
      </c>
      <c r="I23" s="36" t="s">
        <v>3022</v>
      </c>
      <c r="J23" s="32" t="s">
        <v>3105</v>
      </c>
      <c r="K23" s="31" t="str">
        <f>IFERROR(__xludf.DUMMYFUNCTION("IF(ISBLANK(J23), """", GOOGLETRANSLATE(J23, ""es"", ""en""))"),"current budget total value")</f>
        <v>current budget total value</v>
      </c>
      <c r="M23" s="30" t="s">
        <v>3010</v>
      </c>
      <c r="N23" s="30" t="s">
        <v>3053</v>
      </c>
      <c r="O23" s="30" t="s">
        <v>125</v>
      </c>
      <c r="P23" s="30" t="s">
        <v>125</v>
      </c>
      <c r="Q23" s="30" t="s">
        <v>3054</v>
      </c>
      <c r="R23" s="30" t="s">
        <v>3055</v>
      </c>
      <c r="S23" s="30" t="s">
        <v>3056</v>
      </c>
      <c r="T23" s="30" t="s">
        <v>3057</v>
      </c>
      <c r="U23" s="30" t="s">
        <v>970</v>
      </c>
      <c r="V23" s="30">
        <v>2022.0</v>
      </c>
      <c r="W23" s="30" t="s">
        <v>3058</v>
      </c>
      <c r="X23" s="30" t="s">
        <v>1542</v>
      </c>
      <c r="Y23" s="30" t="s">
        <v>3018</v>
      </c>
      <c r="Z23" s="30" t="s">
        <v>3059</v>
      </c>
      <c r="AA23" s="30" t="s">
        <v>3060</v>
      </c>
      <c r="AB23" s="30" t="s">
        <v>1109</v>
      </c>
      <c r="AC23" s="30" t="s">
        <v>3021</v>
      </c>
      <c r="AD23" s="30" t="s">
        <v>1109</v>
      </c>
      <c r="AE23" s="30" t="s">
        <v>3061</v>
      </c>
      <c r="AF23" s="30">
        <v>1000000.0</v>
      </c>
    </row>
    <row r="24" ht="15.75" customHeight="1">
      <c r="B24" s="78" t="s">
        <v>3008</v>
      </c>
      <c r="C24" s="30" t="s">
        <v>3023</v>
      </c>
      <c r="D24" s="30" t="s">
        <v>1296</v>
      </c>
      <c r="E24" s="30" t="s">
        <v>3106</v>
      </c>
      <c r="F24" s="30" t="s">
        <v>1513</v>
      </c>
      <c r="G24" s="78" t="s">
        <v>3008</v>
      </c>
      <c r="H24" s="36" t="s">
        <v>1398</v>
      </c>
      <c r="I24" s="36">
        <v>3.5952928E8</v>
      </c>
      <c r="J24" s="32" t="s">
        <v>3107</v>
      </c>
      <c r="K24" s="31" t="str">
        <f>IFERROR(__xludf.DUMMYFUNCTION("IF(ISBLANK(J24), """", GOOGLETRANSLATE(J24, ""es"", ""en""))"),"total accrued value")</f>
        <v>total accrued value</v>
      </c>
      <c r="M24" s="30" t="s">
        <v>3010</v>
      </c>
      <c r="N24" s="30" t="s">
        <v>3053</v>
      </c>
      <c r="O24" s="30" t="s">
        <v>125</v>
      </c>
      <c r="P24" s="30" t="s">
        <v>125</v>
      </c>
      <c r="Q24" s="30" t="s">
        <v>3054</v>
      </c>
      <c r="R24" s="30" t="s">
        <v>3055</v>
      </c>
      <c r="S24" s="30" t="s">
        <v>3056</v>
      </c>
      <c r="T24" s="30" t="s">
        <v>3057</v>
      </c>
      <c r="U24" s="30" t="s">
        <v>970</v>
      </c>
      <c r="V24" s="30">
        <v>2022.0</v>
      </c>
      <c r="W24" s="30" t="s">
        <v>3058</v>
      </c>
      <c r="X24" s="30" t="s">
        <v>1542</v>
      </c>
      <c r="Y24" s="30" t="s">
        <v>3018</v>
      </c>
      <c r="Z24" s="30" t="s">
        <v>3059</v>
      </c>
      <c r="AA24" s="30" t="s">
        <v>3060</v>
      </c>
      <c r="AB24" s="30" t="s">
        <v>1109</v>
      </c>
      <c r="AC24" s="30" t="s">
        <v>3021</v>
      </c>
      <c r="AD24" s="30" t="s">
        <v>1109</v>
      </c>
      <c r="AE24" s="30" t="s">
        <v>3061</v>
      </c>
      <c r="AF24" s="30">
        <v>1000000.0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2:K2"/>
    <mergeCell ref="G3:I3"/>
    <mergeCell ref="J3:K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0"/>
  <cols>
    <col customWidth="1" min="1" max="1" width="3.88"/>
    <col customWidth="1" min="2" max="2" width="23.63"/>
    <col customWidth="1" min="3" max="3" width="66.25"/>
    <col customWidth="1" min="4" max="5" width="31.63"/>
  </cols>
  <sheetData>
    <row r="1" ht="15.75" customHeight="1"/>
    <row r="2" ht="15.75" customHeight="1">
      <c r="B2" s="162" t="s">
        <v>3108</v>
      </c>
      <c r="C2" s="4"/>
    </row>
    <row r="3" ht="15.75" customHeight="1"/>
    <row r="4" ht="15.75" customHeight="1">
      <c r="B4" s="128" t="s">
        <v>3109</v>
      </c>
      <c r="G4" s="128" t="s">
        <v>33</v>
      </c>
    </row>
    <row r="5" ht="15.75" customHeight="1">
      <c r="B5" s="26" t="s">
        <v>1689</v>
      </c>
      <c r="C5" s="26" t="s">
        <v>1690</v>
      </c>
      <c r="D5" s="26" t="s">
        <v>1691</v>
      </c>
      <c r="E5" s="26" t="s">
        <v>1692</v>
      </c>
      <c r="G5" s="29" t="s">
        <v>3064</v>
      </c>
      <c r="H5" s="29" t="s">
        <v>3110</v>
      </c>
      <c r="I5" s="29" t="s">
        <v>3111</v>
      </c>
      <c r="J5" s="29" t="s">
        <v>3112</v>
      </c>
      <c r="K5" s="29" t="s">
        <v>3113</v>
      </c>
      <c r="L5" s="29" t="s">
        <v>3114</v>
      </c>
      <c r="M5" s="29" t="s">
        <v>3115</v>
      </c>
      <c r="N5" s="29" t="s">
        <v>3116</v>
      </c>
      <c r="O5" s="29" t="s">
        <v>3117</v>
      </c>
      <c r="P5" s="29" t="s">
        <v>3118</v>
      </c>
      <c r="Q5" s="29" t="s">
        <v>3119</v>
      </c>
      <c r="R5" s="29" t="s">
        <v>3120</v>
      </c>
      <c r="S5" s="29" t="s">
        <v>3121</v>
      </c>
      <c r="T5" s="29" t="s">
        <v>3122</v>
      </c>
      <c r="U5" s="29" t="s">
        <v>3123</v>
      </c>
      <c r="V5" s="29" t="s">
        <v>3124</v>
      </c>
      <c r="W5" s="29" t="s">
        <v>3125</v>
      </c>
      <c r="X5" s="29" t="s">
        <v>3126</v>
      </c>
      <c r="Y5" s="29" t="s">
        <v>3127</v>
      </c>
      <c r="Z5" s="29" t="s">
        <v>3128</v>
      </c>
      <c r="AA5" s="29" t="s">
        <v>3129</v>
      </c>
      <c r="AB5" s="29" t="s">
        <v>1147</v>
      </c>
      <c r="AC5" s="29" t="s">
        <v>1150</v>
      </c>
      <c r="AD5" s="29" t="s">
        <v>1152</v>
      </c>
      <c r="AE5" s="29" t="s">
        <v>3130</v>
      </c>
      <c r="AF5" s="29" t="s">
        <v>3131</v>
      </c>
      <c r="AG5" s="29" t="s">
        <v>3132</v>
      </c>
    </row>
    <row r="6" ht="15.75" customHeight="1">
      <c r="B6" s="36" t="s">
        <v>3064</v>
      </c>
      <c r="C6" s="32">
        <v>2022.0</v>
      </c>
      <c r="D6" s="30" t="s">
        <v>3133</v>
      </c>
      <c r="E6" s="31" t="str">
        <f>IFERROR(__xludf.DUMMYFUNCTION("IF(ISBLANK(D6), """", GOOGLETRANSLATE(D6, ""es"", ""en""))"),"Year / Period of Imputation")</f>
        <v>Year / Period of Imputation</v>
      </c>
      <c r="G6" s="30">
        <v>2022.0</v>
      </c>
      <c r="H6" s="30" t="s">
        <v>3134</v>
      </c>
      <c r="I6" s="30" t="s">
        <v>3135</v>
      </c>
      <c r="J6" s="30" t="s">
        <v>3136</v>
      </c>
      <c r="K6" s="30" t="s">
        <v>3137</v>
      </c>
      <c r="L6" s="30" t="s">
        <v>3138</v>
      </c>
      <c r="M6" s="30" t="s">
        <v>3139</v>
      </c>
      <c r="N6" s="30" t="s">
        <v>3140</v>
      </c>
      <c r="O6" s="30" t="s">
        <v>3141</v>
      </c>
      <c r="P6" s="30" t="s">
        <v>3142</v>
      </c>
      <c r="Q6" s="30" t="s">
        <v>3143</v>
      </c>
      <c r="R6" s="30" t="s">
        <v>3144</v>
      </c>
      <c r="S6" s="30" t="s">
        <v>3145</v>
      </c>
      <c r="T6" s="30" t="s">
        <v>3146</v>
      </c>
      <c r="U6" s="30" t="s">
        <v>3147</v>
      </c>
      <c r="V6" s="30" t="s">
        <v>3148</v>
      </c>
      <c r="W6" s="30" t="s">
        <v>3149</v>
      </c>
      <c r="X6" s="30" t="s">
        <v>3150</v>
      </c>
      <c r="Y6" s="30" t="s">
        <v>3151</v>
      </c>
      <c r="Z6" s="30" t="s">
        <v>3152</v>
      </c>
      <c r="AA6" s="30" t="s">
        <v>3153</v>
      </c>
      <c r="AB6" s="30">
        <v>0.0</v>
      </c>
      <c r="AC6" s="30">
        <v>9.9414E7</v>
      </c>
      <c r="AD6" s="30">
        <v>9.9414E7</v>
      </c>
      <c r="AE6" s="30">
        <v>0.0</v>
      </c>
      <c r="AF6" s="30">
        <v>9.9414E7</v>
      </c>
      <c r="AG6" s="30">
        <v>9.9414E7</v>
      </c>
    </row>
    <row r="7" ht="15.75" customHeight="1">
      <c r="B7" s="36" t="s">
        <v>3110</v>
      </c>
      <c r="C7" s="32" t="s">
        <v>3134</v>
      </c>
      <c r="D7" s="30" t="s">
        <v>3154</v>
      </c>
      <c r="E7" s="31" t="str">
        <f>IFERROR(__xludf.DUMMYFUNCTION("IF(ISBLANK(D7), """", GOOGLETRANSLATE(D7, ""es"", ""en""))"),"Section Name")</f>
        <v>Section Name</v>
      </c>
      <c r="G7" s="30">
        <v>2022.0</v>
      </c>
      <c r="H7" s="30" t="s">
        <v>3134</v>
      </c>
      <c r="I7" s="30" t="s">
        <v>3135</v>
      </c>
      <c r="J7" s="30" t="s">
        <v>3136</v>
      </c>
      <c r="K7" s="30" t="s">
        <v>3137</v>
      </c>
      <c r="L7" s="30" t="s">
        <v>3138</v>
      </c>
      <c r="M7" s="30" t="s">
        <v>3139</v>
      </c>
      <c r="N7" s="30" t="s">
        <v>3140</v>
      </c>
      <c r="O7" s="30" t="s">
        <v>3141</v>
      </c>
      <c r="P7" s="30" t="s">
        <v>3142</v>
      </c>
      <c r="Q7" s="30" t="s">
        <v>3143</v>
      </c>
      <c r="R7" s="30" t="s">
        <v>3144</v>
      </c>
      <c r="S7" s="30" t="s">
        <v>3145</v>
      </c>
      <c r="T7" s="30" t="s">
        <v>3146</v>
      </c>
      <c r="U7" s="30" t="s">
        <v>3147</v>
      </c>
      <c r="V7" s="30" t="s">
        <v>3148</v>
      </c>
      <c r="W7" s="30" t="s">
        <v>3149</v>
      </c>
      <c r="X7" s="30" t="s">
        <v>3150</v>
      </c>
      <c r="Y7" s="30" t="s">
        <v>3155</v>
      </c>
      <c r="Z7" s="30" t="s">
        <v>3156</v>
      </c>
      <c r="AA7" s="30" t="s">
        <v>3153</v>
      </c>
      <c r="AB7" s="30">
        <v>0.0</v>
      </c>
      <c r="AC7" s="30" t="s">
        <v>3157</v>
      </c>
      <c r="AD7" s="30" t="s">
        <v>3157</v>
      </c>
      <c r="AE7" s="30" t="s">
        <v>3158</v>
      </c>
      <c r="AF7" s="30" t="s">
        <v>3159</v>
      </c>
      <c r="AG7" s="30" t="s">
        <v>3159</v>
      </c>
    </row>
    <row r="8" ht="15.75" customHeight="1">
      <c r="B8" s="36" t="s">
        <v>3111</v>
      </c>
      <c r="C8" s="32" t="s">
        <v>3135</v>
      </c>
      <c r="D8" s="30" t="s">
        <v>3160</v>
      </c>
      <c r="E8" s="31" t="str">
        <f>IFERROR(__xludf.DUMMYFUNCTION("IF(ISBLANK(D8), """", GOOGLETRANSLATE(D8, ""es"", ""en""))"),"Chapter name")</f>
        <v>Chapter name</v>
      </c>
      <c r="G8" s="30">
        <v>2022.0</v>
      </c>
      <c r="H8" s="30" t="s">
        <v>3134</v>
      </c>
      <c r="I8" s="30" t="s">
        <v>3135</v>
      </c>
      <c r="J8" s="30" t="s">
        <v>3136</v>
      </c>
      <c r="K8" s="30" t="s">
        <v>3137</v>
      </c>
      <c r="L8" s="30" t="s">
        <v>3138</v>
      </c>
      <c r="M8" s="30" t="s">
        <v>3139</v>
      </c>
      <c r="N8" s="30" t="s">
        <v>3140</v>
      </c>
      <c r="O8" s="30" t="s">
        <v>3141</v>
      </c>
      <c r="P8" s="30" t="s">
        <v>3142</v>
      </c>
      <c r="Q8" s="30" t="s">
        <v>3143</v>
      </c>
      <c r="R8" s="30" t="s">
        <v>3144</v>
      </c>
      <c r="S8" s="30" t="s">
        <v>3145</v>
      </c>
      <c r="T8" s="30" t="s">
        <v>3146</v>
      </c>
      <c r="U8" s="30" t="s">
        <v>3147</v>
      </c>
      <c r="V8" s="30" t="s">
        <v>3148</v>
      </c>
      <c r="W8" s="30" t="s">
        <v>3149</v>
      </c>
      <c r="X8" s="30" t="s">
        <v>3161</v>
      </c>
      <c r="Y8" s="30" t="s">
        <v>3162</v>
      </c>
      <c r="Z8" s="30" t="s">
        <v>3163</v>
      </c>
      <c r="AA8" s="30" t="s">
        <v>3153</v>
      </c>
      <c r="AB8" s="30">
        <v>0.0</v>
      </c>
      <c r="AC8" s="30" t="s">
        <v>3164</v>
      </c>
      <c r="AD8" s="30" t="s">
        <v>3164</v>
      </c>
      <c r="AE8" s="30" t="s">
        <v>3165</v>
      </c>
      <c r="AF8" s="30" t="s">
        <v>3166</v>
      </c>
      <c r="AG8" s="30" t="s">
        <v>3166</v>
      </c>
    </row>
    <row r="9" ht="15.75" customHeight="1">
      <c r="B9" s="36" t="s">
        <v>3112</v>
      </c>
      <c r="C9" s="32" t="s">
        <v>3136</v>
      </c>
      <c r="D9" s="30" t="s">
        <v>3167</v>
      </c>
      <c r="E9" s="31" t="str">
        <f>IFERROR(__xludf.DUMMYFUNCTION("IF(ISBLANK(D9), """", GOOGLETRANSLATE(D9, ""es"", ""en""))"),"Subchapter name")</f>
        <v>Subchapter name</v>
      </c>
      <c r="G9" s="30">
        <v>2022.0</v>
      </c>
      <c r="H9" s="30" t="s">
        <v>3134</v>
      </c>
      <c r="I9" s="30" t="s">
        <v>3135</v>
      </c>
      <c r="J9" s="30" t="s">
        <v>3136</v>
      </c>
      <c r="K9" s="30" t="s">
        <v>3137</v>
      </c>
      <c r="L9" s="30" t="s">
        <v>3168</v>
      </c>
      <c r="M9" s="30" t="s">
        <v>3169</v>
      </c>
      <c r="N9" s="30" t="s">
        <v>3170</v>
      </c>
      <c r="O9" s="30" t="s">
        <v>3171</v>
      </c>
      <c r="P9" s="30" t="s">
        <v>3142</v>
      </c>
      <c r="Q9" s="30" t="s">
        <v>3143</v>
      </c>
      <c r="R9" s="30" t="s">
        <v>3144</v>
      </c>
      <c r="S9" s="30" t="s">
        <v>3172</v>
      </c>
      <c r="T9" s="30" t="s">
        <v>3173</v>
      </c>
      <c r="U9" s="30" t="s">
        <v>3174</v>
      </c>
      <c r="V9" s="30" t="s">
        <v>3148</v>
      </c>
      <c r="W9" s="30" t="s">
        <v>3175</v>
      </c>
      <c r="X9" s="30" t="s">
        <v>3176</v>
      </c>
      <c r="Y9" s="30" t="s">
        <v>3177</v>
      </c>
      <c r="Z9" s="30" t="s">
        <v>3178</v>
      </c>
      <c r="AA9" s="30" t="s">
        <v>3179</v>
      </c>
      <c r="AB9" s="30">
        <v>0.0</v>
      </c>
      <c r="AC9" s="30" t="s">
        <v>3180</v>
      </c>
      <c r="AD9" s="30" t="s">
        <v>3180</v>
      </c>
      <c r="AE9" s="30">
        <v>0.0</v>
      </c>
      <c r="AF9" s="30" t="s">
        <v>3180</v>
      </c>
      <c r="AG9" s="30" t="s">
        <v>3180</v>
      </c>
    </row>
    <row r="10" ht="15.75" customHeight="1">
      <c r="B10" s="36" t="s">
        <v>3113</v>
      </c>
      <c r="C10" s="32" t="s">
        <v>3137</v>
      </c>
      <c r="D10" s="30" t="s">
        <v>3181</v>
      </c>
      <c r="E10" s="31" t="str">
        <f>IFERROR(__xludf.DUMMYFUNCTION("IF(ISBLANK(D10), """", GOOGLETRANSLATE(D10, ""es"", ""en""))"),"Name of the Executing Unit")</f>
        <v>Name of the Executing Unit</v>
      </c>
      <c r="G10" s="30">
        <v>2022.0</v>
      </c>
      <c r="H10" s="30" t="s">
        <v>3134</v>
      </c>
      <c r="I10" s="30" t="s">
        <v>3135</v>
      </c>
      <c r="J10" s="30" t="s">
        <v>3136</v>
      </c>
      <c r="K10" s="30" t="s">
        <v>3137</v>
      </c>
      <c r="L10" s="30" t="s">
        <v>3182</v>
      </c>
      <c r="M10" s="30" t="s">
        <v>3183</v>
      </c>
      <c r="N10" s="30" t="s">
        <v>3184</v>
      </c>
      <c r="O10" s="30" t="s">
        <v>3185</v>
      </c>
      <c r="P10" s="30" t="s">
        <v>3142</v>
      </c>
      <c r="Q10" s="30" t="s">
        <v>3143</v>
      </c>
      <c r="R10" s="30" t="s">
        <v>3144</v>
      </c>
      <c r="S10" s="30" t="s">
        <v>3145</v>
      </c>
      <c r="T10" s="30" t="s">
        <v>3146</v>
      </c>
      <c r="U10" s="30" t="s">
        <v>3186</v>
      </c>
      <c r="V10" s="30" t="s">
        <v>3148</v>
      </c>
      <c r="W10" s="30" t="s">
        <v>3187</v>
      </c>
      <c r="X10" s="30" t="s">
        <v>3188</v>
      </c>
      <c r="Y10" s="30" t="s">
        <v>3189</v>
      </c>
      <c r="Z10" s="30" t="s">
        <v>3190</v>
      </c>
      <c r="AA10" s="30" t="s">
        <v>3191</v>
      </c>
      <c r="AB10" s="30">
        <v>0.0</v>
      </c>
      <c r="AC10" s="30">
        <v>1800000.0</v>
      </c>
      <c r="AD10" s="30">
        <v>1800000.0</v>
      </c>
      <c r="AE10" s="30">
        <v>0.0</v>
      </c>
      <c r="AF10" s="30">
        <v>1800000.0</v>
      </c>
      <c r="AG10" s="30">
        <v>1800000.0</v>
      </c>
    </row>
    <row r="11" ht="15.75" customHeight="1">
      <c r="B11" s="36" t="s">
        <v>3114</v>
      </c>
      <c r="C11" s="32" t="s">
        <v>3138</v>
      </c>
      <c r="D11" s="30" t="s">
        <v>3192</v>
      </c>
      <c r="E11" s="31" t="str">
        <f>IFERROR(__xludf.DUMMYFUNCTION("IF(ISBLANK(D11), """", GOOGLETRANSLATE(D11, ""es"", ""en""))"),"Budget line program")</f>
        <v>Budget line program</v>
      </c>
      <c r="G11" s="30">
        <v>2022.0</v>
      </c>
      <c r="H11" s="30" t="s">
        <v>3134</v>
      </c>
      <c r="I11" s="30" t="s">
        <v>3135</v>
      </c>
      <c r="J11" s="30" t="s">
        <v>3136</v>
      </c>
      <c r="K11" s="30" t="s">
        <v>3137</v>
      </c>
      <c r="L11" s="30" t="s">
        <v>3182</v>
      </c>
      <c r="M11" s="30" t="s">
        <v>3183</v>
      </c>
      <c r="N11" s="30" t="s">
        <v>3184</v>
      </c>
      <c r="O11" s="30" t="s">
        <v>3185</v>
      </c>
      <c r="P11" s="30" t="s">
        <v>3142</v>
      </c>
      <c r="Q11" s="30" t="s">
        <v>3143</v>
      </c>
      <c r="R11" s="30" t="s">
        <v>3144</v>
      </c>
      <c r="S11" s="30" t="s">
        <v>3145</v>
      </c>
      <c r="T11" s="30" t="s">
        <v>3146</v>
      </c>
      <c r="U11" s="30" t="s">
        <v>3186</v>
      </c>
      <c r="V11" s="30" t="s">
        <v>3148</v>
      </c>
      <c r="W11" s="30" t="s">
        <v>3175</v>
      </c>
      <c r="X11" s="30" t="s">
        <v>3193</v>
      </c>
      <c r="Y11" s="30" t="s">
        <v>3194</v>
      </c>
      <c r="Z11" s="30" t="s">
        <v>3195</v>
      </c>
      <c r="AA11" s="30" t="s">
        <v>3196</v>
      </c>
      <c r="AB11" s="30">
        <v>0.0</v>
      </c>
      <c r="AC11" s="30" t="s">
        <v>3197</v>
      </c>
      <c r="AD11" s="30" t="s">
        <v>3197</v>
      </c>
      <c r="AE11" s="30" t="s">
        <v>3198</v>
      </c>
      <c r="AF11" s="30" t="s">
        <v>3199</v>
      </c>
      <c r="AG11" s="30" t="s">
        <v>3199</v>
      </c>
    </row>
    <row r="12" ht="15.75" customHeight="1">
      <c r="B12" s="36" t="s">
        <v>3115</v>
      </c>
      <c r="C12" s="32" t="s">
        <v>3139</v>
      </c>
      <c r="D12" s="30" t="s">
        <v>3200</v>
      </c>
      <c r="E12" s="31" t="str">
        <f>IFERROR(__xludf.DUMMYFUNCTION("IF(ISBLANK(D12), """", GOOGLETRANSLATE(D12, ""es"", ""en""))"),"Product name")</f>
        <v>Product name</v>
      </c>
      <c r="G12" s="30">
        <v>2022.0</v>
      </c>
      <c r="H12" s="30" t="s">
        <v>3134</v>
      </c>
      <c r="I12" s="30" t="s">
        <v>3135</v>
      </c>
      <c r="J12" s="30" t="s">
        <v>3136</v>
      </c>
      <c r="K12" s="30" t="s">
        <v>3137</v>
      </c>
      <c r="L12" s="30" t="s">
        <v>3182</v>
      </c>
      <c r="M12" s="30" t="s">
        <v>3183</v>
      </c>
      <c r="N12" s="30" t="s">
        <v>3184</v>
      </c>
      <c r="O12" s="30" t="s">
        <v>3185</v>
      </c>
      <c r="P12" s="30" t="s">
        <v>3142</v>
      </c>
      <c r="Q12" s="30" t="s">
        <v>3143</v>
      </c>
      <c r="R12" s="30" t="s">
        <v>3144</v>
      </c>
      <c r="S12" s="30" t="s">
        <v>3145</v>
      </c>
      <c r="T12" s="30" t="s">
        <v>3146</v>
      </c>
      <c r="U12" s="30" t="s">
        <v>3186</v>
      </c>
      <c r="V12" s="30" t="s">
        <v>3148</v>
      </c>
      <c r="W12" s="30" t="s">
        <v>3175</v>
      </c>
      <c r="X12" s="30" t="s">
        <v>3193</v>
      </c>
      <c r="Y12" s="30" t="s">
        <v>3194</v>
      </c>
      <c r="Z12" s="30" t="s">
        <v>3195</v>
      </c>
      <c r="AA12" s="30" t="s">
        <v>3201</v>
      </c>
      <c r="AB12" s="30">
        <v>0.0</v>
      </c>
      <c r="AC12" s="30" t="s">
        <v>3202</v>
      </c>
      <c r="AD12" s="30" t="s">
        <v>3202</v>
      </c>
      <c r="AE12" s="30">
        <v>0.0</v>
      </c>
      <c r="AF12" s="30" t="s">
        <v>3202</v>
      </c>
      <c r="AG12" s="30" t="s">
        <v>3202</v>
      </c>
    </row>
    <row r="13" ht="15.75" customHeight="1">
      <c r="B13" s="36" t="s">
        <v>3116</v>
      </c>
      <c r="C13" s="32" t="s">
        <v>3140</v>
      </c>
      <c r="D13" s="30" t="s">
        <v>1815</v>
      </c>
      <c r="E13" s="31" t="str">
        <f>IFERROR(__xludf.DUMMYFUNCTION("IF(ISBLANK(D13), """", GOOGLETRANSLATE(D13, ""es"", ""en""))"),"Project's name")</f>
        <v>Project's name</v>
      </c>
      <c r="G13" s="30">
        <v>2022.0</v>
      </c>
      <c r="H13" s="30" t="s">
        <v>3134</v>
      </c>
      <c r="I13" s="30" t="s">
        <v>3135</v>
      </c>
      <c r="J13" s="30" t="s">
        <v>3136</v>
      </c>
      <c r="K13" s="30" t="s">
        <v>3137</v>
      </c>
      <c r="L13" s="30" t="s">
        <v>3182</v>
      </c>
      <c r="M13" s="30" t="s">
        <v>3183</v>
      </c>
      <c r="N13" s="30" t="s">
        <v>3184</v>
      </c>
      <c r="O13" s="30" t="s">
        <v>3185</v>
      </c>
      <c r="P13" s="30" t="s">
        <v>3142</v>
      </c>
      <c r="Q13" s="30" t="s">
        <v>3143</v>
      </c>
      <c r="R13" s="30" t="s">
        <v>3144</v>
      </c>
      <c r="S13" s="30" t="s">
        <v>3145</v>
      </c>
      <c r="T13" s="30" t="s">
        <v>3203</v>
      </c>
      <c r="U13" s="30" t="s">
        <v>3204</v>
      </c>
      <c r="V13" s="30" t="s">
        <v>3148</v>
      </c>
      <c r="W13" s="30" t="s">
        <v>3187</v>
      </c>
      <c r="X13" s="30" t="s">
        <v>3205</v>
      </c>
      <c r="Y13" s="30" t="s">
        <v>3206</v>
      </c>
      <c r="Z13" s="30" t="s">
        <v>3207</v>
      </c>
      <c r="AA13" s="30" t="s">
        <v>3208</v>
      </c>
      <c r="AB13" s="30">
        <v>0.0</v>
      </c>
      <c r="AC13" s="30">
        <v>1.3072472E7</v>
      </c>
      <c r="AD13" s="30">
        <v>1.3072472E7</v>
      </c>
      <c r="AE13" s="30">
        <v>0.0</v>
      </c>
      <c r="AF13" s="30">
        <v>1.3072472E7</v>
      </c>
      <c r="AG13" s="30">
        <v>1.3072472E7</v>
      </c>
    </row>
    <row r="14" ht="15.75" customHeight="1">
      <c r="B14" s="36" t="s">
        <v>3117</v>
      </c>
      <c r="C14" s="32" t="s">
        <v>3141</v>
      </c>
      <c r="D14" s="30" t="s">
        <v>3209</v>
      </c>
      <c r="E14" s="31" t="str">
        <f>IFERROR(__xludf.DUMMYFUNCTION("IF(ISBLANK(D14), """", GOOGLETRANSLATE(D14, ""es"", ""en""))"),"Name of the activity")</f>
        <v>Name of the activity</v>
      </c>
      <c r="G14" s="30">
        <v>2022.0</v>
      </c>
      <c r="H14" s="30" t="s">
        <v>3134</v>
      </c>
      <c r="I14" s="30" t="s">
        <v>3135</v>
      </c>
      <c r="J14" s="30" t="s">
        <v>3136</v>
      </c>
      <c r="K14" s="30" t="s">
        <v>3137</v>
      </c>
      <c r="L14" s="30" t="s">
        <v>3182</v>
      </c>
      <c r="M14" s="30" t="s">
        <v>3183</v>
      </c>
      <c r="N14" s="30" t="s">
        <v>3184</v>
      </c>
      <c r="O14" s="30" t="s">
        <v>3185</v>
      </c>
      <c r="P14" s="30" t="s">
        <v>3142</v>
      </c>
      <c r="Q14" s="30" t="s">
        <v>3143</v>
      </c>
      <c r="R14" s="30" t="s">
        <v>3144</v>
      </c>
      <c r="S14" s="30" t="s">
        <v>3145</v>
      </c>
      <c r="T14" s="30" t="s">
        <v>3203</v>
      </c>
      <c r="U14" s="30" t="s">
        <v>3204</v>
      </c>
      <c r="V14" s="30" t="s">
        <v>3148</v>
      </c>
      <c r="W14" s="30" t="s">
        <v>3175</v>
      </c>
      <c r="X14" s="30" t="s">
        <v>3210</v>
      </c>
      <c r="Y14" s="30" t="s">
        <v>3211</v>
      </c>
      <c r="Z14" s="30" t="s">
        <v>3212</v>
      </c>
      <c r="AA14" s="30" t="s">
        <v>3208</v>
      </c>
      <c r="AB14" s="30">
        <v>0.0</v>
      </c>
      <c r="AC14" s="30">
        <v>1.37185E7</v>
      </c>
      <c r="AD14" s="30">
        <v>1.37185E7</v>
      </c>
      <c r="AE14" s="30">
        <v>0.0</v>
      </c>
      <c r="AF14" s="30">
        <v>1.37185E7</v>
      </c>
      <c r="AG14" s="30">
        <v>1.37185E7</v>
      </c>
    </row>
    <row r="15" ht="15.75" customHeight="1">
      <c r="B15" s="36" t="s">
        <v>3118</v>
      </c>
      <c r="C15" s="32" t="s">
        <v>3142</v>
      </c>
      <c r="D15" s="30" t="s">
        <v>3213</v>
      </c>
      <c r="E15" s="31" t="str">
        <f>IFERROR(__xludf.DUMMYFUNCTION("IF(ISBLANK(D15), """", GOOGLETRANSLATE(D15, ""es"", ""en""))"),"Name of the Financing Organization")</f>
        <v>Name of the Financing Organization</v>
      </c>
      <c r="G15" s="30">
        <v>2022.0</v>
      </c>
      <c r="H15" s="30" t="s">
        <v>3134</v>
      </c>
      <c r="I15" s="30" t="s">
        <v>3135</v>
      </c>
      <c r="J15" s="30" t="s">
        <v>3136</v>
      </c>
      <c r="K15" s="30" t="s">
        <v>3137</v>
      </c>
      <c r="L15" s="30" t="s">
        <v>3182</v>
      </c>
      <c r="M15" s="30" t="s">
        <v>3183</v>
      </c>
      <c r="N15" s="30" t="s">
        <v>3184</v>
      </c>
      <c r="O15" s="30" t="s">
        <v>3185</v>
      </c>
      <c r="P15" s="30" t="s">
        <v>3142</v>
      </c>
      <c r="Q15" s="30" t="s">
        <v>3143</v>
      </c>
      <c r="R15" s="30" t="s">
        <v>3144</v>
      </c>
      <c r="S15" s="30" t="s">
        <v>3172</v>
      </c>
      <c r="T15" s="30" t="s">
        <v>3214</v>
      </c>
      <c r="U15" s="30" t="s">
        <v>3215</v>
      </c>
      <c r="V15" s="30" t="s">
        <v>3148</v>
      </c>
      <c r="W15" s="30" t="s">
        <v>3175</v>
      </c>
      <c r="X15" s="30" t="s">
        <v>3210</v>
      </c>
      <c r="Y15" s="30" t="s">
        <v>3216</v>
      </c>
      <c r="Z15" s="30" t="s">
        <v>3217</v>
      </c>
      <c r="AA15" s="30" t="s">
        <v>3218</v>
      </c>
      <c r="AB15" s="30">
        <v>0.0</v>
      </c>
      <c r="AC15" s="30" t="s">
        <v>3219</v>
      </c>
      <c r="AD15" s="30" t="s">
        <v>3219</v>
      </c>
      <c r="AE15" s="30">
        <v>0.0</v>
      </c>
      <c r="AF15" s="30" t="s">
        <v>3219</v>
      </c>
      <c r="AG15" s="30" t="s">
        <v>3219</v>
      </c>
    </row>
    <row r="16" ht="15.75" customHeight="1">
      <c r="B16" s="36" t="s">
        <v>3119</v>
      </c>
      <c r="C16" s="32" t="s">
        <v>3143</v>
      </c>
      <c r="D16" s="30" t="s">
        <v>3220</v>
      </c>
      <c r="E16" s="31" t="str">
        <f>IFERROR(__xludf.DUMMYFUNCTION("IF(ISBLANK(D16), """", GOOGLETRANSLATE(D16, ""es"", ""en""))"),"Name of Funding Source")</f>
        <v>Name of Funding Source</v>
      </c>
      <c r="G16" s="30">
        <v>2022.0</v>
      </c>
      <c r="H16" s="30" t="s">
        <v>3134</v>
      </c>
      <c r="I16" s="30" t="s">
        <v>3135</v>
      </c>
      <c r="J16" s="30" t="s">
        <v>3136</v>
      </c>
      <c r="K16" s="30" t="s">
        <v>988</v>
      </c>
      <c r="L16" s="30" t="s">
        <v>3221</v>
      </c>
      <c r="M16" s="30" t="s">
        <v>3222</v>
      </c>
      <c r="N16" s="30" t="s">
        <v>3223</v>
      </c>
      <c r="O16" s="30" t="s">
        <v>3224</v>
      </c>
      <c r="P16" s="30" t="s">
        <v>3142</v>
      </c>
      <c r="Q16" s="30" t="s">
        <v>3143</v>
      </c>
      <c r="R16" s="30" t="s">
        <v>3144</v>
      </c>
      <c r="S16" s="30" t="s">
        <v>3145</v>
      </c>
      <c r="T16" s="30" t="s">
        <v>3146</v>
      </c>
      <c r="U16" s="30" t="s">
        <v>3147</v>
      </c>
      <c r="V16" s="30" t="s">
        <v>3148</v>
      </c>
      <c r="W16" s="30" t="s">
        <v>3149</v>
      </c>
      <c r="X16" s="30" t="s">
        <v>3150</v>
      </c>
      <c r="Y16" s="30" t="s">
        <v>3155</v>
      </c>
      <c r="Z16" s="30" t="s">
        <v>3156</v>
      </c>
      <c r="AA16" s="30" t="s">
        <v>3153</v>
      </c>
      <c r="AB16" s="30">
        <v>0.0</v>
      </c>
      <c r="AC16" s="30">
        <v>1.4085464E8</v>
      </c>
      <c r="AD16" s="30">
        <v>1.4085464E8</v>
      </c>
      <c r="AE16" s="30" t="s">
        <v>3225</v>
      </c>
      <c r="AF16" s="30" t="s">
        <v>3226</v>
      </c>
      <c r="AG16" s="30" t="s">
        <v>3226</v>
      </c>
    </row>
    <row r="17" ht="15.75" customHeight="1">
      <c r="B17" s="36" t="s">
        <v>3120</v>
      </c>
      <c r="C17" s="32" t="s">
        <v>3144</v>
      </c>
      <c r="D17" s="30" t="s">
        <v>3227</v>
      </c>
      <c r="E17" s="31" t="str">
        <f>IFERROR(__xludf.DUMMYFUNCTION("IF(ISBLANK(D17), """", GOOGLETRANSLATE(D17, ""es"", ""en""))"),"Specific Source Name")</f>
        <v>Specific Source Name</v>
      </c>
      <c r="G17" s="30">
        <v>2022.0</v>
      </c>
      <c r="H17" s="30" t="s">
        <v>3134</v>
      </c>
      <c r="I17" s="30" t="s">
        <v>3135</v>
      </c>
      <c r="J17" s="30" t="s">
        <v>3136</v>
      </c>
      <c r="K17" s="30" t="s">
        <v>988</v>
      </c>
      <c r="L17" s="30" t="s">
        <v>3221</v>
      </c>
      <c r="M17" s="30" t="s">
        <v>3222</v>
      </c>
      <c r="N17" s="30" t="s">
        <v>3223</v>
      </c>
      <c r="O17" s="30" t="s">
        <v>3224</v>
      </c>
      <c r="P17" s="30" t="s">
        <v>3142</v>
      </c>
      <c r="Q17" s="30" t="s">
        <v>3143</v>
      </c>
      <c r="R17" s="30" t="s">
        <v>3144</v>
      </c>
      <c r="S17" s="30" t="s">
        <v>3145</v>
      </c>
      <c r="T17" s="30" t="s">
        <v>3146</v>
      </c>
      <c r="U17" s="30" t="s">
        <v>3147</v>
      </c>
      <c r="V17" s="30" t="s">
        <v>3148</v>
      </c>
      <c r="W17" s="30" t="s">
        <v>3149</v>
      </c>
      <c r="X17" s="30" t="s">
        <v>3161</v>
      </c>
      <c r="Y17" s="30" t="s">
        <v>3228</v>
      </c>
      <c r="Z17" s="30" t="s">
        <v>3229</v>
      </c>
      <c r="AA17" s="30" t="s">
        <v>3153</v>
      </c>
      <c r="AB17" s="30">
        <v>0.0</v>
      </c>
      <c r="AC17" s="30">
        <v>5.0E7</v>
      </c>
      <c r="AD17" s="30">
        <v>5.0E7</v>
      </c>
      <c r="AE17" s="30">
        <v>1036490.0</v>
      </c>
      <c r="AF17" s="30">
        <v>4.896351E7</v>
      </c>
      <c r="AG17" s="30">
        <v>4.896351E7</v>
      </c>
    </row>
    <row r="18" ht="15.75" customHeight="1">
      <c r="B18" s="36" t="s">
        <v>3121</v>
      </c>
      <c r="C18" s="32" t="s">
        <v>3145</v>
      </c>
      <c r="D18" s="30" t="s">
        <v>3230</v>
      </c>
      <c r="E18" s="31" t="str">
        <f>IFERROR(__xludf.DUMMYFUNCTION("IF(ISBLANK(D18), """", GOOGLETRANSLATE(D18, ""es"", ""en""))"),"Purpose Name")</f>
        <v>Purpose Name</v>
      </c>
      <c r="G18" s="30">
        <v>2022.0</v>
      </c>
      <c r="H18" s="30" t="s">
        <v>3134</v>
      </c>
      <c r="I18" s="30" t="s">
        <v>3135</v>
      </c>
      <c r="J18" s="30" t="s">
        <v>3136</v>
      </c>
      <c r="K18" s="30" t="s">
        <v>988</v>
      </c>
      <c r="L18" s="30" t="s">
        <v>3221</v>
      </c>
      <c r="M18" s="30" t="s">
        <v>3222</v>
      </c>
      <c r="N18" s="30" t="s">
        <v>3223</v>
      </c>
      <c r="O18" s="30" t="s">
        <v>3224</v>
      </c>
      <c r="P18" s="30" t="s">
        <v>3142</v>
      </c>
      <c r="Q18" s="30" t="s">
        <v>3143</v>
      </c>
      <c r="R18" s="30" t="s">
        <v>3144</v>
      </c>
      <c r="S18" s="30" t="s">
        <v>3145</v>
      </c>
      <c r="T18" s="30" t="s">
        <v>3146</v>
      </c>
      <c r="U18" s="30" t="s">
        <v>3147</v>
      </c>
      <c r="V18" s="30" t="s">
        <v>3148</v>
      </c>
      <c r="W18" s="30" t="s">
        <v>3149</v>
      </c>
      <c r="X18" s="30" t="s">
        <v>3161</v>
      </c>
      <c r="Y18" s="30" t="s">
        <v>3162</v>
      </c>
      <c r="Z18" s="30" t="s">
        <v>3231</v>
      </c>
      <c r="AA18" s="30" t="s">
        <v>3153</v>
      </c>
      <c r="AB18" s="30">
        <v>0.0</v>
      </c>
      <c r="AC18" s="30">
        <v>2.70856E7</v>
      </c>
      <c r="AD18" s="30">
        <v>2.70856E7</v>
      </c>
      <c r="AE18" s="30">
        <v>9822160.0</v>
      </c>
      <c r="AF18" s="30">
        <v>1.726344E7</v>
      </c>
      <c r="AG18" s="30">
        <v>1.726344E7</v>
      </c>
    </row>
    <row r="19" ht="15.75" customHeight="1">
      <c r="B19" s="36" t="s">
        <v>3122</v>
      </c>
      <c r="C19" s="32" t="s">
        <v>3146</v>
      </c>
      <c r="D19" s="30" t="s">
        <v>3232</v>
      </c>
      <c r="E19" s="31" t="str">
        <f>IFERROR(__xludf.DUMMYFUNCTION("IF(ISBLANK(D19), """", GOOGLETRANSLATE(D19, ""es"", ""en""))"),"Name of the Function / Sector")</f>
        <v>Name of the Function / Sector</v>
      </c>
      <c r="G19" s="30">
        <v>2022.0</v>
      </c>
      <c r="H19" s="30" t="s">
        <v>3134</v>
      </c>
      <c r="I19" s="30" t="s">
        <v>3135</v>
      </c>
      <c r="J19" s="30" t="s">
        <v>3136</v>
      </c>
      <c r="K19" s="30" t="s">
        <v>988</v>
      </c>
      <c r="L19" s="30" t="s">
        <v>3221</v>
      </c>
      <c r="M19" s="30" t="s">
        <v>3222</v>
      </c>
      <c r="N19" s="30" t="s">
        <v>3223</v>
      </c>
      <c r="O19" s="30" t="s">
        <v>3224</v>
      </c>
      <c r="P19" s="30" t="s">
        <v>3142</v>
      </c>
      <c r="Q19" s="30" t="s">
        <v>3143</v>
      </c>
      <c r="R19" s="30" t="s">
        <v>3144</v>
      </c>
      <c r="S19" s="30" t="s">
        <v>3145</v>
      </c>
      <c r="T19" s="30" t="s">
        <v>3146</v>
      </c>
      <c r="U19" s="30" t="s">
        <v>3147</v>
      </c>
      <c r="V19" s="30" t="s">
        <v>3148</v>
      </c>
      <c r="W19" s="30" t="s">
        <v>3149</v>
      </c>
      <c r="X19" s="30" t="s">
        <v>3161</v>
      </c>
      <c r="Y19" s="30" t="s">
        <v>3162</v>
      </c>
      <c r="Z19" s="30" t="s">
        <v>3163</v>
      </c>
      <c r="AA19" s="30" t="s">
        <v>3153</v>
      </c>
      <c r="AB19" s="30">
        <v>0.0</v>
      </c>
      <c r="AC19" s="30">
        <v>2.82256E7</v>
      </c>
      <c r="AD19" s="30">
        <v>2.82256E7</v>
      </c>
      <c r="AE19" s="30" t="s">
        <v>3233</v>
      </c>
      <c r="AF19" s="30" t="s">
        <v>3234</v>
      </c>
      <c r="AG19" s="30" t="s">
        <v>3234</v>
      </c>
    </row>
    <row r="20" ht="15.75" customHeight="1">
      <c r="B20" s="36" t="s">
        <v>3123</v>
      </c>
      <c r="C20" s="32" t="s">
        <v>3147</v>
      </c>
      <c r="D20" s="30" t="s">
        <v>3235</v>
      </c>
      <c r="E20" s="31" t="str">
        <f>IFERROR(__xludf.DUMMYFUNCTION("IF(ISBLANK(D20), """", GOOGLETRANSLATE(D20, ""es"", ""en""))"),"Sub function name")</f>
        <v>Sub function name</v>
      </c>
      <c r="G20" s="30">
        <v>2022.0</v>
      </c>
      <c r="H20" s="30" t="s">
        <v>3134</v>
      </c>
      <c r="I20" s="30" t="s">
        <v>3135</v>
      </c>
      <c r="J20" s="30" t="s">
        <v>3136</v>
      </c>
      <c r="K20" s="30" t="s">
        <v>988</v>
      </c>
      <c r="L20" s="30" t="s">
        <v>3221</v>
      </c>
      <c r="M20" s="30" t="s">
        <v>3222</v>
      </c>
      <c r="N20" s="30" t="s">
        <v>3223</v>
      </c>
      <c r="O20" s="30" t="s">
        <v>3224</v>
      </c>
      <c r="P20" s="30" t="s">
        <v>3142</v>
      </c>
      <c r="Q20" s="30" t="s">
        <v>3143</v>
      </c>
      <c r="R20" s="30" t="s">
        <v>3144</v>
      </c>
      <c r="S20" s="30" t="s">
        <v>3145</v>
      </c>
      <c r="T20" s="30" t="s">
        <v>3146</v>
      </c>
      <c r="U20" s="30" t="s">
        <v>3147</v>
      </c>
      <c r="V20" s="30" t="s">
        <v>3148</v>
      </c>
      <c r="W20" s="30" t="s">
        <v>3236</v>
      </c>
      <c r="X20" s="30" t="s">
        <v>3237</v>
      </c>
      <c r="Y20" s="30" t="s">
        <v>3238</v>
      </c>
      <c r="Z20" s="30" t="s">
        <v>3239</v>
      </c>
      <c r="AA20" s="30" t="s">
        <v>3153</v>
      </c>
      <c r="AB20" s="30">
        <v>0.0</v>
      </c>
      <c r="AC20" s="30">
        <v>1.0E7</v>
      </c>
      <c r="AD20" s="30">
        <v>1.0E7</v>
      </c>
      <c r="AE20" s="30" t="s">
        <v>3240</v>
      </c>
      <c r="AF20" s="30" t="s">
        <v>3241</v>
      </c>
      <c r="AG20" s="30" t="s">
        <v>3241</v>
      </c>
    </row>
    <row r="21" ht="15.75" customHeight="1">
      <c r="B21" s="36" t="s">
        <v>3124</v>
      </c>
      <c r="C21" s="32" t="s">
        <v>3148</v>
      </c>
      <c r="D21" s="30" t="s">
        <v>3242</v>
      </c>
      <c r="E21" s="31" t="str">
        <f>IFERROR(__xludf.DUMMYFUNCTION("IF(ISBLANK(D21), """", GOOGLETRANSLATE(D21, ""es"", ""en""))"),"Account type")</f>
        <v>Account type</v>
      </c>
    </row>
    <row r="22" ht="15.75" customHeight="1">
      <c r="B22" s="36" t="s">
        <v>3125</v>
      </c>
      <c r="C22" s="32" t="s">
        <v>3149</v>
      </c>
      <c r="D22" s="30" t="s">
        <v>3243</v>
      </c>
      <c r="E22" s="31" t="str">
        <f>IFERROR(__xludf.DUMMYFUNCTION("IF(ISBLANK(D22), """", GOOGLETRANSLATE(D22, ""es"", ""en""))"),"Accounting concept")</f>
        <v>Accounting concept</v>
      </c>
    </row>
    <row r="23" ht="15.75" customHeight="1">
      <c r="B23" s="36" t="s">
        <v>3126</v>
      </c>
      <c r="C23" s="32" t="s">
        <v>3150</v>
      </c>
      <c r="D23" s="30" t="s">
        <v>3244</v>
      </c>
      <c r="E23" s="31" t="str">
        <f>IFERROR(__xludf.DUMMYFUNCTION("IF(ISBLANK(D23), """", GOOGLETRANSLATE(D23, ""es"", ""en""))"),"Account name")</f>
        <v>Account name</v>
      </c>
    </row>
    <row r="24" ht="15.75" customHeight="1">
      <c r="B24" s="36" t="s">
        <v>3127</v>
      </c>
      <c r="C24" s="32" t="s">
        <v>3151</v>
      </c>
      <c r="D24" s="30" t="s">
        <v>3245</v>
      </c>
      <c r="E24" s="31" t="str">
        <f>IFERROR(__xludf.DUMMYFUNCTION("IF(ISBLANK(D24), """", GOOGLETRANSLATE(D24, ""es"", ""en""))"),"Accounting Sub Account Name")</f>
        <v>Accounting Sub Account Name</v>
      </c>
    </row>
    <row r="25" ht="15.75" customHeight="1">
      <c r="B25" s="36" t="s">
        <v>3128</v>
      </c>
      <c r="C25" s="32" t="s">
        <v>3152</v>
      </c>
      <c r="D25" s="30" t="s">
        <v>3246</v>
      </c>
      <c r="E25" s="31" t="str">
        <f>IFERROR(__xludf.DUMMYFUNCTION("IF(ISBLANK(D25), """", GOOGLETRANSLATE(D25, ""es"", ""en""))"),"Accounting assistant")</f>
        <v>Accounting assistant</v>
      </c>
    </row>
    <row r="26" ht="15.75" customHeight="1">
      <c r="B26" s="36" t="s">
        <v>3129</v>
      </c>
      <c r="C26" s="32" t="s">
        <v>3153</v>
      </c>
      <c r="D26" s="30" t="s">
        <v>3247</v>
      </c>
      <c r="E26" s="31" t="str">
        <f>IFERROR(__xludf.DUMMYFUNCTION("IF(ISBLANK(D26), """", GOOGLETRANSLATE(D26, ""es"", ""en""))"),"Receiving institution")</f>
        <v>Receiving institution</v>
      </c>
    </row>
    <row r="27" ht="15.75" customHeight="1">
      <c r="B27" s="36" t="s">
        <v>1147</v>
      </c>
      <c r="C27" s="32">
        <v>0.0</v>
      </c>
      <c r="D27" s="30" t="s">
        <v>3248</v>
      </c>
      <c r="E27" s="31" t="str">
        <f>IFERROR(__xludf.DUMMYFUNCTION("IF(ISBLANK(D27), """", GOOGLETRANSLATE(D27, ""es"", ""en""))"),"Initial value")</f>
        <v>Initial value</v>
      </c>
    </row>
    <row r="28" ht="15.75" customHeight="1">
      <c r="B28" s="36" t="s">
        <v>1150</v>
      </c>
      <c r="C28" s="32">
        <v>9.9414E7</v>
      </c>
      <c r="D28" s="30" t="s">
        <v>3249</v>
      </c>
      <c r="E28" s="31" t="str">
        <f>IFERROR(__xludf.DUMMYFUNCTION("IF(ISBLANK(D28), """", GOOGLETRANSLATE(D28, ""es"", ""en""))"),"Approved / Modified Value")</f>
        <v>Approved / Modified Value</v>
      </c>
    </row>
    <row r="29" ht="15.75" customHeight="1">
      <c r="B29" s="36" t="s">
        <v>1152</v>
      </c>
      <c r="C29" s="32">
        <v>9.9414E7</v>
      </c>
      <c r="D29" s="30" t="s">
        <v>1958</v>
      </c>
      <c r="E29" s="31" t="str">
        <f>IFERROR(__xludf.DUMMYFUNCTION("IF(ISBLANK(D29), """", GOOGLETRANSLATE(D29, ""es"", ""en""))"),"Current Value")</f>
        <v>Current Value</v>
      </c>
    </row>
    <row r="30" ht="15.75" customHeight="1">
      <c r="B30" s="36" t="s">
        <v>3130</v>
      </c>
      <c r="C30" s="32">
        <v>0.0</v>
      </c>
      <c r="D30" s="30" t="s">
        <v>3250</v>
      </c>
      <c r="E30" s="31" t="str">
        <f>IFERROR(__xludf.DUMMYFUNCTION("IF(ISBLANK(D30), """", GOOGLETRANSLATE(D30, ""es"", ""en""))"),"Unearned Available Value")</f>
        <v>Unearned Available Value</v>
      </c>
    </row>
    <row r="31" ht="15.75" customHeight="1">
      <c r="B31" s="36" t="s">
        <v>3131</v>
      </c>
      <c r="C31" s="32">
        <v>9.9414E7</v>
      </c>
      <c r="D31" s="30" t="s">
        <v>3251</v>
      </c>
      <c r="E31" s="31" t="str">
        <f>IFERROR(__xludf.DUMMYFUNCTION("IF(ISBLANK(D31), """", GOOGLETRANSLATE(D31, ""es"", ""en""))"),"Earned Value")</f>
        <v>Earned Value</v>
      </c>
    </row>
    <row r="32" ht="15.75" customHeight="1">
      <c r="B32" s="36" t="s">
        <v>3132</v>
      </c>
      <c r="C32" s="32">
        <v>9.9414E7</v>
      </c>
      <c r="D32" s="30" t="s">
        <v>3252</v>
      </c>
      <c r="E32" s="31" t="str">
        <f>IFERROR(__xludf.DUMMYFUNCTION("IF(ISBLANK(D32), """", GOOGLETRANSLATE(D32, ""es"", ""en""))"),"Released Value")</f>
        <v>Released Value</v>
      </c>
    </row>
    <row r="33" ht="15.75" customHeight="1"/>
    <row r="34" ht="15.75" customHeight="1"/>
    <row r="35" ht="15.75" customHeight="1">
      <c r="G35" s="128" t="s">
        <v>33</v>
      </c>
    </row>
    <row r="36" ht="15.75" customHeight="1">
      <c r="B36" s="128" t="s">
        <v>3253</v>
      </c>
      <c r="G36" s="6" t="s">
        <v>3064</v>
      </c>
      <c r="H36" s="6" t="s">
        <v>3254</v>
      </c>
      <c r="I36" s="6" t="s">
        <v>3110</v>
      </c>
      <c r="J36" s="6" t="s">
        <v>3111</v>
      </c>
      <c r="K36" s="6" t="s">
        <v>3112</v>
      </c>
      <c r="L36" s="6" t="s">
        <v>3113</v>
      </c>
      <c r="M36" s="6" t="s">
        <v>3114</v>
      </c>
      <c r="N36" s="6" t="s">
        <v>3115</v>
      </c>
      <c r="O36" s="6" t="s">
        <v>3116</v>
      </c>
      <c r="P36" s="6" t="s">
        <v>3117</v>
      </c>
      <c r="Q36" s="6" t="s">
        <v>3118</v>
      </c>
      <c r="R36" s="6" t="s">
        <v>3119</v>
      </c>
      <c r="S36" s="6" t="s">
        <v>3120</v>
      </c>
      <c r="T36" s="6" t="s">
        <v>3121</v>
      </c>
      <c r="U36" s="6" t="s">
        <v>3122</v>
      </c>
      <c r="V36" s="6" t="s">
        <v>3123</v>
      </c>
      <c r="W36" s="6" t="s">
        <v>3124</v>
      </c>
      <c r="X36" s="6" t="s">
        <v>3125</v>
      </c>
      <c r="Y36" s="6" t="s">
        <v>3126</v>
      </c>
      <c r="Z36" s="6" t="s">
        <v>3127</v>
      </c>
      <c r="AA36" s="6" t="s">
        <v>3128</v>
      </c>
      <c r="AB36" s="6" t="s">
        <v>3255</v>
      </c>
      <c r="AC36" s="6" t="s">
        <v>3129</v>
      </c>
      <c r="AD36" s="6" t="s">
        <v>3131</v>
      </c>
      <c r="AE36" s="6" t="s">
        <v>3132</v>
      </c>
    </row>
    <row r="37" ht="15.75" customHeight="1">
      <c r="B37" s="26" t="s">
        <v>1689</v>
      </c>
      <c r="C37" s="26" t="s">
        <v>1690</v>
      </c>
      <c r="D37" s="26" t="s">
        <v>1691</v>
      </c>
      <c r="E37" s="26" t="s">
        <v>1692</v>
      </c>
      <c r="G37" s="30">
        <v>2022.0</v>
      </c>
      <c r="H37" s="30">
        <v>3.0</v>
      </c>
      <c r="I37" s="30" t="s">
        <v>3256</v>
      </c>
      <c r="J37" s="30" t="s">
        <v>3257</v>
      </c>
      <c r="K37" s="30" t="s">
        <v>3258</v>
      </c>
      <c r="L37" s="30" t="s">
        <v>3259</v>
      </c>
      <c r="M37" s="30" t="s">
        <v>3260</v>
      </c>
      <c r="N37" s="30" t="s">
        <v>3261</v>
      </c>
      <c r="O37" s="30" t="s">
        <v>3262</v>
      </c>
      <c r="P37" s="30" t="s">
        <v>3263</v>
      </c>
      <c r="Q37" s="30" t="s">
        <v>3264</v>
      </c>
      <c r="R37" s="30" t="s">
        <v>3143</v>
      </c>
      <c r="S37" s="30" t="s">
        <v>3144</v>
      </c>
      <c r="T37" s="30" t="s">
        <v>3172</v>
      </c>
      <c r="U37" s="30" t="s">
        <v>3265</v>
      </c>
      <c r="V37" s="30" t="s">
        <v>3266</v>
      </c>
      <c r="W37" s="30" t="s">
        <v>3148</v>
      </c>
      <c r="X37" s="30" t="s">
        <v>3149</v>
      </c>
      <c r="Y37" s="30" t="s">
        <v>3150</v>
      </c>
      <c r="Z37" s="30" t="s">
        <v>3151</v>
      </c>
      <c r="AA37" s="30" t="s">
        <v>3152</v>
      </c>
      <c r="AB37" s="30" t="s">
        <v>3267</v>
      </c>
      <c r="AC37" s="30" t="s">
        <v>3153</v>
      </c>
      <c r="AD37" s="30" t="s">
        <v>3268</v>
      </c>
      <c r="AE37" s="30" t="s">
        <v>3268</v>
      </c>
    </row>
    <row r="38" ht="15.75" customHeight="1">
      <c r="B38" s="36" t="s">
        <v>3064</v>
      </c>
      <c r="C38" s="32">
        <v>2022.0</v>
      </c>
      <c r="D38" s="30" t="s">
        <v>3133</v>
      </c>
      <c r="E38" s="31" t="str">
        <f>IFERROR(__xludf.DUMMYFUNCTION("IF(ISBLANK(D38), """", GOOGLETRANSLATE(D38, ""es"", ""en""))"),"Year / Period of Imputation")</f>
        <v>Year / Period of Imputation</v>
      </c>
      <c r="G38" s="30">
        <v>2022.0</v>
      </c>
      <c r="H38" s="30">
        <v>4.0</v>
      </c>
      <c r="I38" s="30" t="s">
        <v>3256</v>
      </c>
      <c r="J38" s="30" t="s">
        <v>3257</v>
      </c>
      <c r="K38" s="30" t="s">
        <v>3258</v>
      </c>
      <c r="L38" s="30" t="s">
        <v>3259</v>
      </c>
      <c r="M38" s="30" t="s">
        <v>3260</v>
      </c>
      <c r="N38" s="30" t="s">
        <v>3261</v>
      </c>
      <c r="O38" s="30" t="s">
        <v>3262</v>
      </c>
      <c r="P38" s="30" t="s">
        <v>3263</v>
      </c>
      <c r="Q38" s="30" t="s">
        <v>3264</v>
      </c>
      <c r="R38" s="30" t="s">
        <v>3143</v>
      </c>
      <c r="S38" s="30" t="s">
        <v>3144</v>
      </c>
      <c r="T38" s="30" t="s">
        <v>3172</v>
      </c>
      <c r="U38" s="30" t="s">
        <v>3265</v>
      </c>
      <c r="V38" s="30" t="s">
        <v>3266</v>
      </c>
      <c r="W38" s="30" t="s">
        <v>3148</v>
      </c>
      <c r="X38" s="30" t="s">
        <v>3149</v>
      </c>
      <c r="Y38" s="30" t="s">
        <v>3150</v>
      </c>
      <c r="Z38" s="30" t="s">
        <v>3151</v>
      </c>
      <c r="AA38" s="30" t="s">
        <v>3152</v>
      </c>
      <c r="AB38" s="30" t="s">
        <v>3267</v>
      </c>
      <c r="AC38" s="30" t="s">
        <v>3153</v>
      </c>
      <c r="AD38" s="30" t="s">
        <v>3269</v>
      </c>
      <c r="AE38" s="30" t="s">
        <v>3269</v>
      </c>
    </row>
    <row r="39" ht="15.75" customHeight="1">
      <c r="B39" s="36" t="s">
        <v>3254</v>
      </c>
      <c r="C39" s="32">
        <v>3.0</v>
      </c>
      <c r="D39" s="30" t="s">
        <v>3270</v>
      </c>
      <c r="E39" s="31" t="str">
        <f>IFERROR(__xludf.DUMMYFUNCTION("IF(ISBLANK(D39), """", GOOGLETRANSLATE(D39, ""es"", ""en""))"),"Imputation Month")</f>
        <v>Imputation Month</v>
      </c>
      <c r="G39" s="30">
        <v>2022.0</v>
      </c>
      <c r="H39" s="30">
        <v>5.0</v>
      </c>
      <c r="I39" s="30" t="s">
        <v>3256</v>
      </c>
      <c r="J39" s="30" t="s">
        <v>3257</v>
      </c>
      <c r="K39" s="30" t="s">
        <v>3258</v>
      </c>
      <c r="L39" s="30" t="s">
        <v>3259</v>
      </c>
      <c r="M39" s="30" t="s">
        <v>3260</v>
      </c>
      <c r="N39" s="30" t="s">
        <v>3261</v>
      </c>
      <c r="O39" s="30" t="s">
        <v>3262</v>
      </c>
      <c r="P39" s="30" t="s">
        <v>3263</v>
      </c>
      <c r="Q39" s="30" t="s">
        <v>3264</v>
      </c>
      <c r="R39" s="30" t="s">
        <v>3143</v>
      </c>
      <c r="S39" s="30" t="s">
        <v>3144</v>
      </c>
      <c r="T39" s="30" t="s">
        <v>3172</v>
      </c>
      <c r="U39" s="30" t="s">
        <v>3265</v>
      </c>
      <c r="V39" s="30" t="s">
        <v>3266</v>
      </c>
      <c r="W39" s="30" t="s">
        <v>3148</v>
      </c>
      <c r="X39" s="30" t="s">
        <v>3149</v>
      </c>
      <c r="Y39" s="30" t="s">
        <v>3150</v>
      </c>
      <c r="Z39" s="30" t="s">
        <v>3151</v>
      </c>
      <c r="AA39" s="30" t="s">
        <v>3152</v>
      </c>
      <c r="AB39" s="30" t="s">
        <v>3267</v>
      </c>
      <c r="AC39" s="30" t="s">
        <v>3153</v>
      </c>
      <c r="AD39" s="30" t="s">
        <v>3271</v>
      </c>
      <c r="AE39" s="30" t="s">
        <v>3271</v>
      </c>
    </row>
    <row r="40" ht="15.75" customHeight="1">
      <c r="B40" s="36" t="s">
        <v>3110</v>
      </c>
      <c r="C40" s="32" t="s">
        <v>3256</v>
      </c>
      <c r="D40" s="30" t="s">
        <v>3154</v>
      </c>
      <c r="E40" s="31" t="str">
        <f>IFERROR(__xludf.DUMMYFUNCTION("IF(ISBLANK(D40), """", GOOGLETRANSLATE(D40, ""es"", ""en""))"),"Section Name")</f>
        <v>Section Name</v>
      </c>
      <c r="G40" s="30">
        <v>2022.0</v>
      </c>
      <c r="H40" s="30">
        <v>6.0</v>
      </c>
      <c r="I40" s="30" t="s">
        <v>3256</v>
      </c>
      <c r="J40" s="30" t="s">
        <v>3257</v>
      </c>
      <c r="K40" s="30" t="s">
        <v>3258</v>
      </c>
      <c r="L40" s="30" t="s">
        <v>3259</v>
      </c>
      <c r="M40" s="30" t="s">
        <v>3260</v>
      </c>
      <c r="N40" s="30" t="s">
        <v>3261</v>
      </c>
      <c r="O40" s="30" t="s">
        <v>3262</v>
      </c>
      <c r="P40" s="30" t="s">
        <v>3263</v>
      </c>
      <c r="Q40" s="30" t="s">
        <v>3264</v>
      </c>
      <c r="R40" s="30" t="s">
        <v>3143</v>
      </c>
      <c r="S40" s="30" t="s">
        <v>3144</v>
      </c>
      <c r="T40" s="30" t="s">
        <v>3172</v>
      </c>
      <c r="U40" s="30" t="s">
        <v>3265</v>
      </c>
      <c r="V40" s="30" t="s">
        <v>3266</v>
      </c>
      <c r="W40" s="30" t="s">
        <v>3148</v>
      </c>
      <c r="X40" s="30" t="s">
        <v>3149</v>
      </c>
      <c r="Y40" s="30" t="s">
        <v>3150</v>
      </c>
      <c r="Z40" s="30" t="s">
        <v>3151</v>
      </c>
      <c r="AA40" s="30" t="s">
        <v>3152</v>
      </c>
      <c r="AB40" s="30" t="s">
        <v>3267</v>
      </c>
      <c r="AC40" s="30" t="s">
        <v>3153</v>
      </c>
      <c r="AD40" s="30">
        <v>1365723.0</v>
      </c>
      <c r="AE40" s="30">
        <v>1365723.0</v>
      </c>
    </row>
    <row r="41" ht="15.75" customHeight="1">
      <c r="B41" s="36" t="s">
        <v>3111</v>
      </c>
      <c r="C41" s="32" t="s">
        <v>3257</v>
      </c>
      <c r="D41" s="30" t="s">
        <v>3160</v>
      </c>
      <c r="E41" s="31" t="str">
        <f>IFERROR(__xludf.DUMMYFUNCTION("IF(ISBLANK(D41), """", GOOGLETRANSLATE(D41, ""es"", ""en""))"),"Chapter name")</f>
        <v>Chapter name</v>
      </c>
      <c r="G41" s="30">
        <v>2022.0</v>
      </c>
      <c r="H41" s="30">
        <v>7.0</v>
      </c>
      <c r="I41" s="30" t="s">
        <v>3256</v>
      </c>
      <c r="J41" s="30" t="s">
        <v>3257</v>
      </c>
      <c r="K41" s="30" t="s">
        <v>3258</v>
      </c>
      <c r="L41" s="30" t="s">
        <v>3259</v>
      </c>
      <c r="M41" s="30" t="s">
        <v>3260</v>
      </c>
      <c r="N41" s="30" t="s">
        <v>3261</v>
      </c>
      <c r="O41" s="30" t="s">
        <v>3262</v>
      </c>
      <c r="P41" s="30" t="s">
        <v>3263</v>
      </c>
      <c r="Q41" s="30" t="s">
        <v>3264</v>
      </c>
      <c r="R41" s="30" t="s">
        <v>3143</v>
      </c>
      <c r="S41" s="30" t="s">
        <v>3144</v>
      </c>
      <c r="T41" s="30" t="s">
        <v>3172</v>
      </c>
      <c r="U41" s="30" t="s">
        <v>3265</v>
      </c>
      <c r="V41" s="30" t="s">
        <v>3266</v>
      </c>
      <c r="W41" s="30" t="s">
        <v>3148</v>
      </c>
      <c r="X41" s="30" t="s">
        <v>3149</v>
      </c>
      <c r="Y41" s="30" t="s">
        <v>3150</v>
      </c>
      <c r="Z41" s="30" t="s">
        <v>3151</v>
      </c>
      <c r="AA41" s="30" t="s">
        <v>3152</v>
      </c>
      <c r="AB41" s="30" t="s">
        <v>3267</v>
      </c>
      <c r="AC41" s="30" t="s">
        <v>3153</v>
      </c>
      <c r="AD41" s="30">
        <v>4248.0</v>
      </c>
      <c r="AE41" s="30">
        <v>4248.0</v>
      </c>
    </row>
    <row r="42" ht="15.75" customHeight="1">
      <c r="B42" s="36" t="s">
        <v>3112</v>
      </c>
      <c r="C42" s="32" t="s">
        <v>3258</v>
      </c>
      <c r="D42" s="30" t="s">
        <v>3167</v>
      </c>
      <c r="E42" s="31" t="str">
        <f>IFERROR(__xludf.DUMMYFUNCTION("IF(ISBLANK(D42), """", GOOGLETRANSLATE(D42, ""es"", ""en""))"),"Subchapter name")</f>
        <v>Subchapter name</v>
      </c>
      <c r="G42" s="30">
        <v>2022.0</v>
      </c>
      <c r="H42" s="30">
        <v>8.0</v>
      </c>
      <c r="I42" s="30" t="s">
        <v>3256</v>
      </c>
      <c r="J42" s="30" t="s">
        <v>3257</v>
      </c>
      <c r="K42" s="30" t="s">
        <v>3258</v>
      </c>
      <c r="L42" s="30" t="s">
        <v>3259</v>
      </c>
      <c r="M42" s="30" t="s">
        <v>3260</v>
      </c>
      <c r="N42" s="30" t="s">
        <v>3261</v>
      </c>
      <c r="O42" s="30" t="s">
        <v>3262</v>
      </c>
      <c r="P42" s="30" t="s">
        <v>3263</v>
      </c>
      <c r="Q42" s="30" t="s">
        <v>3264</v>
      </c>
      <c r="R42" s="30" t="s">
        <v>3143</v>
      </c>
      <c r="S42" s="30" t="s">
        <v>3144</v>
      </c>
      <c r="T42" s="30" t="s">
        <v>3172</v>
      </c>
      <c r="U42" s="30" t="s">
        <v>3265</v>
      </c>
      <c r="V42" s="30" t="s">
        <v>3266</v>
      </c>
      <c r="W42" s="30" t="s">
        <v>3148</v>
      </c>
      <c r="X42" s="30" t="s">
        <v>3149</v>
      </c>
      <c r="Y42" s="30" t="s">
        <v>3150</v>
      </c>
      <c r="Z42" s="30" t="s">
        <v>3151</v>
      </c>
      <c r="AA42" s="30" t="s">
        <v>3152</v>
      </c>
      <c r="AB42" s="30" t="s">
        <v>3267</v>
      </c>
      <c r="AC42" s="30" t="s">
        <v>3153</v>
      </c>
      <c r="AD42" s="30" t="s">
        <v>3272</v>
      </c>
      <c r="AE42" s="30" t="s">
        <v>3272</v>
      </c>
    </row>
    <row r="43" ht="15.75" customHeight="1">
      <c r="B43" s="36" t="s">
        <v>3113</v>
      </c>
      <c r="C43" s="32" t="s">
        <v>3259</v>
      </c>
      <c r="D43" s="30" t="s">
        <v>3181</v>
      </c>
      <c r="E43" s="31" t="str">
        <f>IFERROR(__xludf.DUMMYFUNCTION("IF(ISBLANK(D43), """", GOOGLETRANSLATE(D43, ""es"", ""en""))"),"Name of the Executing Unit")</f>
        <v>Name of the Executing Unit</v>
      </c>
      <c r="G43" s="30">
        <v>2022.0</v>
      </c>
      <c r="H43" s="30">
        <v>9.0</v>
      </c>
      <c r="I43" s="30" t="s">
        <v>3134</v>
      </c>
      <c r="J43" s="30" t="s">
        <v>3273</v>
      </c>
      <c r="K43" s="30" t="s">
        <v>3274</v>
      </c>
      <c r="L43" s="30" t="s">
        <v>3275</v>
      </c>
      <c r="M43" s="30" t="s">
        <v>3182</v>
      </c>
      <c r="N43" s="30" t="s">
        <v>3183</v>
      </c>
      <c r="O43" s="30" t="s">
        <v>3184</v>
      </c>
      <c r="P43" s="30" t="s">
        <v>3276</v>
      </c>
      <c r="Q43" s="30" t="s">
        <v>3142</v>
      </c>
      <c r="R43" s="30" t="s">
        <v>3143</v>
      </c>
      <c r="S43" s="30" t="s">
        <v>3144</v>
      </c>
      <c r="T43" s="30" t="s">
        <v>3145</v>
      </c>
      <c r="U43" s="30" t="s">
        <v>3146</v>
      </c>
      <c r="V43" s="30" t="s">
        <v>3186</v>
      </c>
      <c r="W43" s="30" t="s">
        <v>3148</v>
      </c>
      <c r="X43" s="30" t="s">
        <v>3187</v>
      </c>
      <c r="Y43" s="30" t="s">
        <v>3188</v>
      </c>
      <c r="Z43" s="30" t="s">
        <v>3189</v>
      </c>
      <c r="AA43" s="30" t="s">
        <v>3190</v>
      </c>
      <c r="AB43" s="30" t="s">
        <v>3277</v>
      </c>
      <c r="AC43" s="30" t="s">
        <v>3278</v>
      </c>
      <c r="AD43" s="30">
        <v>1500000.0</v>
      </c>
      <c r="AE43" s="30">
        <v>1500000.0</v>
      </c>
    </row>
    <row r="44" ht="15.75" customHeight="1">
      <c r="B44" s="36" t="s">
        <v>3114</v>
      </c>
      <c r="C44" s="32" t="s">
        <v>3260</v>
      </c>
      <c r="D44" s="30" t="s">
        <v>3192</v>
      </c>
      <c r="E44" s="31" t="str">
        <f>IFERROR(__xludf.DUMMYFUNCTION("IF(ISBLANK(D44), """", GOOGLETRANSLATE(D44, ""es"", ""en""))"),"Budget line program")</f>
        <v>Budget line program</v>
      </c>
      <c r="G44" s="30">
        <v>2022.0</v>
      </c>
      <c r="H44" s="30">
        <v>9.0</v>
      </c>
      <c r="I44" s="30" t="s">
        <v>3134</v>
      </c>
      <c r="J44" s="30" t="s">
        <v>3273</v>
      </c>
      <c r="K44" s="30" t="s">
        <v>3274</v>
      </c>
      <c r="L44" s="30" t="s">
        <v>3275</v>
      </c>
      <c r="M44" s="30" t="s">
        <v>3182</v>
      </c>
      <c r="N44" s="30" t="s">
        <v>3183</v>
      </c>
      <c r="O44" s="30" t="s">
        <v>3184</v>
      </c>
      <c r="P44" s="30" t="s">
        <v>3276</v>
      </c>
      <c r="Q44" s="30" t="s">
        <v>3142</v>
      </c>
      <c r="R44" s="30" t="s">
        <v>3143</v>
      </c>
      <c r="S44" s="30" t="s">
        <v>3144</v>
      </c>
      <c r="T44" s="30" t="s">
        <v>3145</v>
      </c>
      <c r="U44" s="30" t="s">
        <v>3146</v>
      </c>
      <c r="V44" s="30" t="s">
        <v>3186</v>
      </c>
      <c r="W44" s="30" t="s">
        <v>3148</v>
      </c>
      <c r="X44" s="30" t="s">
        <v>3187</v>
      </c>
      <c r="Y44" s="30" t="s">
        <v>3188</v>
      </c>
      <c r="Z44" s="30" t="s">
        <v>3189</v>
      </c>
      <c r="AA44" s="30" t="s">
        <v>3190</v>
      </c>
      <c r="AB44" s="30" t="s">
        <v>3277</v>
      </c>
      <c r="AC44" s="30" t="s">
        <v>3279</v>
      </c>
      <c r="AD44" s="30">
        <v>1500000.0</v>
      </c>
      <c r="AE44" s="30">
        <v>1500000.0</v>
      </c>
    </row>
    <row r="45" ht="15.75" customHeight="1">
      <c r="B45" s="36" t="s">
        <v>3115</v>
      </c>
      <c r="C45" s="32" t="s">
        <v>3261</v>
      </c>
      <c r="D45" s="30" t="s">
        <v>3200</v>
      </c>
      <c r="E45" s="31" t="str">
        <f>IFERROR(__xludf.DUMMYFUNCTION("IF(ISBLANK(D45), """", GOOGLETRANSLATE(D45, ""es"", ""en""))"),"Product name")</f>
        <v>Product name</v>
      </c>
      <c r="G45" s="30">
        <v>2022.0</v>
      </c>
      <c r="H45" s="30">
        <v>9.0</v>
      </c>
      <c r="I45" s="30" t="s">
        <v>3134</v>
      </c>
      <c r="J45" s="30" t="s">
        <v>3273</v>
      </c>
      <c r="K45" s="30" t="s">
        <v>3274</v>
      </c>
      <c r="L45" s="30" t="s">
        <v>3275</v>
      </c>
      <c r="M45" s="30" t="s">
        <v>3182</v>
      </c>
      <c r="N45" s="30" t="s">
        <v>3183</v>
      </c>
      <c r="O45" s="30" t="s">
        <v>3184</v>
      </c>
      <c r="P45" s="30" t="s">
        <v>3276</v>
      </c>
      <c r="Q45" s="30" t="s">
        <v>3142</v>
      </c>
      <c r="R45" s="30" t="s">
        <v>3143</v>
      </c>
      <c r="S45" s="30" t="s">
        <v>3144</v>
      </c>
      <c r="T45" s="30" t="s">
        <v>3145</v>
      </c>
      <c r="U45" s="30" t="s">
        <v>3146</v>
      </c>
      <c r="V45" s="30" t="s">
        <v>3186</v>
      </c>
      <c r="W45" s="30" t="s">
        <v>3148</v>
      </c>
      <c r="X45" s="30" t="s">
        <v>3187</v>
      </c>
      <c r="Y45" s="30" t="s">
        <v>3188</v>
      </c>
      <c r="Z45" s="30" t="s">
        <v>3189</v>
      </c>
      <c r="AA45" s="30" t="s">
        <v>3190</v>
      </c>
      <c r="AB45" s="30" t="s">
        <v>3277</v>
      </c>
      <c r="AC45" s="30" t="s">
        <v>3280</v>
      </c>
      <c r="AD45" s="30">
        <v>1500000.0</v>
      </c>
      <c r="AE45" s="30">
        <v>1500000.0</v>
      </c>
    </row>
    <row r="46" ht="15.75" customHeight="1">
      <c r="B46" s="36" t="s">
        <v>3116</v>
      </c>
      <c r="C46" s="32" t="s">
        <v>3262</v>
      </c>
      <c r="D46" s="30" t="s">
        <v>1815</v>
      </c>
      <c r="E46" s="31" t="str">
        <f>IFERROR(__xludf.DUMMYFUNCTION("IF(ISBLANK(D46), """", GOOGLETRANSLATE(D46, ""es"", ""en""))"),"Project's name")</f>
        <v>Project's name</v>
      </c>
      <c r="G46" s="30">
        <v>2022.0</v>
      </c>
      <c r="H46" s="30">
        <v>9.0</v>
      </c>
      <c r="I46" s="30" t="s">
        <v>3134</v>
      </c>
      <c r="J46" s="30" t="s">
        <v>3273</v>
      </c>
      <c r="K46" s="30" t="s">
        <v>3274</v>
      </c>
      <c r="L46" s="30" t="s">
        <v>3275</v>
      </c>
      <c r="M46" s="30" t="s">
        <v>3182</v>
      </c>
      <c r="N46" s="30" t="s">
        <v>3183</v>
      </c>
      <c r="O46" s="30" t="s">
        <v>3184</v>
      </c>
      <c r="P46" s="30" t="s">
        <v>3276</v>
      </c>
      <c r="Q46" s="30" t="s">
        <v>3142</v>
      </c>
      <c r="R46" s="30" t="s">
        <v>3143</v>
      </c>
      <c r="S46" s="30" t="s">
        <v>3144</v>
      </c>
      <c r="T46" s="30" t="s">
        <v>3145</v>
      </c>
      <c r="U46" s="30" t="s">
        <v>3146</v>
      </c>
      <c r="V46" s="30" t="s">
        <v>3186</v>
      </c>
      <c r="W46" s="30" t="s">
        <v>3148</v>
      </c>
      <c r="X46" s="30" t="s">
        <v>3187</v>
      </c>
      <c r="Y46" s="30" t="s">
        <v>3188</v>
      </c>
      <c r="Z46" s="30" t="s">
        <v>3189</v>
      </c>
      <c r="AA46" s="30" t="s">
        <v>3190</v>
      </c>
      <c r="AB46" s="30" t="s">
        <v>3277</v>
      </c>
      <c r="AC46" s="30" t="s">
        <v>3281</v>
      </c>
      <c r="AD46" s="30">
        <v>1500000.0</v>
      </c>
      <c r="AE46" s="30">
        <v>1500000.0</v>
      </c>
    </row>
    <row r="47" ht="15.75" customHeight="1">
      <c r="B47" s="36" t="s">
        <v>3117</v>
      </c>
      <c r="C47" s="32" t="s">
        <v>3263</v>
      </c>
      <c r="D47" s="30" t="s">
        <v>3209</v>
      </c>
      <c r="E47" s="31" t="str">
        <f>IFERROR(__xludf.DUMMYFUNCTION("IF(ISBLANK(D47), """", GOOGLETRANSLATE(D47, ""es"", ""en""))"),"Name of the activity")</f>
        <v>Name of the activity</v>
      </c>
      <c r="G47" s="30">
        <v>2022.0</v>
      </c>
      <c r="H47" s="30">
        <v>9.0</v>
      </c>
      <c r="I47" s="30" t="s">
        <v>3134</v>
      </c>
      <c r="J47" s="30" t="s">
        <v>3273</v>
      </c>
      <c r="K47" s="30" t="s">
        <v>3274</v>
      </c>
      <c r="L47" s="30" t="s">
        <v>3275</v>
      </c>
      <c r="M47" s="30" t="s">
        <v>3182</v>
      </c>
      <c r="N47" s="30" t="s">
        <v>3183</v>
      </c>
      <c r="O47" s="30" t="s">
        <v>3184</v>
      </c>
      <c r="P47" s="30" t="s">
        <v>3276</v>
      </c>
      <c r="Q47" s="30" t="s">
        <v>3142</v>
      </c>
      <c r="R47" s="30" t="s">
        <v>3143</v>
      </c>
      <c r="S47" s="30" t="s">
        <v>3144</v>
      </c>
      <c r="T47" s="30" t="s">
        <v>3145</v>
      </c>
      <c r="U47" s="30" t="s">
        <v>3146</v>
      </c>
      <c r="V47" s="30" t="s">
        <v>3186</v>
      </c>
      <c r="W47" s="30" t="s">
        <v>3148</v>
      </c>
      <c r="X47" s="30" t="s">
        <v>3187</v>
      </c>
      <c r="Y47" s="30" t="s">
        <v>3188</v>
      </c>
      <c r="Z47" s="30" t="s">
        <v>3189</v>
      </c>
      <c r="AA47" s="30" t="s">
        <v>3190</v>
      </c>
      <c r="AB47" s="30" t="s">
        <v>3277</v>
      </c>
      <c r="AC47" s="30" t="s">
        <v>3282</v>
      </c>
      <c r="AD47" s="30">
        <v>1500000.0</v>
      </c>
      <c r="AE47" s="30">
        <v>1500000.0</v>
      </c>
    </row>
    <row r="48" ht="15.75" customHeight="1">
      <c r="B48" s="36" t="s">
        <v>3118</v>
      </c>
      <c r="C48" s="32" t="s">
        <v>3264</v>
      </c>
      <c r="D48" s="30" t="s">
        <v>3213</v>
      </c>
      <c r="E48" s="31" t="str">
        <f>IFERROR(__xludf.DUMMYFUNCTION("IF(ISBLANK(D48), """", GOOGLETRANSLATE(D48, ""es"", ""en""))"),"Name of the Financing Organization")</f>
        <v>Name of the Financing Organization</v>
      </c>
      <c r="G48" s="30">
        <v>2022.0</v>
      </c>
      <c r="H48" s="30">
        <v>9.0</v>
      </c>
      <c r="I48" s="30" t="s">
        <v>3134</v>
      </c>
      <c r="J48" s="30" t="s">
        <v>3273</v>
      </c>
      <c r="K48" s="30" t="s">
        <v>3274</v>
      </c>
      <c r="L48" s="30" t="s">
        <v>3275</v>
      </c>
      <c r="M48" s="30" t="s">
        <v>3182</v>
      </c>
      <c r="N48" s="30" t="s">
        <v>3183</v>
      </c>
      <c r="O48" s="30" t="s">
        <v>3184</v>
      </c>
      <c r="P48" s="30" t="s">
        <v>3276</v>
      </c>
      <c r="Q48" s="30" t="s">
        <v>3142</v>
      </c>
      <c r="R48" s="30" t="s">
        <v>3143</v>
      </c>
      <c r="S48" s="30" t="s">
        <v>3144</v>
      </c>
      <c r="T48" s="30" t="s">
        <v>3145</v>
      </c>
      <c r="U48" s="30" t="s">
        <v>3146</v>
      </c>
      <c r="V48" s="30" t="s">
        <v>3186</v>
      </c>
      <c r="W48" s="30" t="s">
        <v>3148</v>
      </c>
      <c r="X48" s="30" t="s">
        <v>3187</v>
      </c>
      <c r="Y48" s="30" t="s">
        <v>3188</v>
      </c>
      <c r="Z48" s="30" t="s">
        <v>3189</v>
      </c>
      <c r="AA48" s="30" t="s">
        <v>3190</v>
      </c>
      <c r="AB48" s="30" t="s">
        <v>3277</v>
      </c>
      <c r="AC48" s="30" t="s">
        <v>3283</v>
      </c>
      <c r="AD48" s="30">
        <v>1500000.0</v>
      </c>
      <c r="AE48" s="30">
        <v>1500000.0</v>
      </c>
    </row>
    <row r="49" ht="15.75" customHeight="1">
      <c r="B49" s="36" t="s">
        <v>3119</v>
      </c>
      <c r="C49" s="32" t="s">
        <v>3143</v>
      </c>
      <c r="D49" s="30" t="s">
        <v>3220</v>
      </c>
      <c r="E49" s="31" t="str">
        <f>IFERROR(__xludf.DUMMYFUNCTION("IF(ISBLANK(D49), """", GOOGLETRANSLATE(D49, ""es"", ""en""))"),"Name of Funding Source")</f>
        <v>Name of Funding Source</v>
      </c>
      <c r="G49" s="30">
        <v>2022.0</v>
      </c>
      <c r="H49" s="30">
        <v>9.0</v>
      </c>
      <c r="I49" s="30" t="s">
        <v>3134</v>
      </c>
      <c r="J49" s="30" t="s">
        <v>3273</v>
      </c>
      <c r="K49" s="30" t="s">
        <v>3274</v>
      </c>
      <c r="L49" s="30" t="s">
        <v>3275</v>
      </c>
      <c r="M49" s="30" t="s">
        <v>3182</v>
      </c>
      <c r="N49" s="30" t="s">
        <v>3183</v>
      </c>
      <c r="O49" s="30" t="s">
        <v>3184</v>
      </c>
      <c r="P49" s="30" t="s">
        <v>3276</v>
      </c>
      <c r="Q49" s="30" t="s">
        <v>3142</v>
      </c>
      <c r="R49" s="30" t="s">
        <v>3143</v>
      </c>
      <c r="S49" s="30" t="s">
        <v>3144</v>
      </c>
      <c r="T49" s="30" t="s">
        <v>3145</v>
      </c>
      <c r="U49" s="30" t="s">
        <v>3146</v>
      </c>
      <c r="V49" s="30" t="s">
        <v>3186</v>
      </c>
      <c r="W49" s="30" t="s">
        <v>3148</v>
      </c>
      <c r="X49" s="30" t="s">
        <v>3187</v>
      </c>
      <c r="Y49" s="30" t="s">
        <v>3188</v>
      </c>
      <c r="Z49" s="30" t="s">
        <v>3189</v>
      </c>
      <c r="AA49" s="30" t="s">
        <v>3190</v>
      </c>
      <c r="AB49" s="30" t="s">
        <v>3277</v>
      </c>
      <c r="AC49" s="30" t="s">
        <v>3284</v>
      </c>
      <c r="AD49" s="30">
        <v>1500000.0</v>
      </c>
      <c r="AE49" s="30">
        <v>1500000.0</v>
      </c>
    </row>
    <row r="50" ht="15.75" customHeight="1">
      <c r="B50" s="36" t="s">
        <v>3120</v>
      </c>
      <c r="C50" s="32" t="s">
        <v>3144</v>
      </c>
      <c r="D50" s="30" t="s">
        <v>3227</v>
      </c>
      <c r="E50" s="31" t="str">
        <f>IFERROR(__xludf.DUMMYFUNCTION("IF(ISBLANK(D50), """", GOOGLETRANSLATE(D50, ""es"", ""en""))"),"Specific Source Name")</f>
        <v>Specific Source Name</v>
      </c>
      <c r="G50" s="30">
        <v>2022.0</v>
      </c>
      <c r="H50" s="30">
        <v>9.0</v>
      </c>
      <c r="I50" s="30" t="s">
        <v>3134</v>
      </c>
      <c r="J50" s="30" t="s">
        <v>3273</v>
      </c>
      <c r="K50" s="30" t="s">
        <v>3274</v>
      </c>
      <c r="L50" s="30" t="s">
        <v>3275</v>
      </c>
      <c r="M50" s="30" t="s">
        <v>3182</v>
      </c>
      <c r="N50" s="30" t="s">
        <v>3183</v>
      </c>
      <c r="O50" s="30" t="s">
        <v>3184</v>
      </c>
      <c r="P50" s="30" t="s">
        <v>3276</v>
      </c>
      <c r="Q50" s="30" t="s">
        <v>3142</v>
      </c>
      <c r="R50" s="30" t="s">
        <v>3143</v>
      </c>
      <c r="S50" s="30" t="s">
        <v>3144</v>
      </c>
      <c r="T50" s="30" t="s">
        <v>3145</v>
      </c>
      <c r="U50" s="30" t="s">
        <v>3146</v>
      </c>
      <c r="V50" s="30" t="s">
        <v>3186</v>
      </c>
      <c r="W50" s="30" t="s">
        <v>3148</v>
      </c>
      <c r="X50" s="30" t="s">
        <v>3187</v>
      </c>
      <c r="Y50" s="30" t="s">
        <v>3188</v>
      </c>
      <c r="Z50" s="30" t="s">
        <v>3189</v>
      </c>
      <c r="AA50" s="30" t="s">
        <v>3190</v>
      </c>
      <c r="AB50" s="30" t="s">
        <v>3277</v>
      </c>
      <c r="AC50" s="30" t="s">
        <v>3285</v>
      </c>
      <c r="AD50" s="30">
        <v>1500000.0</v>
      </c>
      <c r="AE50" s="30">
        <v>1500000.0</v>
      </c>
    </row>
    <row r="51" ht="15.75" customHeight="1">
      <c r="B51" s="36" t="s">
        <v>3121</v>
      </c>
      <c r="C51" s="32" t="s">
        <v>3172</v>
      </c>
      <c r="D51" s="30" t="s">
        <v>3230</v>
      </c>
      <c r="E51" s="31" t="str">
        <f>IFERROR(__xludf.DUMMYFUNCTION("IF(ISBLANK(D51), """", GOOGLETRANSLATE(D51, ""es"", ""en""))"),"Purpose Name")</f>
        <v>Purpose Name</v>
      </c>
      <c r="G51" s="30">
        <v>2022.0</v>
      </c>
      <c r="H51" s="30">
        <v>9.0</v>
      </c>
      <c r="I51" s="30" t="s">
        <v>3134</v>
      </c>
      <c r="J51" s="30" t="s">
        <v>3273</v>
      </c>
      <c r="K51" s="30" t="s">
        <v>3274</v>
      </c>
      <c r="L51" s="30" t="s">
        <v>3275</v>
      </c>
      <c r="M51" s="30" t="s">
        <v>3182</v>
      </c>
      <c r="N51" s="30" t="s">
        <v>3183</v>
      </c>
      <c r="O51" s="30" t="s">
        <v>3184</v>
      </c>
      <c r="P51" s="30" t="s">
        <v>3276</v>
      </c>
      <c r="Q51" s="30" t="s">
        <v>3142</v>
      </c>
      <c r="R51" s="30" t="s">
        <v>3143</v>
      </c>
      <c r="S51" s="30" t="s">
        <v>3144</v>
      </c>
      <c r="T51" s="30" t="s">
        <v>3145</v>
      </c>
      <c r="U51" s="30" t="s">
        <v>3146</v>
      </c>
      <c r="V51" s="30" t="s">
        <v>3186</v>
      </c>
      <c r="W51" s="30" t="s">
        <v>3148</v>
      </c>
      <c r="X51" s="30" t="s">
        <v>3187</v>
      </c>
      <c r="Y51" s="30" t="s">
        <v>3188</v>
      </c>
      <c r="Z51" s="30" t="s">
        <v>3189</v>
      </c>
      <c r="AA51" s="30" t="s">
        <v>3190</v>
      </c>
      <c r="AB51" s="30" t="s">
        <v>3277</v>
      </c>
      <c r="AC51" s="30" t="s">
        <v>3286</v>
      </c>
      <c r="AD51" s="30">
        <v>2000000.0</v>
      </c>
      <c r="AE51" s="30">
        <v>2000000.0</v>
      </c>
    </row>
    <row r="52" ht="15.75" customHeight="1">
      <c r="B52" s="36" t="s">
        <v>3122</v>
      </c>
      <c r="C52" s="32" t="s">
        <v>3265</v>
      </c>
      <c r="D52" s="30" t="s">
        <v>3232</v>
      </c>
      <c r="E52" s="31" t="str">
        <f>IFERROR(__xludf.DUMMYFUNCTION("IF(ISBLANK(D52), """", GOOGLETRANSLATE(D52, ""es"", ""en""))"),"Name of the Function / Sector")</f>
        <v>Name of the Function / Sector</v>
      </c>
    </row>
    <row r="53" ht="15.75" customHeight="1">
      <c r="B53" s="36" t="s">
        <v>3123</v>
      </c>
      <c r="C53" s="32" t="s">
        <v>3266</v>
      </c>
      <c r="D53" s="30" t="s">
        <v>3235</v>
      </c>
      <c r="E53" s="31" t="str">
        <f>IFERROR(__xludf.DUMMYFUNCTION("IF(ISBLANK(D53), """", GOOGLETRANSLATE(D53, ""es"", ""en""))"),"Sub function name")</f>
        <v>Sub function name</v>
      </c>
    </row>
    <row r="54" ht="15.75" customHeight="1">
      <c r="B54" s="36" t="s">
        <v>3124</v>
      </c>
      <c r="C54" s="32" t="s">
        <v>3148</v>
      </c>
      <c r="D54" s="30" t="s">
        <v>3242</v>
      </c>
      <c r="E54" s="31" t="str">
        <f>IFERROR(__xludf.DUMMYFUNCTION("IF(ISBLANK(D54), """", GOOGLETRANSLATE(D54, ""es"", ""en""))"),"Account type")</f>
        <v>Account type</v>
      </c>
    </row>
    <row r="55" ht="15.75" customHeight="1">
      <c r="B55" s="36" t="s">
        <v>3125</v>
      </c>
      <c r="C55" s="32" t="s">
        <v>3149</v>
      </c>
      <c r="D55" s="30" t="s">
        <v>3243</v>
      </c>
      <c r="E55" s="31" t="str">
        <f>IFERROR(__xludf.DUMMYFUNCTION("IF(ISBLANK(D55), """", GOOGLETRANSLATE(D55, ""es"", ""en""))"),"Accounting concept")</f>
        <v>Accounting concept</v>
      </c>
    </row>
    <row r="56" ht="15.75" customHeight="1">
      <c r="B56" s="36" t="s">
        <v>3126</v>
      </c>
      <c r="C56" s="32" t="s">
        <v>3150</v>
      </c>
      <c r="D56" s="30" t="s">
        <v>3244</v>
      </c>
      <c r="E56" s="31" t="str">
        <f>IFERROR(__xludf.DUMMYFUNCTION("IF(ISBLANK(D56), """", GOOGLETRANSLATE(D56, ""es"", ""en""))"),"Account name")</f>
        <v>Account name</v>
      </c>
    </row>
    <row r="57" ht="15.75" customHeight="1">
      <c r="B57" s="36" t="s">
        <v>3127</v>
      </c>
      <c r="C57" s="32" t="s">
        <v>3151</v>
      </c>
      <c r="D57" s="30" t="s">
        <v>3245</v>
      </c>
      <c r="E57" s="31" t="str">
        <f>IFERROR(__xludf.DUMMYFUNCTION("IF(ISBLANK(D57), """", GOOGLETRANSLATE(D57, ""es"", ""en""))"),"Accounting Sub Account Name")</f>
        <v>Accounting Sub Account Name</v>
      </c>
    </row>
    <row r="58" ht="15.75" customHeight="1">
      <c r="B58" s="36" t="s">
        <v>3128</v>
      </c>
      <c r="C58" s="32" t="s">
        <v>3152</v>
      </c>
      <c r="D58" s="30" t="s">
        <v>3246</v>
      </c>
      <c r="E58" s="31" t="str">
        <f>IFERROR(__xludf.DUMMYFUNCTION("IF(ISBLANK(D58), """", GOOGLETRANSLATE(D58, ""es"", ""en""))"),"Accounting assistant")</f>
        <v>Accounting assistant</v>
      </c>
    </row>
    <row r="59" ht="15.75" customHeight="1">
      <c r="B59" s="36" t="s">
        <v>3255</v>
      </c>
      <c r="C59" s="32" t="s">
        <v>3267</v>
      </c>
      <c r="D59" s="30" t="s">
        <v>3287</v>
      </c>
      <c r="E59" s="31" t="str">
        <f>IFERROR(__xludf.DUMMYFUNCTION("IF(ISBLANK(D59), """", GOOGLETRANSLATE(D59, ""es"", ""en""))"),"Expenditure grouping concept")</f>
        <v>Expenditure grouping concept</v>
      </c>
    </row>
    <row r="60" ht="15.75" customHeight="1">
      <c r="B60" s="36" t="s">
        <v>3129</v>
      </c>
      <c r="C60" s="32" t="s">
        <v>3153</v>
      </c>
      <c r="D60" s="30" t="s">
        <v>3247</v>
      </c>
      <c r="E60" s="31" t="str">
        <f>IFERROR(__xludf.DUMMYFUNCTION("IF(ISBLANK(D60), """", GOOGLETRANSLATE(D60, ""es"", ""en""))"),"Receiving institution")</f>
        <v>Receiving institution</v>
      </c>
    </row>
    <row r="61" ht="15.75" customHeight="1">
      <c r="B61" s="36" t="s">
        <v>3131</v>
      </c>
      <c r="C61" s="32" t="s">
        <v>3268</v>
      </c>
      <c r="D61" s="30" t="s">
        <v>3251</v>
      </c>
      <c r="E61" s="31" t="str">
        <f>IFERROR(__xludf.DUMMYFUNCTION("IF(ISBLANK(D61), """", GOOGLETRANSLATE(D61, ""es"", ""en""))"),"Earned Value")</f>
        <v>Earned Value</v>
      </c>
    </row>
    <row r="62" ht="15.75" customHeight="1">
      <c r="B62" s="36" t="s">
        <v>3132</v>
      </c>
      <c r="C62" s="32" t="s">
        <v>3268</v>
      </c>
      <c r="D62" s="30" t="s">
        <v>3252</v>
      </c>
      <c r="E62" s="31" t="str">
        <f>IFERROR(__xludf.DUMMYFUNCTION("IF(ISBLANK(D62), """", GOOGLETRANSLATE(D62, ""es"", ""en""))"),"Released Value")</f>
        <v>Released Value</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