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tables (SNIP)" sheetId="1" r:id="rId4"/>
    <sheet state="hidden" name="raw data metabase (Ministry of " sheetId="2" r:id="rId5"/>
    <sheet state="hidden" name="Opendata InvestmentProjects RD" sheetId="3" r:id="rId6"/>
    <sheet state="hidden" name="Opendata Budget for Investment " sheetId="4" r:id="rId7"/>
    <sheet state="hidden" name="Hoja 11" sheetId="5" r:id="rId8"/>
    <sheet state="hidden" name="Opendata Procurement Process fo" sheetId="6" r:id="rId9"/>
    <sheet state="hidden" name="Opendata Contract for Investmen" sheetId="7" r:id="rId10"/>
    <sheet state="hidden" name="BudgetLine by investment Projec" sheetId="8" r:id="rId11"/>
    <sheet state="hidden" name="Emergency data (Procurement Pro" sheetId="9" r:id="rId12"/>
    <sheet state="hidden" name="Emergency data (Budget)" sheetId="10" r:id="rId13"/>
    <sheet state="hidden" name="Emergency budget raw data" sheetId="11" r:id="rId14"/>
  </sheets>
  <definedNames/>
  <calcPr/>
  <extLst>
    <ext uri="GoogleSheetsCustomDataVersion2">
      <go:sheetsCustomData xmlns:go="http://customooxmlschemas.google.com/" r:id="rId15" roundtripDataChecksum="tEqdoHoWa1a9tb0+g/njXE4eckNPZC8Mnu9E/LvACIk="/>
    </ext>
  </extLst>
</workbook>
</file>

<file path=xl/sharedStrings.xml><?xml version="1.0" encoding="utf-8"?>
<sst xmlns="http://schemas.openxmlformats.org/spreadsheetml/2006/main" count="11565" uniqueCount="3291">
  <si>
    <t>Datos Sin Procesar Proyectos de Inversion / Raw Data Investment Projects</t>
  </si>
  <si>
    <t>Dataset Related</t>
  </si>
  <si>
    <t>Dataset Name ( With Link )</t>
  </si>
  <si>
    <t>URL</t>
  </si>
  <si>
    <t>Desciption</t>
  </si>
  <si>
    <t>Dominican Republic Investment Projects (investment-projects.csv)</t>
  </si>
  <si>
    <t>BID_BASE_CIA_END_MIP</t>
  </si>
  <si>
    <t>https://mapainversionesanalytics.blob.core.windows.net/sourceraw/DOM/SNIP/BID_BASE_CIA_END_MIP/CSV/2024/05/24/BID_Base_Cla_end_mip.csv</t>
  </si>
  <si>
    <t xml:space="preserve"> https://docs.google.com/spreadsheets/d/1L2X8LZWSr9EseLdXPIwij-LkwwJieAxDWbdq3I1MYtM/edit?gid=287136599#gid=287136599</t>
  </si>
  <si>
    <t>-</t>
  </si>
  <si>
    <t>BID_BASE_CLA_INSTITUCIONES_SNIP_MIP</t>
  </si>
  <si>
    <t>https://mapainversionesanalytics.blob.core.windows.net/sourceraw/DOM/SNIP/BID_BASE_CLA_INSTITUCIONES_SNIP_MIP/CSV/2024/05/24/BID_Base_Cla_Instituciones_snip_mip.csv</t>
  </si>
  <si>
    <t xml:space="preserve"> https://docs.google.com/spreadsheets/d/1L2X8LZWSr9EseLdXPIwij-LkwwJieAxDWbdq3I1MYtM/edit?gid=287136599#gid=287136600</t>
  </si>
  <si>
    <t>BID_BASE_CRONOGRAMAS_PROYECTO_FISICO_MIP</t>
  </si>
  <si>
    <t>https://mapainversionesanalytics.blob.core.windows.net/sourceraw/DOM/SNIP/BID_BASE_CRONOGRAMAS_PROYECTO_FISICO_MIP/CSV/2024/05/24/BID_Base_cronogramas_proyecto_fisico_mip.csv</t>
  </si>
  <si>
    <t xml:space="preserve"> https://docs.google.com/spreadsheets/d/1L2X8LZWSr9EseLdXPIwij-LkwwJieAxDWbdq3I1MYtM/edit?gid=287136599#gid=287136601</t>
  </si>
  <si>
    <t>BID_BASE_FASES_MIP</t>
  </si>
  <si>
    <t>https://mapainversionesanalytics.blob.core.windows.net/sourceraw/DOM/SNIP/BID_BASE_FASES_MIP/CSV/2024/05/24/BID_Base_Fases_mip.csv</t>
  </si>
  <si>
    <t xml:space="preserve"> https://docs.google.com/spreadsheets/d/1L2X8LZWSr9EseLdXPIwij-LkwwJieAxDWbdq3I1MYtM/edit?gid=287136599#gid=287136602</t>
  </si>
  <si>
    <t>BID_BASE_FICHAS_PROYECTOS_MIP</t>
  </si>
  <si>
    <t>https://mapainversionesanalytics.blob.core.windows.net/sourceraw/DOM/SNIP/BID_BASE_FICHAS_PROYECTOS_MIP/CSV/2024/05/24/BID_Base_Fichas_Proyectos_mip.csv</t>
  </si>
  <si>
    <t xml:space="preserve"> https://docs.google.com/spreadsheets/d/1L2X8LZWSr9EseLdXPIwij-LkwwJieAxDWbdq3I1MYtM/edit?gid=287136599#gid=287136603</t>
  </si>
  <si>
    <t>BID_BASE_PRESUPUESTO_MIP</t>
  </si>
  <si>
    <t>https://mapainversionesanalytics.blob.core.windows.net/sourceraw/DOM/SNIP/BID_BASE_PRESUPUESTO_MIP/CSV/2024/05/24/BID_Base_presupuesto_mip.csv</t>
  </si>
  <si>
    <t xml:space="preserve"> https://docs.google.com/spreadsheets/d/1L2X8LZWSr9EseLdXPIwij-LkwwJieAxDWbdq3I1MYtM/edit?gid=287136599#gid=287136604</t>
  </si>
  <si>
    <t>BID_BASE_PROEJE_FISICA_MIP</t>
  </si>
  <si>
    <t>https://mapainversionesanalytics.blob.core.windows.net/sourceraw/DOM/SNIP/BID_BASE_PROEJE_FISICA_MIP/CSV/2024/05/24/BID_Base_proeje_fisica_mip.csv</t>
  </si>
  <si>
    <t xml:space="preserve"> https://docs.google.com/spreadsheets/d/1L2X8LZWSr9EseLdXPIwij-LkwwJieAxDWbdq3I1MYtM/edit?gid=287136599#gid=287136605</t>
  </si>
  <si>
    <t>BID_BASE_UBICACIONES_GEOGRAFICAS_MIP</t>
  </si>
  <si>
    <t>https://mapainversionesanalytics.blob.core.windows.net/sourceraw/DOM/SNIP/BID_BASE_UBICACIONES_GEOGRAFICAS_MIP/CSV/2024/05/24/BID_Base_ubicaciones_geograficas_mip.csv</t>
  </si>
  <si>
    <t xml:space="preserve"> https://docs.google.com/spreadsheets/d/1L2X8LZWSr9EseLdXPIwij-LkwwJieAxDWbdq3I1MYtM/edit?gid=287136599#gid=287136606</t>
  </si>
  <si>
    <t>Vistas de Origen en SQL Server</t>
  </si>
  <si>
    <t>[MapaInversion].[BID_Base_Cla_end_mip]</t>
  </si>
  <si>
    <t>Extended example data</t>
  </si>
  <si>
    <t>Column_name</t>
  </si>
  <si>
    <t>Type</t>
  </si>
  <si>
    <t>Length</t>
  </si>
  <si>
    <t>Prec</t>
  </si>
  <si>
    <t>Scale</t>
  </si>
  <si>
    <t>Nullable</t>
  </si>
  <si>
    <t>Example Value</t>
  </si>
  <si>
    <t>Description (Spanish)</t>
  </si>
  <si>
    <t>Description (English)</t>
  </si>
  <si>
    <t>id_end</t>
  </si>
  <si>
    <t>cod_eje</t>
  </si>
  <si>
    <t>cod_objgen</t>
  </si>
  <si>
    <t>cod_objesp</t>
  </si>
  <si>
    <t>cod_linacc</t>
  </si>
  <si>
    <t>cod_end</t>
  </si>
  <si>
    <t>nivel</t>
  </si>
  <si>
    <t>nivel_txt</t>
  </si>
  <si>
    <t>end_des</t>
  </si>
  <si>
    <t>activo</t>
  </si>
  <si>
    <t>activo_txt</t>
  </si>
  <si>
    <t>estado</t>
  </si>
  <si>
    <t>bandeja</t>
  </si>
  <si>
    <t>usu_ins</t>
  </si>
  <si>
    <t>fec_ins</t>
  </si>
  <si>
    <t>usu_upd</t>
  </si>
  <si>
    <t>fec_upd</t>
  </si>
  <si>
    <t>int</t>
  </si>
  <si>
    <t>no</t>
  </si>
  <si>
    <t>Identificacion de la Entidad</t>
  </si>
  <si>
    <t>0.0.0.0</t>
  </si>
  <si>
    <t>Eje estratégico</t>
  </si>
  <si>
    <t>No definido</t>
  </si>
  <si>
    <t>S</t>
  </si>
  <si>
    <t>Si</t>
  </si>
  <si>
    <t>registrado</t>
  </si>
  <si>
    <t>Codigo Unidad Ejecutora</t>
  </si>
  <si>
    <t>1.1.1.0</t>
  </si>
  <si>
    <t>Linea de acción</t>
  </si>
  <si>
    <t>Pendiente de Asignación</t>
  </si>
  <si>
    <t>Codigo objetivo General</t>
  </si>
  <si>
    <t>1.1.1.1</t>
  </si>
  <si>
    <t>Racionalizar y normalizar la estructura organizativa del Estado, incluyendo tanto las funciones institucionales como la dotación de personal, para eliminar la duplicidad y dispersión de funciones y organismos y propiciar el acercamiento de los servicios públicos a la población en el territorio, mediante la adecuada descentralización y desconcentración de la provisión de los mismos cuando corresponda</t>
  </si>
  <si>
    <t>Codigo Objetivo Especifico</t>
  </si>
  <si>
    <t>1.1.1.2</t>
  </si>
  <si>
    <t>Establecer un marco jurídico acorde con el derecho administrativo moderno que propicie la conformación de un Estado transparente, ágil e inteligente</t>
  </si>
  <si>
    <t xml:space="preserve">Codigo Linea </t>
  </si>
  <si>
    <t>1.1.1.3</t>
  </si>
  <si>
    <t>Fortalecer el sistema de control interno y externo y los mecanismos de acceso a la información de la administración pública, como medio de garantizar la transparencia, la rendición de cuentas y la calidad del gasto público</t>
  </si>
  <si>
    <t>varchar</t>
  </si>
  <si>
    <t>1.1.1.4</t>
  </si>
  <si>
    <t xml:space="preserve">Codiigo Entidad </t>
  </si>
  <si>
    <t>Promover la gestión integrada de procesos institucionales, basada en medición, seguimiento y evaluación sistemática</t>
  </si>
  <si>
    <t xml:space="preserve">Codigo Nivel </t>
  </si>
  <si>
    <t>1.1.1.5</t>
  </si>
  <si>
    <t>Fortalecer el Servicio Civil y la Carrera Administrativa, respetando la equidad de género, para dotar a la Administración Pública de personal idóneo y seleccionado por concurso que actúe con apego a la ética, transparencia y rendición de cuentas, para asegurar mecanismos de ingreso, estabilidad y promoción por méritos e idoneidad profesional y ética del personal de la administración pública</t>
  </si>
  <si>
    <t>Nivel Texto</t>
  </si>
  <si>
    <t>1.1.1.6</t>
  </si>
  <si>
    <t>Fomentar la cultura de democracia, tolerancia y uso correcto del poder público, para generar una valoración positiva de la población sobre el servicio público</t>
  </si>
  <si>
    <t>Entidad Descripcion</t>
  </si>
  <si>
    <t>1.1.1.7</t>
  </si>
  <si>
    <t>Promover la continua capacitación de los servidores públicos para dotarles de las competencias requeridas para una gestión que se oriente a la obtención de resultados en beneficio de la sociedad y del desarrollo nacional y local</t>
  </si>
  <si>
    <t>Indicador de Registro Activo Codigo (S) es SI</t>
  </si>
  <si>
    <t>1.1.1.8</t>
  </si>
  <si>
    <t>Garantizar, mediante acciones afirmativas, la igualdad de oportunidades para hombres y mujeres en los puestos de administración pública y en los mandos directivos</t>
  </si>
  <si>
    <t>Indicador de Registro Activo Texto (SI) es SI</t>
  </si>
  <si>
    <t>Estado del registro</t>
  </si>
  <si>
    <t>yes</t>
  </si>
  <si>
    <t>Usuario que insertó el registro, Campos utilizados por la institucion para uso interno</t>
  </si>
  <si>
    <t>smalldatetime</t>
  </si>
  <si>
    <t>Fecha de inserción, Campos utilizados por la institucion para uso interno</t>
  </si>
  <si>
    <t>Usuario de Actualizacion Indicativo</t>
  </si>
  <si>
    <t>Fecha de Actualizacion</t>
  </si>
  <si>
    <t>[MapaInversion].[BID_Base_Cla_Instituciones_snip_mip]</t>
  </si>
  <si>
    <t>Información de las instituciones del gobierno y sus caracteristicas o atributos asociados.</t>
  </si>
  <si>
    <t>id_institucion</t>
  </si>
  <si>
    <t>descripcion</t>
  </si>
  <si>
    <t>sigla</t>
  </si>
  <si>
    <t>id_division</t>
  </si>
  <si>
    <t>id_division_txt</t>
  </si>
  <si>
    <t>tipo_institucion</t>
  </si>
  <si>
    <t>tipo_institucion_txt</t>
  </si>
  <si>
    <t>capitulo</t>
  </si>
  <si>
    <t>subcapitulo</t>
  </si>
  <si>
    <t>ue</t>
  </si>
  <si>
    <t>Identificador de la Institucion del Estado</t>
  </si>
  <si>
    <t>GABINETE DE POLITICAS SOCIALES</t>
  </si>
  <si>
    <t>GCPS</t>
  </si>
  <si>
    <t>DESARROLLO SOCIAL</t>
  </si>
  <si>
    <t>Sectorial</t>
  </si>
  <si>
    <t>MINISTERIO DE DEFENSA</t>
  </si>
  <si>
    <t>Descripción de la institucion del estado, Se entiende por institución todo tipo de organización social, ya sea pública o privada, creada con la finalidad de cumplir un objetivo dentro de la comunidad y cuyo funcionamiento está orientado a normas y estructuras dentro de las cuales cada miembro cuenta con una misión o trabajo a cumplir para alcanzar las metas propuestas de forma general.</t>
  </si>
  <si>
    <t>MINISTERIO DE INTERIOR Y POLICIA</t>
  </si>
  <si>
    <t>MIP</t>
  </si>
  <si>
    <t>DESARROLLO INSTITUCIONAL</t>
  </si>
  <si>
    <t>MIDE</t>
  </si>
  <si>
    <t>Siglas de la institucion del estado</t>
  </si>
  <si>
    <t>Identificador de la division</t>
  </si>
  <si>
    <t>MINISTERIO DE HACIENDA</t>
  </si>
  <si>
    <t>MH</t>
  </si>
  <si>
    <t>Division de la institucion</t>
  </si>
  <si>
    <t>DIRECCION GENERAL DE CATASTRO NACIONAL</t>
  </si>
  <si>
    <t>DGCN</t>
  </si>
  <si>
    <t>DESARROLLO TERRITORIAL Y MEDIO AMBIENTE</t>
  </si>
  <si>
    <t>Tipo de institucion codigo</t>
  </si>
  <si>
    <t>MINISTERIO DE EDUCACION</t>
  </si>
  <si>
    <t>MINERD</t>
  </si>
  <si>
    <t>Tipo de Institución Texto</t>
  </si>
  <si>
    <t>MINISTERIO DE SALUD PUBLICA Y ASISTENCIA SOCIAL</t>
  </si>
  <si>
    <t>MISPAS</t>
  </si>
  <si>
    <t>MINISTERIO DE TRABAJO</t>
  </si>
  <si>
    <t>MIT</t>
  </si>
  <si>
    <t>MINISTERIO DE AGRICULTURA</t>
  </si>
  <si>
    <t>MA</t>
  </si>
  <si>
    <t>DESARROLLO PRODUCTIVO</t>
  </si>
  <si>
    <t>Capitulo, ,Identifica el primernivel de jerarquía dentro del nivel institucional.</t>
  </si>
  <si>
    <t>DIRECCION GENERAL DE GANADERIA</t>
  </si>
  <si>
    <t>DGG</t>
  </si>
  <si>
    <t>Subcapitulo,Identifica el segundo nivel de jerarquía dentro del nivel institucional.</t>
  </si>
  <si>
    <t>Unidad Ejecutora</t>
  </si>
  <si>
    <t>Estado del Registro</t>
  </si>
  <si>
    <t>[MapaInversion].[BID_Base_cronogramas_proyecto_fisico_mip]</t>
  </si>
  <si>
    <t>Información sobre el avance de componentes y productos asociados a proyectos de inversión. El avance se registra por trimestres.</t>
  </si>
  <si>
    <t xml:space="preserve"> Extraccion Query For Products (Components of the Project)</t>
  </si>
  <si>
    <t>id_cronograma</t>
  </si>
  <si>
    <t>id_proyecto</t>
  </si>
  <si>
    <t>fase</t>
  </si>
  <si>
    <t>id_componente</t>
  </si>
  <si>
    <t>id_componente_txt</t>
  </si>
  <si>
    <t>id_producto</t>
  </si>
  <si>
    <t>id_producto_txt</t>
  </si>
  <si>
    <t>id_um</t>
  </si>
  <si>
    <t>id_um_txt</t>
  </si>
  <si>
    <t>meta</t>
  </si>
  <si>
    <t>meta_txt</t>
  </si>
  <si>
    <t>meta_alcanzada</t>
  </si>
  <si>
    <t>meta_alcanzada_txt</t>
  </si>
  <si>
    <t>en_ejecucion</t>
  </si>
  <si>
    <t>en_ejecucion_txt</t>
  </si>
  <si>
    <t>periodo_1</t>
  </si>
  <si>
    <t>periodo_1_txt</t>
  </si>
  <si>
    <t>periodo_2</t>
  </si>
  <si>
    <t>periodo_2_txt</t>
  </si>
  <si>
    <t>periodo_3</t>
  </si>
  <si>
    <t>periodo_3_txt</t>
  </si>
  <si>
    <t>periodo_4</t>
  </si>
  <si>
    <t>periodo_4_txt</t>
  </si>
  <si>
    <t>resto</t>
  </si>
  <si>
    <t>resto_txt</t>
  </si>
  <si>
    <t>meta_alcanzada_en_ejecucion</t>
  </si>
  <si>
    <t>meta_alcanzada_en_ejecucion_txt</t>
  </si>
  <si>
    <t>total</t>
  </si>
  <si>
    <t>total_txt</t>
  </si>
  <si>
    <t>id_fase</t>
  </si>
  <si>
    <t>Identificador del Cronograma Fisico del Proyecto</t>
  </si>
  <si>
    <t>SELECT  
      proy.[id_proyecto]
          ,proy.cod_snip as  Codigo_BPIN
          ,dense_rank() OVER (ORDER BY  proy.[id_proyecto],proy.descripcion) AS Id_Objetivo_Especifico
        ,cfisico.Id_Producto
      ,upper(cfisico.[id_producto_txt]) Nombre_Producto
      ,cfisico.[id_um_txt] [Unidad_Producto]
          , cfisico.[meta] cantidad_producto
  FROM [MapaInversion].[BID_Base_Fichas_Proyectos_mip] proy
    inner join [MapaInversion].[BID_Base_Fases_mip] fase
        on fase.id_proyecto=proy.id_proyecto 
  inner join 
  [MapaInversion].[BID_Base_cronogramas_proyecto_fisico_mip] cfisico
  on cfisico.id_proyecto=fase.id_proyecto and cfisico.id_fase=fase.id_fase</t>
  </si>
  <si>
    <t>Inversión</t>
  </si>
  <si>
    <t>Construccion de la planta fisica</t>
  </si>
  <si>
    <t>Escuelas Construidas</t>
  </si>
  <si>
    <t>Aulas</t>
  </si>
  <si>
    <t>500.00</t>
  </si>
  <si>
    <t>0.00</t>
  </si>
  <si>
    <t>.00</t>
  </si>
  <si>
    <t>Identificador único del proyecto de Inversión ( Sistema SNIP )</t>
  </si>
  <si>
    <t>CONSTRUCCION ESCUELA BÁSICA AZUA 1 EN EL MUNICIPIO DE AZUA</t>
  </si>
  <si>
    <t>20.00</t>
  </si>
  <si>
    <t>Fase del componente</t>
  </si>
  <si>
    <t>CONSTRUCCION ESCUELA BÁSICA DE BARRERAS MINICIPIO DE AZUA</t>
  </si>
  <si>
    <t>17.00</t>
  </si>
  <si>
    <t>Identificador del componente</t>
  </si>
  <si>
    <t>CONSTRUCCION LICEO AZUA 1 MUNICIPIO AZUA</t>
  </si>
  <si>
    <t>Liceos Construidos</t>
  </si>
  <si>
    <t>18.00</t>
  </si>
  <si>
    <t>Descripción del componente</t>
  </si>
  <si>
    <t>CONSTRUCCION LICEO ANA MARIA ALCANTARA MUNICIPIO GUAYABAL</t>
  </si>
  <si>
    <t>14.00</t>
  </si>
  <si>
    <t>Identificador del producto</t>
  </si>
  <si>
    <t>CONSTRUCCION ESCUELA BÁSICA LAS CHARCAS MUNICIPIO LAS CHARCAS</t>
  </si>
  <si>
    <t>22.00</t>
  </si>
  <si>
    <t>Descripción del producto</t>
  </si>
  <si>
    <t>CONSTRUCCION PLANTEL JUAN BAUTISTA CAMBIAZO MUNICIPIO</t>
  </si>
  <si>
    <t>identificador de la unidad de medida de la Meta</t>
  </si>
  <si>
    <t>CONSTRUCCION ESCUELA BÁSICA PADRE LAS CASAS MUNICIPIO PADRE LAS CASAS</t>
  </si>
  <si>
    <t>26.00</t>
  </si>
  <si>
    <t>Descripción de la unidad de medida de la meta</t>
  </si>
  <si>
    <t>CONSTRUCCION PLANTEL JUAN PABLO II MUNICIPIO LAS YAYAS DE VIAJAMA</t>
  </si>
  <si>
    <t>12.00</t>
  </si>
  <si>
    <t>numeric</t>
  </si>
  <si>
    <t>Meta Propuesta</t>
  </si>
  <si>
    <t xml:space="preserve"> Extraccion Query For Activities(Productos of the Component)</t>
  </si>
  <si>
    <t>CONSTRUCCION PLANTEL 19 DE MARZO #2 MUNICIPIO PERALTA</t>
  </si>
  <si>
    <t>21.00</t>
  </si>
  <si>
    <t>nvarchar</t>
  </si>
  <si>
    <t>Meta en Texto</t>
  </si>
  <si>
    <t>SELECT  
      proy.[id_proyecto]
          ,proy.cod_snip as  Codigo_BPIN
          ,dense_rank() OVER (ORDER BY  proy.[id_proyecto],proy.descripcion) AS Id_Objetivo_Especifico
           ,cast(ltrim(rtrim(replace(replace(replace(replace(replace(replace(replace(replace(replace(replace(Replace(replace(replace(proy.descripcion,'“',''),'”',''),'"',''),':',''),Char(9),''),Char(10),''),Char(13),''),'/',''),'\',''),'°',''),'º',''),'+',''),'=',''))) as varchar(4000))
         AS Nombre_Objetivo_Especifico
        ,cfisico.Id_Producto
         -- ,cast(concat(proy.[id_proyecto],id_producto) as int) as [Id_Actividad]
                    ,cast(concat(id_producto,id_componente) as int) as [Id_Actividad]
           ,(case when cfisico.id_componente=0 then proy.nombre COLLATE DATABASE_DEFAULT
          else cfisico.[id_componente_txt] end ) as           [Nombre_Actividad]
  FROM [MapaInversion].[BID_Base_Fichas_Proyectos_mip] proy
    inner join [MapaInversion].[BID_Base_Fases_mip] fase
        on fase.id_proyecto=proy.id_proyecto 
  inner join 
  [MapaInversion].[BID_Base_cronogramas_proyecto_fisico_mip] cfisico
  on cfisico.id_proyecto=fase.id_proyecto and cfisico.id_fase=fase.id_fase</t>
  </si>
  <si>
    <t>Meta alcanzada</t>
  </si>
  <si>
    <t>Meta alcanzada en texto</t>
  </si>
  <si>
    <t xml:space="preserve">Meta en ejecucion </t>
  </si>
  <si>
    <t>Meta en ejecucion Texto</t>
  </si>
  <si>
    <t>Avance en Metas del Producto en Trimestre 1</t>
  </si>
  <si>
    <t>Avance en Metas del Producto en Trimestre 1 en texto</t>
  </si>
  <si>
    <t>Avance en Metas del Producto en Trimestre 2</t>
  </si>
  <si>
    <t>Avance en Metas del Producto en Trimestre 2 en texto</t>
  </si>
  <si>
    <t>Avance en Metas del Producto en Trimestre 3</t>
  </si>
  <si>
    <t>Avance en Metas del Producto en Trimestre 3 en texto</t>
  </si>
  <si>
    <t>Avance en Metas del Producto en Trimestre 4</t>
  </si>
  <si>
    <t>Avance en Metas del Producto en Trimestre 4  en texto</t>
  </si>
  <si>
    <t>Meta alcanzada en ejeucion</t>
  </si>
  <si>
    <t>Meta alcanzada en ejecucion Texto</t>
  </si>
  <si>
    <t xml:space="preserve">Total </t>
  </si>
  <si>
    <t>Total Texto</t>
  </si>
  <si>
    <t>Identificador de la Fase del Proyecto</t>
  </si>
  <si>
    <t>[MapaInversion].[BID_Base_Fases_mip]</t>
  </si>
  <si>
    <t>Fases por Proyecto de inversión</t>
  </si>
  <si>
    <t xml:space="preserve"> Extraccion Query For phase of the project</t>
  </si>
  <si>
    <t>id_proyecto_txt</t>
  </si>
  <si>
    <t>fase_txt</t>
  </si>
  <si>
    <t>id_moneda</t>
  </si>
  <si>
    <t>id_moneda_txt</t>
  </si>
  <si>
    <t>tipo_cambio</t>
  </si>
  <si>
    <t>costo_moneda_original</t>
  </si>
  <si>
    <t>costo_moneda_original_txt</t>
  </si>
  <si>
    <t>costo_rd</t>
  </si>
  <si>
    <t>costo_rd_txt</t>
  </si>
  <si>
    <t>inicio</t>
  </si>
  <si>
    <t>fin</t>
  </si>
  <si>
    <t>programacion</t>
  </si>
  <si>
    <t>costo_total_fg</t>
  </si>
  <si>
    <t>costo_total_CE</t>
  </si>
  <si>
    <t>costo_total_Do</t>
  </si>
  <si>
    <t xml:space="preserve">Identificador codigo de fase </t>
  </si>
  <si>
    <t>SELECT  
      proy.[id_proyecto]
          ,proy.cod_snip as  Codigo_BPIN
          ,        dense_rank() OVER (ORDER BY fase.fase) AS Id_Fase
          ,fase.fase_txt as Fase
        ,cfisico.Id_Producto
          ,cast(concat(id_producto,id_componente) as int) as [Id_Actividad]
  FROM [MapaInversion].[BID_Base_Fichas_Proyectos_mip] proy
    inner join [MapaInversion].[BID_Base_Fases_mip] fase
        on fase.id_proyecto=proy.id_proyecto
         inner join 
  [MapaInversion].[BID_Base_cronogramas_proyecto_fisico_mip] cfisico
  on cfisico.id_proyecto=fase.id_proyecto and cfisico.id_fase=fase.id_fase</t>
  </si>
  <si>
    <t>FORTALECIMIENTO - INSTITUCIONAL DE LA GESTION INTEGRAL DE AGUA POTABLE, ALCANTARILLADO EN SIETE PROVINCIAS</t>
  </si>
  <si>
    <t>I</t>
  </si>
  <si>
    <t>Dólar</t>
  </si>
  <si>
    <t>43645838.36</t>
  </si>
  <si>
    <t>43,645,838.36</t>
  </si>
  <si>
    <t>1809120000.00</t>
  </si>
  <si>
    <t>1,809,120,000.00</t>
  </si>
  <si>
    <t>752557629.00</t>
  </si>
  <si>
    <t>1056562371.00</t>
  </si>
  <si>
    <t>CONSTRUCCIÓN , AMPLIACION Y REHABILITACION DE SISTEMAS DE AGUA POTABLE Y SANEAMIENTO EN LA PROVINCIA DE INDEPENDENCIA</t>
  </si>
  <si>
    <t>4920574.00</t>
  </si>
  <si>
    <t>4,920,574.00</t>
  </si>
  <si>
    <t>203957791.00</t>
  </si>
  <si>
    <t>203,957,791.00</t>
  </si>
  <si>
    <t>162855998.00</t>
  </si>
  <si>
    <t>41101793.00</t>
  </si>
  <si>
    <t>CONSTRUCCIÓN , AMPLIACION Y REHABILITACION DE SISTEMAS DE AGUA POTABLE Y SANEAMIENTO EN LA PROVINCIA SAN CRISTOBAL</t>
  </si>
  <si>
    <t>Descripción del proyecto de Inversión</t>
  </si>
  <si>
    <t>8449112.59</t>
  </si>
  <si>
    <t>8,449,112.59</t>
  </si>
  <si>
    <t>350215717.00</t>
  </si>
  <si>
    <t>350,215,717.00</t>
  </si>
  <si>
    <t>171913573.00</t>
  </si>
  <si>
    <t>178302144.00</t>
  </si>
  <si>
    <t>Identificador de la fase del proyecto (A, I)</t>
  </si>
  <si>
    <t>AMPLIACIÓN Y REHABILITACION DE SISTEMAS DE AGUA POTABLE Y SANEAMIENTO EN LA PROVINCIA DE BARAHONA</t>
  </si>
  <si>
    <t>4282223.00</t>
  </si>
  <si>
    <t>4,282,223.00</t>
  </si>
  <si>
    <t>177498140.00</t>
  </si>
  <si>
    <t>177,498,140.00</t>
  </si>
  <si>
    <t>108973599.00</t>
  </si>
  <si>
    <t>68524541.00</t>
  </si>
  <si>
    <t>Identificador de la fase del proyecto (Preinversion, Inversion)</t>
  </si>
  <si>
    <t>CONSTRUCCIÓN SISTEMAS DE ABASTECIMIENTO DE AGUA POTABLE AL DISTRITO MUNICIPAL DE LOS BOTADOS Y COMUNIDADES RURALES, MUNICIPIO YAMASA, PROVINCIA MONTE PLATA</t>
  </si>
  <si>
    <t>573793014.00</t>
  </si>
  <si>
    <t>573,793,014.00</t>
  </si>
  <si>
    <t>460717709.00</t>
  </si>
  <si>
    <t>113075305.00</t>
  </si>
  <si>
    <t>Identificador de la Moneda</t>
  </si>
  <si>
    <t>CONSTRUCCIÓN DE LA CIRCUNVALACION DE AZUA 1RA. ETAPA, EN LA PROVINCIA AZUA</t>
  </si>
  <si>
    <t>2673108286.00</t>
  </si>
  <si>
    <t>2,673,108,286.00</t>
  </si>
  <si>
    <t>989140607.00</t>
  </si>
  <si>
    <t>1683967679.00</t>
  </si>
  <si>
    <t>Identificador texto de la moneda</t>
  </si>
  <si>
    <t>MEJORAMIENTO DEL SISTEMA DE DISTRIBUCION ELECTRICA A NIVEL NACIONAL</t>
  </si>
  <si>
    <t>275000000.00</t>
  </si>
  <si>
    <t>275,000,000.00</t>
  </si>
  <si>
    <t>16084750000.00</t>
  </si>
  <si>
    <t>16,084,750,000.00</t>
  </si>
  <si>
    <t>Tipo o Tasa de Cambio</t>
  </si>
  <si>
    <t>REHABILITACIÓN DE REDES Y NORMALIZACIÓN DE USUARIOS DEL SERVICIO DE ENERGIA</t>
  </si>
  <si>
    <t>601402696.00</t>
  </si>
  <si>
    <t>601,402,696.00</t>
  </si>
  <si>
    <t>28793134338.00</t>
  </si>
  <si>
    <t>28,793,134,338.00</t>
  </si>
  <si>
    <t>28615494005.00</t>
  </si>
  <si>
    <t>177640333.00</t>
  </si>
  <si>
    <t>Costo del proyecto en la moneda origina</t>
  </si>
  <si>
    <t>APOYO AL DESARROLLO DE CAPACIDADES DEL SISTEMA NACIONAL DE INVERSIÓN PÚBLICA - SNIP EN INSTITUCIONES SECTORIALES Y MUNICIPALES PILOTOS DE LA REP. DOM.</t>
  </si>
  <si>
    <t>1538799.74</t>
  </si>
  <si>
    <t>1,538,799.74</t>
  </si>
  <si>
    <t>70000000.00</t>
  </si>
  <si>
    <t>70,000,000.00</t>
  </si>
  <si>
    <t>Costo del Proyecto en la moneda original en texto</t>
  </si>
  <si>
    <t>CONSTRUCCIÓN PRESA DE MONTE GRANDE, REHABILITACION Y COMPLEMENTACION DE LA PRESA DE SABANA YEGUA, PROVINCIA AZUA</t>
  </si>
  <si>
    <t>818572076.00</t>
  </si>
  <si>
    <t>818,572,076.00</t>
  </si>
  <si>
    <t>32898411719.00</t>
  </si>
  <si>
    <t>32,898,411,719.00</t>
  </si>
  <si>
    <t>11516462292.00</t>
  </si>
  <si>
    <t>21381949427.00</t>
  </si>
  <si>
    <t>Costo del proyecto en la moneda dominicana</t>
  </si>
  <si>
    <t>Costo del proyecto en la moneda dominicana en texto</t>
  </si>
  <si>
    <t>Inicio del Proyecto</t>
  </si>
  <si>
    <t>Fin del Proyecto</t>
  </si>
  <si>
    <t>Año en que se programo el proyecto (Programacion Plurianual</t>
  </si>
  <si>
    <t>Costo toatal (Pendiente, son campos nuevos=</t>
  </si>
  <si>
    <t>[MapaInversion].[BID_Base_Fichas_Proyectos_mip]</t>
  </si>
  <si>
    <t>Información referente a proyectos de inversion, se identifica cada uno de los proyectos asi como también sus caracteristicas asociadas.</t>
  </si>
  <si>
    <t xml:space="preserve"> Extraccion Query For Main Information of Project Data</t>
  </si>
  <si>
    <t>cod_snip</t>
  </si>
  <si>
    <t>cod_snip_historico</t>
  </si>
  <si>
    <t>id_tipologia</t>
  </si>
  <si>
    <t>id_tipologia_txt</t>
  </si>
  <si>
    <t>estado_proyecto</t>
  </si>
  <si>
    <t>estado_proyecto_txt</t>
  </si>
  <si>
    <t>fase_actual</t>
  </si>
  <si>
    <t>fase_actual_txt</t>
  </si>
  <si>
    <t>tipo_proyecto</t>
  </si>
  <si>
    <t>tipo_proyecto_txt</t>
  </si>
  <si>
    <t>nombre</t>
  </si>
  <si>
    <t>id_proceso</t>
  </si>
  <si>
    <t>id_proceso_txt</t>
  </si>
  <si>
    <t>objeto</t>
  </si>
  <si>
    <t>duracion_preinversion</t>
  </si>
  <si>
    <t>duracion_inversion</t>
  </si>
  <si>
    <t>costo_total</t>
  </si>
  <si>
    <t>costo_total_txt</t>
  </si>
  <si>
    <t>prioridad_institucional</t>
  </si>
  <si>
    <t>id_funcional</t>
  </si>
  <si>
    <t>id_funcional_txt</t>
  </si>
  <si>
    <t>problema_central</t>
  </si>
  <si>
    <t>id_end_txt</t>
  </si>
  <si>
    <t>id_politica_transversal</t>
  </si>
  <si>
    <t>id_politica_transversal_txt</t>
  </si>
  <si>
    <t>id_plan_im</t>
  </si>
  <si>
    <t>id_institucion_responsable</t>
  </si>
  <si>
    <t>id_institucion_responsable_txt</t>
  </si>
  <si>
    <t>id_institucion_responsable_des_txt</t>
  </si>
  <si>
    <t>id_institucion_ejecutora</t>
  </si>
  <si>
    <t>id_institucion_ejecutora_txt</t>
  </si>
  <si>
    <t>id_institucion_ejecutora_des_txt</t>
  </si>
  <si>
    <t>involucrados</t>
  </si>
  <si>
    <t>area_influencia</t>
  </si>
  <si>
    <t>area_influencia_txt</t>
  </si>
  <si>
    <t>poblacion_beneficiada</t>
  </si>
  <si>
    <t>descripcion_pob</t>
  </si>
  <si>
    <t>motivacion</t>
  </si>
  <si>
    <t>proposito</t>
  </si>
  <si>
    <t>es_previo_concepto</t>
  </si>
  <si>
    <t>es_previo_concepto_txt</t>
  </si>
  <si>
    <t>subproyecto</t>
  </si>
  <si>
    <t>subproyecto_txt</t>
  </si>
  <si>
    <t>poblacion_referencia</t>
  </si>
  <si>
    <t>des_poblacion_ref</t>
  </si>
  <si>
    <t>poblacion_afectada</t>
  </si>
  <si>
    <t>des_poblacion_afe</t>
  </si>
  <si>
    <t>origen</t>
  </si>
  <si>
    <t>origen_txt</t>
  </si>
  <si>
    <t>funcion</t>
  </si>
  <si>
    <t>cod_sub_funcion</t>
  </si>
  <si>
    <t>str_funcional_txt</t>
  </si>
  <si>
    <t>fec_inicio</t>
  </si>
  <si>
    <t>fec_fin</t>
  </si>
  <si>
    <t>descripcion_end</t>
  </si>
  <si>
    <t>es_idea_proyecto</t>
  </si>
  <si>
    <t>seccion</t>
  </si>
  <si>
    <t>Identificador único del proyecto de Inversión ( Sistema Meypd)</t>
  </si>
  <si>
    <t>SELECT   distinct  fp.[id_proyecto]   Id_Proyecto, [cod_snip] Codigo_BPIN,
cast(ltrim(rtrim(replace(replace(replace(replace(replace(replace(replace(replace(replace(replace(Replace(replace(replace([nombre],'“',''),'”',''),'"',''),':',''),Char(9),''),Char(10),''),Char(13),''),'/',''),'\',''),'°',''),'º',''),'+',''),'=',''))) as varchar(4000)) 
as Nombre_Proyecto, 
 [fec_inicio] Año_Inicio_Proyecto,[fec_fin] Año_Final_Proyecto, 
fase.costo_rd as Vlr_Total_Proyecto_Fuentes_Regalias, 
                 fase.costo_rd as        Vlr_Total_Proyecto_Todas_Las_Fuentes,
				 [descripcion]  as Objetivo_General, [tipo_proyecto], 
				   replace(substring([funcion],1,7),'.','') as Id_Sector,
     substring([funcion],10,len([funcion])) as Nombre_Sector,
					--	dbo.RemoveChars(replace(Id_Ejecutor,' ','')), 2057
						[id_institucion_ejecutora] as Id_Ejecutor,  [id_institucion_ejecutora_des_txt] Nombre_Ejecutor, 
                        [poblacion_beneficiada] as Numero_Beneficiarios,[id_institucion_responsable] AS Id_OCAD,[id_institucion_responsable_des_txt] Nombre_OCAD
--,fase.fase_txt
FROM            [MapaInversion].[BID_Base_Fichas_Proyectos_mip] fp
inner join (Select * from [MapaInversion].[BID_Base_Fases_mip]  fase where costo_rd=(Select max(costo_rd) from [MapaInversion].[BID_Base_Fases_mip]  fase1 where fase.[id_proyecto]=fase1.[id_proyecto]))fase
on fp.[id_proyecto]=fase.[id_proyecto]</t>
  </si>
  <si>
    <t>CAPITAL FIJO</t>
  </si>
  <si>
    <t>A</t>
  </si>
  <si>
    <t>Arrastre</t>
  </si>
  <si>
    <t>MEJORAMIENTO DE LA SANIDAD E INOCUIDAD AGROALIMENTARIA EN LA REPUBLICA DOMINICANA (PATCA III)</t>
  </si>
  <si>
    <t>MEJORAMIENTO</t>
  </si>
  <si>
    <t>DE LA SANIDAD E INOCUIDAD AGROALIMENTARIA EN LA REPUBLICA DOMINICANA (PATCA III)</t>
  </si>
  <si>
    <t>450000000.00</t>
  </si>
  <si>
    <t>450,000,000.00</t>
  </si>
  <si>
    <t>Baja productividad de la agropecuaria dominicana</t>
  </si>
  <si>
    <t>3.5.3.8</t>
  </si>
  <si>
    <t>SA</t>
  </si>
  <si>
    <t>El Programa se ejecutará durante cinco (6) años a nivel nacional con la participación de productores y técnicos directa o indirectamente vinculado a la Sanidad e Inocuidad Agroalimentaria del país.  Inocuidad Agroalimentaria, a través del cual se promoverá: (i) el establecimiento de un Sistema Nacional de Trazabilidad; (ii) el establecimiento de un Programa de Buenas Prácticas Agrícolas y Ganaderas (BPA y BPG), en coordinación con el sector privado, el cual estará asociado a la creación de un Sistema Nacional de Certificación BPA y BPG; (iii) el fortalecimiento de los Sistemas Nacionales de Inspección y Control; (iv) fortalecimiento la Red Dominicana de Laboratorios de Análisis de Alimentos (REDLAA) y; (v) la reconversión del Laboratorio Veterinario Central (LAVECEN) para que actué como el  Laboratorio Nacional de Referencia.  Sanidad Animal, a través del cual se apoyará: (i) un Programa Específico de Control y Erradicación de Enfermedades Animales; (ii) el Sistema Nacional de Vigilancia Epidemiológica; (iii) el incremento de la capacidad y calidad operativa de las Divisiones de Diagnóstico y Producción del Laboratorio Veterinario Central (LAVECEN); (iv) el fortalecimiento institucional de la Dirección General de Ganadería (DIGEGA), con énfasis en la División de Análisis de Riesgo. Sanidad Vegetal, con el que se prevé apoyar: (i) el fortalecimiento del Sistema Nacional de Vigilancia, Notificación y  Monitoreo Fitosanitario; (ii) el Plan Nacional de Emergencia Fitosanitaria; (iii) el fortalecimiento institucional del Departamento de Sanidad Vegetal de la SEA, con énfasis en la Sistematización y Automatización de Registros; (iv) la Asistencia Técnica a programas específicos en renglones no tradicionales y tradicionales de exportación y cultivos tradiciones de importancia para autosuficiencia alimentaria nacional; (v) apoyo a la aplicación de la Ley 311 y su Reglamento 322 sobre registro y uso de plaguicidas.  Cuarentena Agropecuaria, a través del cual se busca desarrollar:  (i) un Programa Permanente de Promoción en Cuarentena Agropecuaria para garantizar cumplimiento de las medidas cuarentenarias en los aeropuertos, puertos y puestos fronterizos a través de las Leyes 4990 de Sanidad Vegetal y 4030 de Sanidad Animal; (ii) el fortalecimiento de la División de Análisis de Riesgo del Departamento de Sanidad Vegetal de la SEA; (iii) un Programa Nacional de Diagnóstico de Plagas Cuarentenarias.</t>
  </si>
  <si>
    <t>El Mnisterio de Agricultura será el Organismo Ejecutor quien actuará a través de la Oficina de Ejecución de Proyectos (OEP), creada por Resolución Ministerial No.14-2010 del 12 de marzo del 2010.</t>
  </si>
  <si>
    <t>Nacional</t>
  </si>
  <si>
    <t>Productores Agropecuarios a nivel nacional.</t>
  </si>
  <si>
    <t>Crear capacidades  para mejorar las condiciones fitozoosanitarias y de inocuidad adecuadas en los productos agropecuarios para favorecer el acceso de los mismos a los mercados nacionales e internacionales y de este modo garantizar al consumidor un bien de alta calidad y confiabilidad.</t>
  </si>
  <si>
    <t>El objetivo es mejorar el estado sanitario del país y a favorecer el acceso con los productos dominicanos a los mercados nacionales e internacionales. Fortalecer la capacidad gubernamental de proveer los servicios de carácter público dejando al sector privado las áreas de actividad que le corresponden en la provisión de los servicios necesarios para asegurar que la producción nacional agropecuaria y agroindustrial pueda cumplir con los requisitos y normas exigidas por el comercio internacional y la salud pública. Desarrollar programas permanentes de capacitación y entrenamiento a técnicos y productores  en las áreas de Inocuidad Agroalimentaria, Sanidad Vegetal, Sanidad Animal y Cuarentena Agropecuaria.</t>
  </si>
  <si>
    <t>N</t>
  </si>
  <si>
    <t>No</t>
  </si>
  <si>
    <t>Normal</t>
  </si>
  <si>
    <t>reevaluacion</t>
  </si>
  <si>
    <t>2015-10-03 00:00:00.000</t>
  </si>
  <si>
    <t>2018-09-21 20:16:26.037</t>
  </si>
  <si>
    <t>2.2.00 - Agropecuaria, caza, pesca y silvicultura</t>
  </si>
  <si>
    <t>2.2.01 -  Agropecuaria</t>
  </si>
  <si>
    <t>Desarrollar un sistema de sanidad e inocuidad agroalimentaria integrado, moderno y eficiente que involucre a todos los actores de la cadena productiva para preservar la salud de los consumidores e incrementar la competitividad</t>
  </si>
  <si>
    <t>1 - Gobierno Central</t>
  </si>
  <si>
    <t>Identificador del proyecto de inversión del istema Snip</t>
  </si>
  <si>
    <t>CONSTRUCCIÓN ACUEDUCTO MULTIPLE DE PERAVIA (BANI), PROVINCIA PERAVIA</t>
  </si>
  <si>
    <t>CONSTRUCCIÓN</t>
  </si>
  <si>
    <t>ACUEDUCTO MULTIPLE DE PERAVIA (BANI), PROVINCIA PERAVIA</t>
  </si>
  <si>
    <t>5887667884.00</t>
  </si>
  <si>
    <t>5,887,667,884.00</t>
  </si>
  <si>
    <t>Baja cobertura en la prestación de servicios eficientes y sostenibles de Agua Potable y Saneamiento mediante la APS en la provincia Peravia.</t>
  </si>
  <si>
    <t>2.5.2.3</t>
  </si>
  <si>
    <t>CT</t>
  </si>
  <si>
    <t>Este proyecto contempla el mejoramiento del entorno ambiental a través de  procedimientos de capacitación específicos para la región y la rehabilitación de dicho acueducto. Con la ejecución de dicho proyecto se reducirán las enfermedades hídricas y habrá  mejores condiciones de vida. Sus principales componentes son: Obra de toma conectada a la tubería del acueducto Valdesia –Santo Domingo, Línea de aducción de 16.0 Km. de longitud, Línea principal de conducción de 62.0 km de longitud, Depósitos reguladores, Acondicionamiento depósitos reguladores en Nizao, Calderas, Baní, Boca Canasta, Matanzas 1, Sombrero- El Llano, Pizarrete Y Cañafistol, Estación de bombeo en Güera y Complementación y rehabilitación de redes de distribución.</t>
  </si>
  <si>
    <t>INAPA</t>
  </si>
  <si>
    <t>INSTITUTO NACIONAL DE AGUAS POTABLES Y ALCANTARILLADOS</t>
  </si>
  <si>
    <t>• Ejecutor: INAPA  • Unidad de Supervisión  • Contratista: ACCIONA AGUA-ABI-KARRAM, MORILLA  • Otros: Gobernación Provincial, Síndicos Municipales, Juntas de Vecinos</t>
  </si>
  <si>
    <t>Municipal</t>
  </si>
  <si>
    <t>Habitantes de las comunidades Baní, Paya, Guera, El Fundo, Cañafistol, Mata Gorda, Boca Canasta, Pizarrete, Matanzas, Santana, Catalina, Nizao, Don Gregorio, Carretón, Sombrero, Arroyo Hondo, Quija Quieta, Los Tumbaos, Calderas y Base Naval de la provincia Peravia.</t>
  </si>
  <si>
    <t>Los municipios de Baní y Nizao, así como los distritos municipales: Santana, Catalina, El Carretón, Cañafistol,  Matanzas, Paya, Villa Sombrero, Pizarrete y Santana poseen sistema de abastecimiento de agua potable, que en general funcionan pero con precariedades, debido al crecimiento poblacional de la zona por lo que en el año 2009, se diseña el Acueducto Múltiple de Peravia con fines de mejorar el suministro de agua potable de la zona. E l ineficiente servicio de Agua Potable y El inadecuado sistema de Saneamiento en la provincia Peravia, han motivado para la ejecución de este Proyecto. Según los múltiples informes de evaluación emitidos por técnicos del INAPA, los municipios de Baní y Nizao tienen serias limitaciones para el acceso al recurso agua potable, por tanto se ven en la necesidad de adquirir por diversos medios el agua necesaria para realizar sus actividades diarias.</t>
  </si>
  <si>
    <t>Reducir el déficit de agua en los municipios Baní y Nizao.</t>
  </si>
  <si>
    <t>paralizado</t>
  </si>
  <si>
    <t>2020-12-11 15:08:47.317</t>
  </si>
  <si>
    <t>4.1.00 - Vivienda y Servicios Comunitarios</t>
  </si>
  <si>
    <t>4.1.03 -  Abastecimiento de agua potable</t>
  </si>
  <si>
    <t>Desarrollar nuevas infraestructuras de redes que permitan la ampliación de la cobertura de los servicios de agua potable, alcantarillado sanitario y pluvial, tratamiento de aguas servidas y protección del subsuelo, con un enfoque de desarrollo sostenible y con prioridad en las zonas tradicionalmente excluidas</t>
  </si>
  <si>
    <t>4 - Empresas</t>
  </si>
  <si>
    <t>Identificador del proyecto de inversión del istema Snip (Algunos proyectos fueron migrados de una version anterior por lo que tienen un codigo historico diferente)</t>
  </si>
  <si>
    <t>PRESA DE MONTE GRANDE, REHABILITACION Y COMPLEMENTACION DE LA PRESA DE SABANA YEGUA, PROVINCIA AZUA</t>
  </si>
  <si>
    <t>16144286025.00</t>
  </si>
  <si>
    <t>16,144,286,025.00</t>
  </si>
  <si>
    <t>Bajo aprovechamiento de las aguas en la producción agrícola y pecuaria.</t>
  </si>
  <si>
    <t>4.1.4.5</t>
  </si>
  <si>
    <t>Complejo de obras hidráulicas para el desarrollo regional del suroeste de la República Dominicana. La presa Monte Grande es de almacenamiento de agua para el desarrollo hídrico y la última aguas abajo de la cuenca del río Yaque del Sur. El Proyecto consiste en cinco grandes componentes de obra y un componente de estudios y diseño. El componente de obras incluye las siguientes construcciones: 1) La rehabilitación y complementación de la Presa de Sabana Yegua, 2) La construcción de la Presa Monte Grande, 3) La rehabilitación y ampliación del Sistema de Riego de la cuenca baja del rio Yaque del Sur , 4) Las obras para la Mitigación de Inundaciones, y 5) La construcción del Centro Poblado.</t>
  </si>
  <si>
    <t>MIMARENA</t>
  </si>
  <si>
    <t>MINISTERIO  DE MEDIO AMBIENTE Y RECURSOS NATURALES</t>
  </si>
  <si>
    <t>INDRHI</t>
  </si>
  <si>
    <t>INSTITUTO NACIONAL DE RECURSOS HIDRÁULICOS (INDRHI)</t>
  </si>
  <si>
    <t>Provincial</t>
  </si>
  <si>
    <t>habitantes.</t>
  </si>
  <si>
    <t>El rio Yaque del Sur y su red de afluentes constituyen una de las cuencas más importantes del país dado su extensión el volumen de agua que aporta y la importancia económica desde punto de vista de agua potable, agrícola, energética y conservación  ecológica. La presa Monte Grande busca servir de almacenamiento de agua para el desarrollo hídrico aguas abajo de la cuenca del río Yaque del Sur, para la mejora de las condiciones sociales y económicas de los habitantes de la región suroeste a través de: la mitigación de la escasez de agua para uso agrícola y ganadero en épocas de sequía severa, la disponibilidad de agua permanente para los cultivos de cientos de productores agrícolas, y la contribución a la preservación del medio ambiente.</t>
  </si>
  <si>
    <t>Mitigar la escasez de agua para uso agrícola y ganadero en épocas de sequía severa, garantizar la disponibilidad de agua permanente para los cultivos de cientos de productores agrícolas, contribuir a la preservación del medio ambiente y en consecuencia mejorar las condiciones sociales y económicas de los habitantes de la región suroeste.</t>
  </si>
  <si>
    <t>ejecucion</t>
  </si>
  <si>
    <t>2024-03-19 13:57:58.653</t>
  </si>
  <si>
    <t>2.3.00 - Riego</t>
  </si>
  <si>
    <t>2.3.01 -  Riego</t>
  </si>
  <si>
    <t>Expandir y dar mantenimiento a la infraestructura para la regulación de los volúmenes de agua, mediante la priorización de inversiones en obras de propósitos múltiples, con un enfoque de desarrollo sostenible</t>
  </si>
  <si>
    <t>3 - Instituciones Públicas Descentralizadas y Autónomas</t>
  </si>
  <si>
    <t>Identificador de Tipos de Proyectos</t>
  </si>
  <si>
    <t>AMPLIACIÓN ACUEDUCTO ORIENTAL, BARRERA DE SALINIDAD Y TRASVASE AL MUNICIPIO SANTO DOMINGO NORTE, PROVINCIA SANTO DOMINGO</t>
  </si>
  <si>
    <t>AMPLIACIÓN</t>
  </si>
  <si>
    <t>ACUEDUCTO ORIENTAL, BARRERA DE SALINIDAD Y TRASVASE AL MUNICIPIO SANTO DOMINGO NORTE, PROVINCIA SANTO DOMINGO</t>
  </si>
  <si>
    <t>4165644000.00</t>
  </si>
  <si>
    <t>4,165,644,000.00</t>
  </si>
  <si>
    <t>Deficiencia en el abastecimiento de agua potable en el Municipio de Santo Domingo Este</t>
  </si>
  <si>
    <t>El proyecto consiste en la ampliación del acueducto del municipio de Santo Domingo Este, el cual contempla la construcción de un nuevo módulo de tratamiento en el sistema Barrera para así adicionar 2 m3/s a la producción diaria de los cuales 1 m3/s será derivado para reforzar el abastecimiento del municipio de Santo Domingo Norte; la construcción de 3 depósitos reguladores de 8 Millones de Galones cada uno y la colocación de más de 41 km de redes de distintos diámetros para así brindar un abastecimiento continuo y de calidad, así como cubrir con la demanda de agua potable en el municipio por los próximos 25 años.Este Proyecto consta de la construcción de una planta potabilizadora, el trasvase a la zona norte y las interconexiones al acueducto oriental. La construcción de la red de distribución de Agua Potable en diámetros desde 16” hasta 3” PVC (SDR -21) y Empalme en tuberías de P.V.C. en diámetros de 24”, 12”, 4” y 3” para abastecer a las comunidades de Villa Tropicalia, Mendoza, Cristo Salvador, Bo. La Campana y El Bonito.</t>
  </si>
  <si>
    <t>CAASD</t>
  </si>
  <si>
    <t>CORPORACIÓN DEL ACUEDUCTO Y ALCANTARILLADO DE SANTO DOMINGO</t>
  </si>
  <si>
    <t>Con la ampliación del sistema se logrará un abastecimiento continuo y de calidad al municipio de Santo Domingo Este, garantizando que se cubrirá la demanda de agua potable por los próximos 25 años. Del mismo modo, con el trasvase se logrará reforzar el abastecimiento del Municipio de Santo Domingo Norte, mejorando la distribución en sectores como Sabana Perdida, Brisa del este, Los Palmares, Salome Ureña, Nueva Barquita, entre otros.</t>
  </si>
  <si>
    <t>Proporcionar un servicio de distribución de agua potable eficiente en los municipios de Santo Domingo Este y Norte.</t>
  </si>
  <si>
    <t>2024-04-30 16:02:07.190</t>
  </si>
  <si>
    <t>Tipologia de Proyectos Texto</t>
  </si>
  <si>
    <t>EQUIPAMIENTO DE UNIDADES PARA SERVICIOS SANITARIOS EN LA REPUBLICA DOMINICANA</t>
  </si>
  <si>
    <t>EQUIPAMIENTO</t>
  </si>
  <si>
    <t>DE UNIDADES PARA SERVICIOS SANITARIOS EN LA REPUBLICA DOMINICANA</t>
  </si>
  <si>
    <t>200000000.00</t>
  </si>
  <si>
    <t>200,000,000.00</t>
  </si>
  <si>
    <t>Bajos niveles de higiene y salubridad.</t>
  </si>
  <si>
    <t>2.5.1.2</t>
  </si>
  <si>
    <t>XX</t>
  </si>
  <si>
    <t>Se equipará a los hogares dominicanos de aparatos sanitarios o letrinas, dependiendo de las instalaciones sanitarias de los mismos.</t>
  </si>
  <si>
    <t>INVI</t>
  </si>
  <si>
    <t>INSTITUTO NACIONAL DE LA VIVIENDA</t>
  </si>
  <si>
    <t>Grabe el formulario para ingresar los Grupos Involucrados asociados al proyecto.</t>
  </si>
  <si>
    <t>Familias</t>
  </si>
  <si>
    <t>La falta de higiene y el indebido tratamiento de los residuos sanitarios, causan enfemedades mortales en la población. Se genera un gasto para el tratamiento de estas enfermedades por parte del Estado Dominicano.</t>
  </si>
  <si>
    <t>Altos niveles de higiene y salubridad.</t>
  </si>
  <si>
    <t>2017-12-14 07:26:48.967</t>
  </si>
  <si>
    <t>2021-02-05 13:04:01.537</t>
  </si>
  <si>
    <t>4.1.01 -  Urbanizacion y servicios comunitarios</t>
  </si>
  <si>
    <t>Elevar la calidad del entorno y el acceso a servicios básicos e infraestructura comunitaria en aquellos asentamientos susceptibles de mejoramiento</t>
  </si>
  <si>
    <t>identificador del estado del proyecto</t>
  </si>
  <si>
    <t>CREACION DE CONOCIMIENTO</t>
  </si>
  <si>
    <t>Nuevo</t>
  </si>
  <si>
    <t>CATASTRO NACIONAL DE LA REPÚBLICA DOMINICANA</t>
  </si>
  <si>
    <t>CATASTRO</t>
  </si>
  <si>
    <t>NACIONAL DE LA REPÚBLICA DOMINICANA</t>
  </si>
  <si>
    <t>1029443200.00</t>
  </si>
  <si>
    <t>1,029,443,200.00</t>
  </si>
  <si>
    <t>Obsolescencia Información Catastral</t>
  </si>
  <si>
    <t>1.1.1.12</t>
  </si>
  <si>
    <t>Este proyecto consiste en preparar una base de datos sobre los bienes inmuebles de la República Dominicana, en sus aspectos: físico, jurídico y económico.  La inversión se realizara principalmente en tres actividades importantes: * Realizar un levantamiento catastral, cuyo objetivo es recopilar información existente, preparar base cartográfica y cargar la información en el sistema catastral.  a) Recopilar datos mediante encuestas, de acuerdo al modelo catastral establecido, para identificar y caracterizar los bienes inmuebles radicados en el territorio de la República Dominicana, con expresión de su: Tipificación, Superficies, Usos o aprovechamientos, Valores, Titulares, Documentación gráfica y cartográfica, b) Base Cartográfica en los nucleos urbanos y todo el territorio, c) Proceso de producción cartográfica, d) Apoyo y aerotriangulación, e) Recopilación de información existente, f) Accesibilidad/Conectividad,   * Desarrollo de Tecnología: Sistema de Información y aplicaciones, Equipamiento hardware y software,   * Análisis de Resultados</t>
  </si>
  <si>
    <t>• Ministerio de Hacienda.  • Dirección General de Impuestos Internos.  • Ministerio de Obras Públicas.  • Ayuntamientos.  • Administración General de Bienes Nacionales.  • Jurisdicción Inmobiliaria.  • Dirección General de Reordenamiento Territorial.  • Ministerio de Agricultura.  • Ministerio de Medio Ambiente</t>
  </si>
  <si>
    <t>NUCLEOS URBANOS</t>
  </si>
  <si>
    <t>La información generada a través de la organización de un catastro multifinalitario, permite potenciar el incremento de la contribución fiscal, aumentando de forma rápida y eficiente los ingresos por tributos a la propiedad inmueble. Es imprescindible abordar un proyecto de catastro integral que permita al Estado conocer en materia de inmuebles, cantidad, localización, propietarios y su valor.  Además de servir de fuente de información para fortalecer los ingresos, coadyuve en el proceso de registro y titulación de tierras y como elemento clave para la toma de decisiones que tengan al territorio y a sus habitantes como elemento de actividad. Un catastro inmobiliario moderno y actualizado permite al gobierno dominicano contar con un instrumento de desarrollo para poner al servicio de las instituciones Durante los años 2009 y 2010, la Dirección General del Catastro Nacional ha agotado todo un proceso de modernización institucional, en las que se enmarcan varias estrategias. (i) La propuesta de una nueva ley de catastro acorde con el nuevo esquema institucional del Ministerio de Hacienda; (ii) La adopción de nuevas tecnologías; (iii) La capacitación de los recursos humanos; (iv) Y la actualización de procesos y procedimientos metodológicos en las actividades catastrales</t>
  </si>
  <si>
    <t>Implementar un nuevo Catastro Nacional con base en la formación, conservación y actualización del inventario de todos los bienes inmuebles del país para contribuir a los planes de desarrollo e impulsar el avance del país y las políticas públicas del Estado Dominicano.</t>
  </si>
  <si>
    <t>2022-07-04 12:44:09.540</t>
  </si>
  <si>
    <t>1.1.00 - Administración General</t>
  </si>
  <si>
    <t>1.1.02 - Gestion administrativa, financiera, fiscal, economica y planificacion</t>
  </si>
  <si>
    <t>Asegurar la debida articulación entre la planificación estratégica y operativa, la dotación de recursos humanos y materiales y la gestión financiera, a fin de potenciar la eficiencia y eficacia de las políticas públicas a los niveles central y local</t>
  </si>
  <si>
    <t>estado del proyecto</t>
  </si>
  <si>
    <t>CAPITAL HUMANO</t>
  </si>
  <si>
    <t>PREVENCIÓN DE DESASTRES Y GESTION DE RIESGOS EN REPUBLICA DOMINICANA</t>
  </si>
  <si>
    <t>PREVENCIÓN</t>
  </si>
  <si>
    <t>DE DESASTRES Y GESTION DE RIESGOS EN REPUBLICA DOMINICANA</t>
  </si>
  <si>
    <t>214500000.00</t>
  </si>
  <si>
    <t>214,500,000.00</t>
  </si>
  <si>
    <t>4.2.1.1</t>
  </si>
  <si>
    <t>En términos específicos, el proyecto se ejecutará en forma experimental un programa local de gestión de riesgos en 5 municipios, se incorporan medidas básicas de mitigación para proteger a las escuelas y los estudiantes en caso de desastres naturales y proporcional al Vice ministerio de Planificación  la capacidad técnica para supervisar la puesta en marcha y el desempeño de la política nacional de gestión de riesgos y su respectivo plan, así como promover el desarrollo económico y social del país de una manera que contribuya a reducir el riesgo.</t>
  </si>
  <si>
    <t>VIPLAN</t>
  </si>
  <si>
    <t>VICEMINISTERIO DE PLANIFICACION</t>
  </si>
  <si>
    <t>El Ministerio de Economía, Planificación y Desarrollo a través de la Dirección de Ordenamiento y Desarrollo Territorial, es la entidad responsable del proyecto como la entidad ejecutora y la entidad beneficiaria. Otros involucrados con el proyecto son el Ministerio de Educación y los Municipios participantes.</t>
  </si>
  <si>
    <t>Beneficiados. El proyecto trabaja en cinco municipios  de la República Dominicana Padre Las Casas Azua Sabana Grande de Boyá Monte Plata Bajos de Haina San Cristóbal San José de Ocoa San José de Ocoa San Felipe Puerto Plata</t>
  </si>
  <si>
    <t>La República Dominicana, se encuentra entre los países con mayor nivel de exposición  a las amenazas naturales. Tras el paso del huracán George en el año 1998, el país  ha adoptado varias medidas tendientes a dotarse de mayor capacidad para reducir el impacto de los desastres y asegurar una respuesta efectiva y eficaz en situaciones de emergencia. Esto significó cambios relevantes en la institucionalidad y enfoque con el cual el país abordaba  las emergencias y los desastres.  Es altamente vulnerable, ya que el país se ve afectado ante la ocurrencia de fenómenos naturales o antropicos como son huracanes, terremoto, entre otros de forma  constante. La población afectada es de 75,000 habitantes a los municipios detallados más adelante y la población a la cual el proyecto beneficiara directamente es de 40,000 Un apoyo inicial fue  otorgado a través del programa de Emergencia Huracán George (1152/OC-DR), aprobado en el 2002 y finalizado en el 2006. Dicha operación contribuyo al establecimiento del Sistema Nacional de Prevención, Mitigación y Respuesta a Riesgos.</t>
  </si>
  <si>
    <t>Contribuir a incorporar la Gestión del Riesgo en la planificación para el desarrollo de la República Dominicana tanto a nivel sectorial como local, para de esta forma reducir el impacto de los desastres, tanto en la pérdida de vidas humanas como en los daños provocados.</t>
  </si>
  <si>
    <t>2019-11-18 14:45:13.160</t>
  </si>
  <si>
    <t>3.2.00 - Protección de la biodiversidad y ordenación de desechos</t>
  </si>
  <si>
    <t>3.2.01 -  Protección de la biodiversidad y el paisaje</t>
  </si>
  <si>
    <t>Fortalecer las instituciones que integran el Sistema Nacional de Prevención, Mitigación y Respuesta ante Desastres y su coordinación para que puedan desarrollar su labor con eficiencia</t>
  </si>
  <si>
    <t>Identificador de Fase del proyecto</t>
  </si>
  <si>
    <t>CONSTRUCCIÓN DE ARCHIVOS REGIONALES, EN LA REPÚBLICA DOMINICANA</t>
  </si>
  <si>
    <t>DE ARCHIVOS REGIONALES, EN LA REPÚBLICA DOMINICANA</t>
  </si>
  <si>
    <t>179388770.00</t>
  </si>
  <si>
    <t>179,388,770.00</t>
  </si>
  <si>
    <t>Limitada accesibilidad y disperción del patrimonio documental histórico regional.</t>
  </si>
  <si>
    <t>1.1.1.9</t>
  </si>
  <si>
    <t>PS</t>
  </si>
  <si>
    <t>Este proyecto contribuirá a la implementación del sistema de archivos regionales para que puedan cumplir su objetivo de recibir y preservar toda la documentación del sector público y privado, de las demarcaciones definidas a nivel regional que están en el ámbito de actuación del AGN; a fin de cubrir la demanda de los servicios de archivos.</t>
  </si>
  <si>
    <t>CULTURA</t>
  </si>
  <si>
    <t>MINISTERIO DE CULTURA</t>
  </si>
  <si>
    <t>AGN</t>
  </si>
  <si>
    <t>ARCHIVO GENERAL DE LA NACION</t>
  </si>
  <si>
    <t>Usuarios</t>
  </si>
  <si>
    <t>Establecer una estrategia de desarrollo, que busca la homologación y regulación de los procesos archivisticos, así como de las funciones de acopiar, organizar, conservar, custodiar y difundir el patrimonio documental.</t>
  </si>
  <si>
    <t>Eficientizar los servicios del AGN mediante la creación y modernización del Sistema de Archivos Nacionales con el fin de ofrecer servicios de accesibilidad de la documentación pública y la preservación del acervo cultural.</t>
  </si>
  <si>
    <t>2021-07-23 10:54:50.267</t>
  </si>
  <si>
    <t>Consolidar y fortalecer el Sistema Estadístico Nacional con estándares nacionales únicos, a fin de generar información confiable, necesaria, suficiente, oportuna, desagregada por sexo y de uso colectivo para establecer un correcto diagnóstico de la realidad nacional y de los distintos grupos poblacionales, que permita planificar el desarrollo y ejecutar políticas públicas eficaces y eficientes a todos los niveles</t>
  </si>
  <si>
    <t>Descripción de fase del proyecto</t>
  </si>
  <si>
    <t>CONSTRUCCIÓN ACUEDUCTO MULTIPLE HERMANAS MIRABAL, PROVINCIA HERMANAS MIRABAL</t>
  </si>
  <si>
    <t>ACUEDUCTO MULTIPLE HERMANAS MIRABAL, PROVINCIA HERMANAS MIRABAL</t>
  </si>
  <si>
    <t>4857359990.00</t>
  </si>
  <si>
    <t>4,857,359,990.00</t>
  </si>
  <si>
    <t>Baja cobertura en la prestación de servicios eficientes y sostenibles de Agua Potable y Saneamiento mediante la APS en la provincia Hermanas Mirabal</t>
  </si>
  <si>
    <t>El Proyecto plantea la construcción de nuevas obras para el acueducto de la Provincia Hermana Mirabal, atendiendo a los municipios Villa Tapia –Salcedo-Tenares-Cayetano Germosen y comunidades aledañas, las obras a construir son: Línea aducción desde Empalme en el sitio Rranchito a Pta. Potabilizadora L=9,500.00 ml Tub. F24” HD. Construcción Pta. Potabilizadora  500 lps, Filtración rápida. Construcción  estación de bombeo.  Línea de impulsión EB- DR  L=18,040.00 ml Tub. F 24-16-12” HD. Construcción Deposito Reguladores (4) Vitrificado Capacidad 2.64 millones de Gls. Línea matriz y red distribución  Villa Tapia- Salcedo-Tenares 78,187.46 Ml tub F20-16-8-6-4-3” HD y PVC.- Construcción acometida desde tub. F 3 y 4”  (21,900 uds.)</t>
  </si>
  <si>
    <t>Moradores de las comunidades de Villa Tapia- El Coco-Los Indios, Salcedo, Tenares, Cayetano Germosen y comunidades aledañas.</t>
  </si>
  <si>
    <t>El acueducto de Hermanas Mirabal fue diseñado en el año 1990 para abastecer de agua los municipios de Salcedo, Villa Tapia- Tenares- Cayetano Germosén, y comunidades aledañas. En la actualidad el sistema opera con deficiencia debido al crecimiento poblacional, al fin de la vida útil del mismo, a la falta de planificación y a una mala operación. Inapa decidió en el año de 2009, cumpliendo con su misión y visión de acuerdo con la ley 5994 de suministrar agua potable y saneamiento a las áreas en su jurisdicción, el diseño de la rehabilitación y ampliación de  este sistema.</t>
  </si>
  <si>
    <t>Dotar de servicios de agua potable y saneamiento con calidad, continuidad, costo y cobertura de forma sostenible a la provincia Hermanas Mirabal.</t>
  </si>
  <si>
    <t>2020-12-09 11:04:07.417</t>
  </si>
  <si>
    <t>Identificador del Tipo de Proyecto</t>
  </si>
  <si>
    <t>AMPLIACIÓN ALCANTARILLADO SANITARIO BARRIO LAS CARMELITAS EN LA PROVINCIA DE LA VEGA</t>
  </si>
  <si>
    <t>ALCANTARILLADO SANITARIO BARRIO LAS CARMELITAS EN LA PROVINCIA DE LA VEGA</t>
  </si>
  <si>
    <t>96679168.00</t>
  </si>
  <si>
    <t>96,679,168.00</t>
  </si>
  <si>
    <t>Sin dotación de Servicio de Alcantarillado Sanitario en la zona Sur Oeste de la Cuidad lo cual provoca contaminación de las aguas del antiguo cauce del Rio Camu.</t>
  </si>
  <si>
    <t>El Alcantarillado Sanitario del Barrio La Carmelita esta diseñado para trabajar por gravedad. Consiste en la construccion de la linea conductora y red recolectora del alcantarillado sanitario, colocacion de acometidas domiciliarias y correcion de averias en lineas de conduccion existentes.  Una vez terminadas las dos etapas del proyecto, se garantizara el suministro de los servicios basicos de Alcantarillado Sanitario al Barrio La Carmelita. El Barrio La Carmelita se encuentra ubicado en la parte Sur-Oeste del Municipio de La Vega.</t>
  </si>
  <si>
    <t>CORAAVEGA</t>
  </si>
  <si>
    <t>CORPORACIÓN DEL ACUEDUCTO Y ALCANTARILLADO DE LA VEGA</t>
  </si>
  <si>
    <t>CORAAVEGA, LA COMUNIDAD Y LOS HABITANTES DEL BARRIO CARMELITA</t>
  </si>
  <si>
    <t>El Barrio Las Carmelitas no posee los servicios de Agua Potable ni de Alcantarillado Sanitario, provocando esto que todas las descargas de aguas residuales vayan a parar a una cañada que se encuentra en la parte baja del sector (antiguo cauce del río Camú), que cruza una gran parte de la cuidad llevando esta contaminación consigo hasta ser vertida sin ningún tratamiento a las aguas del río Camú. Existe una infraestructura sin terminar que lleva 9 años en construcción.</t>
  </si>
  <si>
    <t>Dotar el Servicio de Alcantarillado Sanitario la zona Sur Oeste de la Cuidad y evitar la contaminación de las aguas del antiguo cauce del río Camú. Su finalidad principal es la conexión del servicio de Alcantarillado Sanitario de la parte Sur Oeste de la ciudad, para ser conducida a través del colecto norte hasta la planta de tratamiento ubicada en Pontón, para así controlar las descargas hacia el río y evitar la contaminación de las aguas del antiguo cauce del río Camú. En síntesis, contribuir al mejoramiento de las condiciones socio ambientales del barrio Las Carmelitas y barrios circundantes.</t>
  </si>
  <si>
    <t>2018-09-18 19:36:33.777</t>
  </si>
  <si>
    <t>3.1.00 - Protección del aire, agua y suelo</t>
  </si>
  <si>
    <t>3.1.03 -  Ordenación de aguas residuales, drenaje y alcantarillado</t>
  </si>
  <si>
    <t>Descripción del tipo de proyecto</t>
  </si>
  <si>
    <t>Descripción del proyecto</t>
  </si>
  <si>
    <t xml:space="preserve"> Extraccion Query For Status of the Project </t>
  </si>
  <si>
    <t>Identificador del Tipo de Proceso del Proyecto</t>
  </si>
  <si>
    <t>SELECT distinct [id_proyecto] as [ID_Proyecto], [cod_snip] as Codigo_BPIN,[fec_upd] as Fecha_Registro,1 AS Actual_Si_No
      ,  DENSE_RANK()  OVER (ORDER BY estado) AS Id_Estado
      ,upper(replace(estado,'ejecucion', 'ejecución')) AS Nombre_Estado
        ,DENSE_RANK()  OVER (ORDER BY [estado_proyecto]) AS Id_Fase
       ,upper([estado_proyecto_txt]) AS Nombre_Fase
      ,DENSE_RANK()  OVER (ORDER BY [estado_proyecto])  AS Id_Destino_Recursos
        ,upper([estado_proyecto]) AS Nombre_Destino_Recursos
  FROM [MapaInversion].[BID_Base_Fichas_Proyectos_mip]</t>
  </si>
  <si>
    <t>Texto del tipo de proceso del Proyecto</t>
  </si>
  <si>
    <t xml:space="preserve">Objeto del Proyecto </t>
  </si>
  <si>
    <t>Duracion del proyecto durante el proceso de preinversion</t>
  </si>
  <si>
    <t>Duracion del proyecto durante el proceso de Inversion</t>
  </si>
  <si>
    <t xml:space="preserve"> Extraccion Query For Expecific Objetives of the project</t>
  </si>
  <si>
    <t>Costo total del proyecto</t>
  </si>
  <si>
    <t>SELECT  
      proy.[id_proyecto]
          ,proy.cod_snip as  Codigo_BPIN
           ,dense_rank() OVER (ORDER BY proy.[id_proyecto],proy.descripcion) AS Id_Objetivo_Especifico
           ,cast(ltrim(rtrim(replace(replace(replace(replace(replace(replace(replace(replace(replace(replace(Replace(replace(replace(proy.descripcion,'“',''),'”',''),'"',''),':',''),Char(9),''),Char(10),''),Char(13),''),'/',''),'\',''),'°',''),'º',''),'+',''),'=',''))) as varchar(4000))
         AS Nombre_Objetivo_Especifico
  FROM [MapaInversion].[BID_Base_Fichas_Proyectos_mip] proy</t>
  </si>
  <si>
    <t>Prioridad del Proyecto a nivel institucional</t>
  </si>
  <si>
    <t>Identificador funcional del Proyecto</t>
  </si>
  <si>
    <t>Identificador funcional del Proyecto texto</t>
  </si>
  <si>
    <t>Descricion del Problema central del proyecto de inversion</t>
  </si>
  <si>
    <t>Identificacion de la entidad</t>
  </si>
  <si>
    <t>Identificacion de la entidad en texto</t>
  </si>
  <si>
    <t>Identificacion de la politica transversal</t>
  </si>
  <si>
    <t>Politica transversal definida para el proyecto</t>
  </si>
  <si>
    <t>Descripcion del Proyecto de Inversión en el SNIP ( Sistema de inversión pública )</t>
  </si>
  <si>
    <t>Identificador de la institucion responsable</t>
  </si>
  <si>
    <t>Siglas de la institucion responsable</t>
  </si>
  <si>
    <t>Descripción de la institucion responsable</t>
  </si>
  <si>
    <t>Identificador de la institucion ejecutora</t>
  </si>
  <si>
    <t>Siglas de la institucion ejecutora</t>
  </si>
  <si>
    <t>Descripción de la institucion ejecutora</t>
  </si>
  <si>
    <t>Tipo de Institucion</t>
  </si>
  <si>
    <t>(Creo son los beneficiarios por definir)</t>
  </si>
  <si>
    <t>Idenficiador Area de Influencia del Proyecto (Provincial o Municipal)</t>
  </si>
  <si>
    <t>Texto Area de Influencia del Proyecto</t>
  </si>
  <si>
    <t>Poblacion beneficiaria</t>
  </si>
  <si>
    <t>Descripcion de la Poblacion o Unidad Medidad de la Poblacion beneficiaria</t>
  </si>
  <si>
    <t>Motivación del proyecto</t>
  </si>
  <si>
    <t>Propósito del proyecto</t>
  </si>
  <si>
    <t>Definicion si existio concepto previo (S es SI)</t>
  </si>
  <si>
    <t>Texto de definicion concepto previo</t>
  </si>
  <si>
    <t>Indica si el proyecto es un subproyecto (N es NO)</t>
  </si>
  <si>
    <t>Indicador en texto si es un supbproyecto</t>
  </si>
  <si>
    <t xml:space="preserve">Problacion de referencia </t>
  </si>
  <si>
    <t>Pobacion afectada</t>
  </si>
  <si>
    <t>Descripcion de la Poblacion o Unidad Medidad de la Poblacion afectada</t>
  </si>
  <si>
    <t>Origen Identificador</t>
  </si>
  <si>
    <t>Texto del identifiador de Origen)</t>
  </si>
  <si>
    <t>Estado del proyecto</t>
  </si>
  <si>
    <t>datetime2</t>
  </si>
  <si>
    <t>Funcion a la que pertenece el proyecto, el simil en otras plataformas es el equivalente al sector del proyecto)</t>
  </si>
  <si>
    <t>Codigo de la subcion del proyecto</t>
  </si>
  <si>
    <t>Funcion del proyecto en texto</t>
  </si>
  <si>
    <t>Fecha inicio del Proyecto</t>
  </si>
  <si>
    <t>Fecha Fin del Proyecto</t>
  </si>
  <si>
    <t>Fecha de Programacion</t>
  </si>
  <si>
    <t>Descripcion del Proyecto Final</t>
  </si>
  <si>
    <t>Indenfica si es una idea de proyecto</t>
  </si>
  <si>
    <t xml:space="preserve">Seccion a la que pertenece el proyecto </t>
  </si>
  <si>
    <t>[MapaInversion].[BID_Base_presupuesto_mip]</t>
  </si>
  <si>
    <t>Presupuesto asociado a proyectos de inversión por periodo/año</t>
  </si>
  <si>
    <t xml:space="preserve"> Extraccion Query For Financial Information of the project</t>
  </si>
  <si>
    <t>id_ppto</t>
  </si>
  <si>
    <t>periodo</t>
  </si>
  <si>
    <t>id_institucion_txt</t>
  </si>
  <si>
    <t>id_institucion_sig_txt</t>
  </si>
  <si>
    <t>id_fte_gral</t>
  </si>
  <si>
    <t>id_fte_gral_txt</t>
  </si>
  <si>
    <t>id_fte_gral_cod</t>
  </si>
  <si>
    <t>id_fte_esp</t>
  </si>
  <si>
    <t>id_fte_esp_txt</t>
  </si>
  <si>
    <t>id_fte_esp_cod</t>
  </si>
  <si>
    <t>id_org_fin</t>
  </si>
  <si>
    <t>id_org_fin_txt</t>
  </si>
  <si>
    <t>id_org_fin_cod</t>
  </si>
  <si>
    <t>id_objetal</t>
  </si>
  <si>
    <t>id_objetal_txt</t>
  </si>
  <si>
    <t>id_objetal_cod</t>
  </si>
  <si>
    <t>programado</t>
  </si>
  <si>
    <t>programado_txt</t>
  </si>
  <si>
    <t>aprobado</t>
  </si>
  <si>
    <t>aprobado_txt</t>
  </si>
  <si>
    <t>aumentos</t>
  </si>
  <si>
    <t>aumentos_txt</t>
  </si>
  <si>
    <t>disminucion</t>
  </si>
  <si>
    <t>disminucion_txt</t>
  </si>
  <si>
    <t>vigente</t>
  </si>
  <si>
    <t>vigente_txt</t>
  </si>
  <si>
    <t>ejecutado</t>
  </si>
  <si>
    <t>ejecutado_txt</t>
  </si>
  <si>
    <t>ejecutado_t1</t>
  </si>
  <si>
    <t>ejecutado_t1_txt</t>
  </si>
  <si>
    <t>ejecutado_t2</t>
  </si>
  <si>
    <t>ejecutado_t2_txt</t>
  </si>
  <si>
    <t>ejecutado_t3</t>
  </si>
  <si>
    <t>ejecutado_t3_txt</t>
  </si>
  <si>
    <t>ejecutado_t4</t>
  </si>
  <si>
    <t>ejecutado_t4_txt</t>
  </si>
  <si>
    <t>id_ppto_dc</t>
  </si>
  <si>
    <t>Identificador del presupuesto</t>
  </si>
  <si>
    <t>SELECT DISTINCT proy.[cod_snip] as Codigo_BPIN,
proy.[id_proyecto] as Id_Proyecto 
      ,fase.[costo_rd] as Valor_Aprobado
          , [id_fte_esp] as Id_Tipo_Recurso 
          ,[id_fte_esp_txt] AS Nombre_Tipo_Recurso
          ,[id_institucion] AS Id_Entidad
          ,[id_institucion_txt] AS Nombre_Entidad
      ,[id_org_fin_cod] AS Id_Tipo_Entidad
     ,[id_org_fin_txt] Nombre_Tipo_Entidad
          ,DENSE_RANK() OVER (ORDER BY [fase]) as Id_Etapa     
      ,[fase_txt] as Nombre_Etapa
           ,1 AS Es_Fuente_Regalias_Si_No 
          ,[fec_inicio] as Fecha_Inicio_Vigencia
          ,[fec_fin]  as Fecha_Final_Vigencia 
     ,[cod_region]  as Id_Region
              ,[cod_region_id]
          ,RTRIM(LTRIM([cod_region_txt])) as Nombre_Region
      ,[cod_provincia] as Id_Departamento
            ,[cod_provincia_id] 
      ,RTRIM(LTRIM([cod_provincia_txt]))  as Nombre_Departamento
         ,[cod_municipio] as Id_Municipio
      ,RTRIM(LTRIM(UPPER([cod_municipio_txt]))) as Nombre_Municipio
          ,proy.area_influencia
     ,proy.area_influencia_txt
  FROM  [MapaInversion].[BID_Base_Fichas_Proyectos_mip] proy
  inner join (Select * from (SELECT [id_geografico]
      ,[id_proyecto]
      ,[cod_snip]
      ,[id_proyecto_txt]
      ,[id_clageo]
      ,[area_influencia]
      ,[area_influencia_txt]
      ,case when [cod_region]='11' or [cod_region]='12'  then '00' 
          else [cod_region] end as [cod_region]
      ,[cod_region_txt]
      ,[cod_region_id]
      ,case   when [cod_region]='11' or [cod_region]='12'  then '00000' 
           when [cod_region]='01' and [cod_provincia]='00' then '1001' 
          when [cod_region]='01' and [cod_provincia]='01' then '25' 
           when [cod_region]='01' and [cod_provincia]='02' then '18' 
          when [cod_region]='01' and [cod_provincia]='03' then '09' 
         when [cod_region]='02' and [cod_provincia]='00' then '1002' 
          when [cod_region]='02' and [cod_provincia]='01' then '13' 
           when [cod_region]='02' and [cod_provincia]='02' then '28' 
          when [cod_region]='02' and [cod_provincia]='03' then '24' 
          when [cod_region]='03' and [cod_provincia]='00' then '1003' 
          when [cod_region]='03' and [cod_provincia]='01' then '06' 
           when [cod_region]='03' and [cod_provincia]='02' then '19' 
          when [cod_region]='03' and [cod_provincia]='03' then '14' 
            when [cod_region]='03' and [cod_provincia]='04' then '20' 
                          when [cod_region]='04' and [cod_provincia]='00' then '1004' 
          when [cod_region]='04' and [cod_provincia]='01' then '27' 
           when [cod_region]='04' and [cod_provincia]='02' then '26' 
          when [cod_region]='04' and [cod_provincia]='03' then '15' 
            when [cod_region]='04' and [cod_provincia]='04' then '05' 
                                  when [cod_region]='05' and [cod_provincia]='00' then '1005' 
          when [cod_region]='05' and [cod_provincia]='01' and cod_municipio != '00' then '21' 
           when [cod_region]='05' and [cod_provincia]='02' and cod_municipio not in ('00','04','05','06','08','07','09') then '17' 
          when [cod_region]='05' and [cod_provincia]='03' and cod_municipio != '00' then '31' 
            when [cod_region]='05' and [cod_provincia]='04' and cod_municipio != '00' then '02' 
        when [cod_region]='06' and [cod_provincia]='00' then '1006' 
          when [cod_region]='06' and [cod_provincia]='01' and cod_municipio != '00'  then '04' 
           when [cod_region]='06' and [cod_provincia]='02' and cod_municipio != '00'  then '03' 
          when [cod_region]='06' and [cod_provincia]='03' and cod_municipio not in ('00','03','04','05')  then '16' 
          when [cod_region]='06' and [cod_provincia]='04' and cod_municipio not in ('00','08','10','11','07','09')  then '10' 
        when [cod_region]='07' and [cod_provincia]='00' and [cod_municipio]='00' then '1007' 
        when [cod_region]='07' and [cod_provincia] = '02' and [cod_municipio] != '00' then [cod_provincia]
        when [cod_region]='07' and [cod_provincia] = '07' and [cod_municipio] != '00' then [cod_provincia]
        when [cod_region]='07' and [cod_provincia] = '22' and [cod_municipio] != '00' then [cod_provincia]
                 when [cod_region]='08' and [cod_provincia]='00' then '1008' 
          when [cod_region]='08' and [cod_provincia]='01'  then '12' 
           when [cod_region]='08' and [cod_provincia]='02'  then '11' 
             when [cod_region]='08' and [cod_provincia]='03'  then '08' 
                 when [cod_region]='09' and [cod_provincia]='00' then '1009' 
          when [cod_region]='09' and [cod_provincia]='01'  then '23' 
           when [cod_region]='09' and [cod_provincia]='02'  then '30' 
             when [cod_region]='09' and [cod_provincia]='03'  then '29' 
                 when [cod_region]='10' and [cod_provincia]='00'  then '1010' 
          when [cod_region]='10' and [cod_provincia]='01' then '01' 
           when [cod_region]='10' and [cod_provincia]='02'  then '32' 
          else [cod_provincia] end as [cod_provincia]
      ,[cod_provincia_txt]
      ,[cod_provincia_id]
      ,case   when [cod_region]='11' or [cod_region]='12' and ([cod_municipio]='00' or [cod_municipio]=99) then '00000' 
           when [cod_region]='01' and [cod_provincia]='00' and ([cod_municipio]='00' or [cod_municipio]=99) then '99901' 
          when [cod_region]='01' and [cod_provincia]='01' and ([cod_municipio]='00' or [cod_municipio]=99) then '25000' 
           when [cod_region]='01' and [cod_provincia]='02' and ([cod_municipio]='00' or [cod_municipio]=99) then '18000' 
          when [cod_region]='01' and [cod_provincia]='03' and ([cod_municipio]='00' or [cod_municipio]=99) then '09000' 
          when [cod_region]='01' and [cod_provincia]='01' and ([cod_municipio]='03' or [cod_municipio]=99) then '02' 
                    when [cod_region]='01' and [cod_provincia]='01' and ([cod_municipio]='04' or [cod_municipio]=99) then '03' 
         when [cod_region]='01' and [cod_provincia]='01' and ([cod_municipio]='05' or [cod_municipio]=99) then '04' 
                 when [cod_region]='01' and [cod_provincia]='01' and ([cod_municipio]='06' or [cod_municipio]=99) then '05' 
                                  when [cod_region]='01' and [cod_provincia]='01' and ([cod_municipio]='07' or [cod_municipio]=99) then '06' 
                                              when [cod_region]='01' and [cod_provincia]='01' and ([cod_municipio]='08' or [cod_municipio]=99) then '07'        
                                                 when [cod_region]='01' and [cod_provincia]='01' and ([cod_municipio]='09' or [cod_municipio]=99) then '08'        
                                                 when [cod_region]='01' and [cod_provincia]='01' and ([cod_municipio]='02' or [cod_municipio]=99) then '09'         
         when [cod_region]='02' and [cod_provincia]='00' and ([cod_municipio]='00' or [cod_municipio]=99) then '99902' 
          when [cod_region]='02' and [cod_provincia]='01' and ([cod_municipio]='00' or [cod_municipio]=99) then '13000' 
           when [cod_region]='02' and [cod_provincia]='02' and ([cod_municipio]='00' or [cod_municipio]=99) then '28000' 
          when [cod_region]='02' and [cod_provincia]='03' and ([cod_municipio]='00' or [cod_municipio]=99) then '24000' 
          when [cod_region]='03' and [cod_provincia]='00' and ([cod_municipio]='00' or [cod_municipio]=99) then '99903' 
          when [cod_region]='03' and [cod_provincia]='01' and ([cod_municipio]='00' or [cod_municipio]=99) then '06000' 
           when [cod_region]='03' and [cod_provincia]='02' and ([cod_municipio]='00' or [cod_municipio]=99) then '19000' 
          when [cod_region]='03' and [cod_provincia]='03' and ([cod_municipio]='00' or [cod_municipio]=99) then '14000' 
            when [cod_region]='03' and [cod_provincia]='04' and ([cod_municipio]='00' or [cod_municipio]=99)then '20000'
                 when [cod_region]='03' and [cod_provincia]='01' and ([cod_municipio]='05' or [cod_municipio]=99) then '04'  
                 when [cod_region]='03' and [cod_provincia]='01' and ([cod_municipio]='06' or [cod_municipio]=99) then '05'  
                  when [cod_region]='03' and [cod_provincia]='01' and ([cod_municipio]='07' or [cod_municipio]=99) then '06'  
                   when [cod_region]='03' and [cod_provincia]='01' and ([cod_municipio]='04' or [cod_municipio]=99) then '07'  
                          when [cod_region]='04' and [cod_provincia]='00' and ([cod_municipio]='00' or [cod_municipio]=99) then '99904' 
          when [cod_region]='04' and [cod_provincia]='01' and ([cod_municipio]='00' or [cod_municipio]=99) then '27000' 
           when [cod_region]='04' and [cod_provincia]='02' and ([cod_municipio]='00' or [cod_municipio]=99) then '26000' 
          when [cod_region]='04' and [cod_provincia]='03' and ([cod_municipio]='00' or [cod_municipio]=99) then '15000' 
            when [cod_region]='04' and [cod_provincia]='04' and ([cod_municipio]='00' or [cod_municipio]=99) then '05000' 
                   when [cod_region]='04' and [cod_provincia]='04' and ([cod_municipio]='04' or [cod_municipio]=99) then '03' 
                     when [cod_region]='04' and [cod_provincia]='04' and ([cod_municipio]='03' or [cod_municipio]=99) then '04' 
          when [cod_region]='05' and [cod_provincia]='00' and ([cod_municipio]='00' or [cod_municipio]=99) then '99905' 
                 when [cod_region]='05' and [cod_provincia]='04' and ([cod_municipio]='03' or [cod_municipio]=99) then '02' 
                 when [cod_region]='05' and [cod_provincia]='04' and ([cod_municipio]='04' or [cod_municipio]=99) then '03' 
                 when [cod_region]='05' and [cod_provincia]='04' and ([cod_municipio]='05' or [cod_municipio]=99) then '04' 
                 when [cod_region]='05' and [cod_provincia]='04' and ([cod_municipio]='06' or [cod_municipio]=99) then '05' 
                 when [cod_region]='05' and [cod_provincia]='04' and ([cod_municipio]='07' or [cod_municipio]=99) then '06' 
                 when [cod_region]='05' and [cod_provincia]='04' and ([cod_municipio]='10' or [cod_municipio]=99) then '07' 
                          when [cod_region]='05' and [cod_provincia]='04' and ([cod_municipio]='02' or [cod_municipio]=99) then '09' 
                 when [cod_region]='05' and [cod_provincia]='04' and ([cod_municipio]='09' or [cod_municipio]=99) then '10' 
                           when [cod_region]='05' and [cod_provincia]='01' and ([cod_municipio]='06' or [cod_municipio]=99) then '02' 
                 when [cod_region]='05' and [cod_provincia]='01' and ([cod_municipio]='02' or [cod_municipio]=99) then '03' 
                  when [cod_region]='05' and [cod_provincia]='01' and ([cod_municipio]='08' or [cod_municipio]=99) then '05' 
                 when [cod_region]='05' and [cod_provincia]='01' and ([cod_municipio]='07' or [cod_municipio]=99) then '06' 
                  when [cod_region]='05' and [cod_provincia]='01' and ([cod_municipio]='05' or [cod_municipio]=99) then '07' 
                 when [cod_region]='05' and [cod_provincia]='01' and ([cod_municipio]='03' or [cod_municipio]=99) then '08' 
                  when [cod_region]='06' and [cod_provincia]='00' and ([cod_municipio]='00' or [cod_municipio]=99) then '99906' 
                  when [cod_region]='06' and [cod_provincia]='02' and ([cod_municipio]='04' or [cod_municipio]=99) then '03' 
                    when [cod_region]='06' and [cod_provincia]='02' and ([cod_municipio]='05' or [cod_municipio]=99) then '04' 
                         when [cod_region]='06' and [cod_provincia]='02' and ([cod_municipio]='03' or [cod_municipio]=99) then '05' 
                          when [cod_region]='06' and [cod_provincia]='01' and ([cod_municipio]='05' or [cod_municipio]=99) then '04' 
                    when [cod_region]='06' and [cod_provincia]='01' and ([cod_municipio]='07' or [cod_municipio]=99) then '05' 
                         when [cod_region]='06' and [cod_provincia]='01' and ([cod_municipio]='08' or [cod_municipio]=99) then '06' 
                          when [cod_region]='06' and [cod_provincia]='01' and ([cod_municipio]='10' or [cod_municipio]=99) then '07' 
                    when [cod_region]='06' and [cod_provincia]='01' and ([cod_municipio]='09' or [cod_municipio]=99) then '08' 
                         when [cod_region]='06' and [cod_provincia]='01' and ([cod_municipio]='04' or [cod_municipio]=99) then '09' 
             when [cod_region]='06' and [cod_provincia]='01' and ([cod_municipio]='06' or [cod_municipio]=99) then '10' 
                         when [cod_region]='06' and [cod_provincia]='04' and ([cod_municipio]='05' or [cod_municipio]=99) then '04' 
                         when [cod_region]='06' and [cod_provincia]='04' and ([cod_municipio]='06' or [cod_municipio]=99) then '05' 
             when [cod_region]='06' and [cod_provincia]='04' and ([cod_municipio]='04' or [cod_municipio]=99) then '06' 
             when [cod_region]='06' and [cod_provincia]='04' and [cod_municipio]='08'  then concat([cod_region] ,cod_provincia,cod_municipio)
             when [cod_region]='06' and [cod_provincia]='04' and [cod_municipio]='11'  then concat([cod_region] ,cod_provincia,cod_municipio)
                        when [cod_region]='07' and [cod_provincia]='00' and ([cod_municipio]='00' or [cod_municipio]=99) then '99907' 
                        when [cod_region]='07' and [cod_provincia] IN ('02','07','22') and [cod_municipio]='00' then concat([cod_provincia],'000')
                        when [cod_region]='07' and [cod_provincia] = '02' then concat([cod_region] ,cod_provincia,cod_municipio)
                        when [cod_region]='07' and [cod_provincia] = '07' then concat([cod_region] ,cod_provincia,cod_municipio)
                        when [cod_region]='07' and [cod_provincia] = '22' then concat([cod_region] ,cod_provincia,cod_municipio)
                 when [cod_region]='08' and [cod_provincia]='00' and ([cod_municipio]='00' or [cod_municipio]=99) then '99908' 
          when [cod_region]='08' and [cod_provincia]='01' and ([cod_municipio]='00' or [cod_municipio]=99) then '12000' 
           when [cod_region]='08' and [cod_provincia]='02' and ([cod_municipio]='00' or [cod_municipio]=99) then '11000' 
             when [cod_region]='08' and [cod_provincia]='03' and ([cod_municipio]='00' or [cod_municipio]=99) then '08000' 
                 when [cod_region]='09' and [cod_provincia]='00' and ([cod_municipio]='00' or [cod_municipio]=99) then '99909' 
          when [cod_region]='09' and [cod_provincia]='01' and ([cod_municipio]='00' or [cod_municipio]=99) then '23000' 
           when [cod_region]='09' and [cod_provincia]='02' and ([cod_municipio]='00' or [cod_municipio]=99) then '30000' 
             when [cod_region]='09' and [cod_provincia]='03' and ([cod_municipio]='00' or [cod_municipio]=99) then '29000' 
                 when [cod_region]='10' and [cod_provincia]='00' and ([cod_municipio]='00' or [cod_municipio]=99)  then '99910' 
          when [cod_region]='10' and [cod_provincia]='01' and ([cod_municipio]='00' or [cod_municipio]=99)  then '01000' 
           when [cod_region]='10' and [cod_provincia]='01' and ([cod_municipio]='01' or [cod_municipio]=99)  then '100101' 
           when [cod_region]='10' and [cod_provincia]='02' and ([cod_municipio]='00' or [cod_municipio]=99) then '32000' 
           when [cod_municipio]= '00' then concat([cod_provincia],[cod_municipio],'0')
          else [cod_municipio] end as [cod_municipio]
      ,[cod_municipio_txt]
      ,[activo_clageo]
      ,[activo_clageo_txt]
      ,[porcentaje]
      ,[estado]
      ,[bandeja]
      ,[usu_ins]
      ,[fec_ins]
      ,[usu_upd]
      ,[fec_upd]
  FROM [MapaInversion].[BID_Base_ubicaciones_geograficas_mip])t) u
  on proy.[id_proyecto]=u.id_proyecto
inner join (Select * from [MapaInversion].[BID_Base_Fases_mip]  fase where costo_rd=(Select max(costo_rd) from [MapaInversion].[BID_Base_Fases_mip]  fase1 where fase.[id_proyecto]=fase1.[id_proyecto]))fase
on proy.[id_proyecto]=fase.[id_proyecto]
  inner join [MapaInversion].[BID_Base_presupuesto_mip] presupuesto
  on presupuesto.id_proyecto=proy.id_proyecto and fase.id_fase=presupuesto.id_fase and proy.cod_snip=presupuesto.cod_snip
  order by [cod_region], [cod_provincia],[cod_municipio]</t>
  </si>
  <si>
    <t>Diseño de la Encuesta para el Catastro Nacional y Desarrollo de Tecnología</t>
  </si>
  <si>
    <t>CREDITO EXTERNO</t>
  </si>
  <si>
    <t>FONDO PARA CREDITO EXTERNO</t>
  </si>
  <si>
    <t>Otros Bancos</t>
  </si>
  <si>
    <t>Otros servicios técnicos profesionales</t>
  </si>
  <si>
    <t>2.2.8.7.06</t>
  </si>
  <si>
    <t>35840000.00</t>
  </si>
  <si>
    <t>35,840,000.00</t>
  </si>
  <si>
    <t>P</t>
  </si>
  <si>
    <t>Priorización</t>
  </si>
  <si>
    <t>Periodo de la linea presupuestal</t>
  </si>
  <si>
    <t>Equipos de cómputo</t>
  </si>
  <si>
    <t>2.6.1.3.01</t>
  </si>
  <si>
    <t>9820000.00</t>
  </si>
  <si>
    <t>9,820,000.00</t>
  </si>
  <si>
    <t>Identificador de la institucion</t>
  </si>
  <si>
    <t>Material para limpieza</t>
  </si>
  <si>
    <t>2.3.9.1.01</t>
  </si>
  <si>
    <t>1227500.00</t>
  </si>
  <si>
    <t>1,227,500.00</t>
  </si>
  <si>
    <t>Descripción de la institucion</t>
  </si>
  <si>
    <t>Programas de informática</t>
  </si>
  <si>
    <t>2.6.8.3.01</t>
  </si>
  <si>
    <t>14730000.00</t>
  </si>
  <si>
    <t>14,730,000.00</t>
  </si>
  <si>
    <t>Siglas de la institucion</t>
  </si>
  <si>
    <t>Alquilleres y rentas de edificios y locales</t>
  </si>
  <si>
    <t>2.2.5.1.01</t>
  </si>
  <si>
    <t>Muebles de oficina y estantería</t>
  </si>
  <si>
    <t>2.6.1.1.01</t>
  </si>
  <si>
    <t>12275000.00</t>
  </si>
  <si>
    <t>12,275,000.00</t>
  </si>
  <si>
    <t>Descripción del proyecto asociado</t>
  </si>
  <si>
    <t>Obras para edificación no residencial</t>
  </si>
  <si>
    <t>2.7.1.2.01</t>
  </si>
  <si>
    <t>73650000.00</t>
  </si>
  <si>
    <t>73,650,000.00</t>
  </si>
  <si>
    <t>Identificador del proyecto de inversión</t>
  </si>
  <si>
    <t>Alquiler de equipo educacional</t>
  </si>
  <si>
    <t>2.2.5.3.01</t>
  </si>
  <si>
    <t>4910000.00</t>
  </si>
  <si>
    <t>4,910,000.00</t>
  </si>
  <si>
    <t>Alquileres de equipos de transporte, tracción y elevación</t>
  </si>
  <si>
    <t>2.2.5.4.01</t>
  </si>
  <si>
    <t>2455000.00</t>
  </si>
  <si>
    <t>2,455,000.00</t>
  </si>
  <si>
    <t>identificador del componente</t>
  </si>
  <si>
    <t>Otros alquileres</t>
  </si>
  <si>
    <t>2.2.5.8.01</t>
  </si>
  <si>
    <t>Identificador de la Fuente Genera</t>
  </si>
  <si>
    <t>Descripción de la Fuente Genera</t>
  </si>
  <si>
    <t>Código de la Fuente General</t>
  </si>
  <si>
    <t>Identificador de la Fuente Específica</t>
  </si>
  <si>
    <t>Descripción de la Fuente Específica</t>
  </si>
  <si>
    <t xml:space="preserve"> Extraccion Query For FinancialAdvance or Progress of the Project</t>
  </si>
  <si>
    <t>Código de la Fuente Específica</t>
  </si>
  <si>
    <t>SELECT           left(proy.[cod_snip],15) as Codigo_BPIN,
      proy.id_proyecto
      ,([vigente]) Vigente
      ,([ejecutado]) Ejecutado
          ,([ejecutado]) /NULLIF((fase.costo_rd), 0)*100 AvanceFinanciero
  FROM  [MapaInversion].[BID_Base_Fichas_Proyectos_mip] proy
    inner join [MapaInversion].[BID_Base_Fases_mip] fase on fase.id_proyecto=proy.id_proyecto 
    inner join ( select id_proyecto
                                                ,id_fase
                                                ,cod_snip
                                                , sum(vigente) vigente
                                                , sum(ejecutado) ejecutado 
                                 from [MapaInversion].[BID_Base_presupuesto_mip]
                                 group by id_proyecto,id_fase,cod_snip) pre on pre.id_proyecto=proy.id_proyecto and fase.id_fase=pre.id_fase and proy.cod_snip=pre.cod_snip</t>
  </si>
  <si>
    <t>Identificador del Organismo Financiador</t>
  </si>
  <si>
    <t>Descripción del Organismo Financiador</t>
  </si>
  <si>
    <t>Código del Organismo Financiador</t>
  </si>
  <si>
    <t>Idenfiticador del Objeto de Gasto</t>
  </si>
  <si>
    <t>Despcripcion del Objeto de gasto</t>
  </si>
  <si>
    <t>Codigo del obbjeto de gasto</t>
  </si>
  <si>
    <t>Valor Inicial Programado para el proyecto</t>
  </si>
  <si>
    <t xml:space="preserve"> Extraccion Query For Complete budget for Financial Advance of the Project</t>
  </si>
  <si>
    <r>
      <rPr>
        <rFont val="Arial"/>
        <color theme="1"/>
      </rPr>
      <t>V</t>
    </r>
    <r>
      <rPr>
        <rFont val="Arial"/>
        <color theme="1"/>
        <sz val="11.0"/>
      </rPr>
      <t>alor Inicial Programado para el proyecto en texto</t>
    </r>
  </si>
  <si>
    <t>SELECT DISTINCT presupuesto.periodo
	,proy.[cod_snip] as Codigo_BPIN
	,proy.[id_proyecto] as Id_Proyecto 
	,[costo_total] as Valor_Aprobado
	, [id_fte_esp] as Id_Tipo_Recurso 
	,[id_fte_esp_txt] AS Nombre_Tipo_Recurso
	,[id_institucion] AS Id_Entidad
	,[id_institucion_txt] AS Nombre_Entidad
	,[id_org_fin_cod] AS Id_Tipo_Entidad
	,[id_org_fin_txt] Nombre_Tipo_Entidad
	,[id_componente] 
      ,[id_componente_txt]
	,dense_rank() OVER (ORDER BY fase.fase) AS Id_Fase
	,fase.fase_txt as Fase
	,SUM([vigente]) Vigente
	,SUM([ejecutado]) Ejecutado
FROM  [MapaInversion].[BID_Base_Fichas_Proyectos_mip] proy
inner join [MapaInversion].[BID_Base_Fases_mip] fase
	on fase.id_proyecto=proy.id_proyecto 
inner join [MapaInversion].[BID_Base_presupuesto_mip] presupuesto
	on presupuesto.id_proyecto=proy.id_proyecto 
	and fase.id_fase=presupuesto.id_fase 
	and proy.cod_snip=presupuesto.cod_snip
group by presupuesto.periodo
	,proy.[cod_snip] 
	,proy.[id_proyecto]
	,[costo_total] 
	, [id_fte_esp]
	,[id_fte_esp_txt] 
	,[id_institucion]
	,[id_institucion_txt]
	,[id_org_fin_cod] 
	,[id_org_fin_txt],fase.fase,fase.fase_txt
	,[id_componente] 
      ,[id_componente_txt]</t>
  </si>
  <si>
    <t>Valor Inical Aprobado para el proyecto</t>
  </si>
  <si>
    <t>Valor Inical Aprobado para el proyecto en texto</t>
  </si>
  <si>
    <t xml:space="preserve">Valor de aumento para el proyecto </t>
  </si>
  <si>
    <t>Valor de aumento para el proyecto en texto</t>
  </si>
  <si>
    <t>Valor de disminucion para el proyecto</t>
  </si>
  <si>
    <t>Valor de disminucion para el proyecto en texto</t>
  </si>
  <si>
    <t>Valor Vigente del Proyecto (RD$)</t>
  </si>
  <si>
    <t>Valor Vigente del Proyecto(RD$) en texto</t>
  </si>
  <si>
    <t>Valor ejecutado del Proyecto</t>
  </si>
  <si>
    <t>Valor ejecutado del Proyecto en texto</t>
  </si>
  <si>
    <t>Valor ejecutado del  proyecto en el primer trimestre</t>
  </si>
  <si>
    <t>Valor ejecutado del  proyecto en el primer trimestre en texto</t>
  </si>
  <si>
    <t>Valor ejecutado del  proyecto en el segundo trimestre</t>
  </si>
  <si>
    <t>Valor ejecutado del  proyecto en el segundo trimestre en texto</t>
  </si>
  <si>
    <t>Valor ejecutado del  proyecto en el tercer trimestre</t>
  </si>
  <si>
    <t>Valor ejecutado del  proyecto en el tercer trimestre en texto</t>
  </si>
  <si>
    <t>Valor ejecutado del  proyecto en el cuarto trimestre</t>
  </si>
  <si>
    <t>Valor ejecutado del  proyecto en el cuarto trimestre en texto</t>
  </si>
  <si>
    <t>Origen del Proyecto (P= Priorizacion)</t>
  </si>
  <si>
    <t>Identificador del Presupuesto (Por revisar)</t>
  </si>
  <si>
    <t>[MapaInversion].[BID_Base_proeje_fisica_mip]</t>
  </si>
  <si>
    <t>Proyectos con Avance físico</t>
  </si>
  <si>
    <t xml:space="preserve"> Extraccion Query For Phisical Advance of the Project </t>
  </si>
  <si>
    <t>id_pefisica</t>
  </si>
  <si>
    <t>id_documento</t>
  </si>
  <si>
    <t>id_cla_producto</t>
  </si>
  <si>
    <t>trimestre</t>
  </si>
  <si>
    <t>enero</t>
  </si>
  <si>
    <t>enero_txt</t>
  </si>
  <si>
    <t>febrero</t>
  </si>
  <si>
    <t>febrero_txt</t>
  </si>
  <si>
    <t>marzo</t>
  </si>
  <si>
    <t>marzo_txt</t>
  </si>
  <si>
    <t>abril</t>
  </si>
  <si>
    <t>abril_txt</t>
  </si>
  <si>
    <t>mayo</t>
  </si>
  <si>
    <t>mayo_txt</t>
  </si>
  <si>
    <t>junio</t>
  </si>
  <si>
    <t>junio_txt</t>
  </si>
  <si>
    <t>julio</t>
  </si>
  <si>
    <t>julio_txt</t>
  </si>
  <si>
    <t>agosto</t>
  </si>
  <si>
    <t>agosto_txt</t>
  </si>
  <si>
    <t>septiembre</t>
  </si>
  <si>
    <t>septiembre_txt</t>
  </si>
  <si>
    <t>octubre</t>
  </si>
  <si>
    <t>octubre_txt</t>
  </si>
  <si>
    <t>noviembre</t>
  </si>
  <si>
    <t>noviembre_txt</t>
  </si>
  <si>
    <t>diciembre</t>
  </si>
  <si>
    <t>diciembre_txt</t>
  </si>
  <si>
    <t>Identificador unico de la Ejecucion Fisica</t>
  </si>
  <si>
    <t>SELECT  
      proy.[id_proyecto]
          ,proy.cod_snip as  Codigo_BPIN
          ,dense_rank() OVER (ORDER BY proy.descripcion) AS Id_Objetivo_Especifico
           ,cast(ltrim(rtrim(replace(replace(replace(replace(replace(replace(replace(replace(replace(replace(Replace(replace(replace(proy.descripcion,'“',''),'”',''),'"',''),':',''),Char(9),''),Char(10),''),Char(13),''),'/',''),'\',''),'°',''),'º',''),'+',''),'=',''))) as varchar(4000))
         AS Nombre_Objetivo_Especifico
          ,dense_rank() OVER (ORDER BY fase.fase) AS Id_Fase
          ,fase.fase_txt as Fase
  ,cast(concat(cfisico.id_producto,cfisico.id_componente) as int) as [Id_Actividad]
          ,(case when cfisico.id_componente=0 then proy.nombre COLLATE DATABASE_DEFAULT
          else cfisico.[id_componente_txt] end ) as           Componente
    ,cfisico.Id_Producto
      ,upper(cfisico.[id_producto_txt]) Producto
      ,cfisico.[id_um]
      ,cfisico.[id_um_txt]
      ,cfisico.[meta] meta_programada
          ,isnull(sum(efisico.total),0) meta_ejecutado
          ,isnull(sum(efisico.total)/NULLIF(cfisico.[meta],0)*100,0) avanceFisico
  FROM [MapaInversion].[BID_Base_Fichas_Proyectos_mip] proy
    inner join [MapaInversion].[BID_Base_Fases_mip] fase
        on fase.id_proyecto=proy.id_proyecto 
  inner join 
  [MapaInversion].[BID_Base_cronogramas_proyecto_fisico_mip] cfisico
  on cfisico.id_proyecto=fase.id_proyecto and cfisico.id_fase=fase.id_fase
  LEFT join (    Select efisico.id_cronograma,efisico.id_fase,efisico.id_proyecto,efisico.periodo,efisico.id_producto,efisico.id_componente,efisico.id_um,efisico.trimestre,meta, total
  ,efisico.id_proyecto_txt,efisico.fase_txt
  from  [MapaInversion].[BID_Base_proeje_fisica_mip] efisico
  inner join (select max(trimestre) as trimestre,periodo,id_proyecto,id_componente,id_producto from  [MapaInversion].[BID_Base_proeje_fisica_mip]
  group by id_proyecto,periodo,id_componente,id_producto,id_proyecto_txt)Tmax
  on tmax.trimestre=efisico.trimestre and Tmax.id_proyecto=efisico.id_proyecto and Tmax.id_componente=efisico.id_componente and Tmax.id_producto=efisico.id_producto
  and tmax.periodo=efisico.periodo
 -- order by id_proyecto
) efisico
  on cfisico.id_proyecto=efisico.id_proyecto and cfisico.id_fase=efisico.id_fase and cfisico.id_componente=efisico.id_componente and cfisico.[id_cronograma]=efisico.[id_cronograma]
  group by  proy.[id_proyecto]
      ,cfisico.[id_componente]
      ,cfisico.[id_componente_txt] 
      ,cfisico.[id_producto]
      ,cfisico.[id_producto_txt]
      ,cfisico.[id_um]
      ,cfisico.[id_um_txt],cfisico.[meta],proy.nombre,           fase.id_fase
          ,fase.fase_txt,fase.fase, proy.descripcion,          proy.cod_snip
          order by id_proyecto
  --where id_proyecto=10</t>
  </si>
  <si>
    <t>Vivienda Construida</t>
  </si>
  <si>
    <t>Unidades</t>
  </si>
  <si>
    <t>Distribución fisica Por Proyecto</t>
  </si>
  <si>
    <t>200.00</t>
  </si>
  <si>
    <t>16.00</t>
  </si>
  <si>
    <t>CONSTRUCCIÓN DE 200  VIVIENDAS EN EL MUNICIPIO SAN FERNANDO DE MONTECRISTI, PROVINCIA MONTECRISTI</t>
  </si>
  <si>
    <t>Identificador del documento (Por revisar)</t>
  </si>
  <si>
    <t>250.00</t>
  </si>
  <si>
    <t>30.00</t>
  </si>
  <si>
    <t>CONSTRUCCIÓN DE 250 VIVIENDAS EN EL MUNICIPIO SAN FELIPE DE PUERTO PLATA, PROVINCIA PUERTO PLATA</t>
  </si>
  <si>
    <t>Periodo o Año de Reporte</t>
  </si>
  <si>
    <t>400.00</t>
  </si>
  <si>
    <t>33.00</t>
  </si>
  <si>
    <t>37.00</t>
  </si>
  <si>
    <t>CONSTRUCCIÓN DE 400 VIVIENDAS EN LA PROVINCIA SANTO DOMINGO</t>
  </si>
  <si>
    <t>25.00</t>
  </si>
  <si>
    <t>CONSTRUCCIÓN DE 250 VIVIENDAS EN LA PROVINCIA SAN CRISTOBAL</t>
  </si>
  <si>
    <t>CONSTRUCCIÓN  DE 200 VIVIENDAS EN LA PROVINCIA SANTIAGO RODRÍGUEZ</t>
  </si>
  <si>
    <t>Identificador del producto cla (Por revisar)</t>
  </si>
  <si>
    <t>CONSTRUCCIÓN DE 250 VIVIENDAS EN LA PROVINCIA SAN PEDRO DE MACORÍS</t>
  </si>
  <si>
    <t>Sistemas de Riego Instalados</t>
  </si>
  <si>
    <t>Hectareas</t>
  </si>
  <si>
    <t>7015.00</t>
  </si>
  <si>
    <t>7,015.00</t>
  </si>
  <si>
    <t>350.58</t>
  </si>
  <si>
    <t>500.58</t>
  </si>
  <si>
    <t>2558.62</t>
  </si>
  <si>
    <t>2,558.62</t>
  </si>
  <si>
    <t>CONSTRUCCIÓN SISTEMA DE RIEGO AZUA II-PUEBLO VIEJO, PROVINCIA AZUA</t>
  </si>
  <si>
    <t>Identificador de la unidad de medida del producto</t>
  </si>
  <si>
    <t>Hospitales Remodelados</t>
  </si>
  <si>
    <t>Metros Cuadrados</t>
  </si>
  <si>
    <t>7729.00</t>
  </si>
  <si>
    <t>7,729.00</t>
  </si>
  <si>
    <t>RECONSTRUCCIÓN HOSPITAL JOSE MARIA CABRAL Y BAEZ, SANTIAGO, PROVINCIA SANTIAGO</t>
  </si>
  <si>
    <t>Descripción de la unidad de medida</t>
  </si>
  <si>
    <t>Transportes Aéreos por Cable Construidos</t>
  </si>
  <si>
    <t>Metros lineales</t>
  </si>
  <si>
    <t>4950.00</t>
  </si>
  <si>
    <t>4,950.00</t>
  </si>
  <si>
    <t>1200.00</t>
  </si>
  <si>
    <t>1,200.00</t>
  </si>
  <si>
    <t>1000.00</t>
  </si>
  <si>
    <t>1,000.00</t>
  </si>
  <si>
    <t>1750.00</t>
  </si>
  <si>
    <t>1,750.00</t>
  </si>
  <si>
    <t>CONSTRUCCIÓN PRIMERA LINEA DEL TELEFÉRICO DE SANTO DOMINGO, PROV. SANTO DOMINGO</t>
  </si>
  <si>
    <t>Centros de Servicio Construidos</t>
  </si>
  <si>
    <t>12578.00</t>
  </si>
  <si>
    <t>12,578.00</t>
  </si>
  <si>
    <t>1048.16</t>
  </si>
  <si>
    <t>1,048.16</t>
  </si>
  <si>
    <t>1048.24</t>
  </si>
  <si>
    <t>1,048.24</t>
  </si>
  <si>
    <t>CONSTRUCCIÓN CENTRO MODELO DE PRESTACIÓN DE SERVICIOS PARA MUJERES (CIUDAD MUJER)</t>
  </si>
  <si>
    <t xml:space="preserve">Trimestre </t>
  </si>
  <si>
    <t xml:space="preserve">Meta definida </t>
  </si>
  <si>
    <t>Meta definida en texto</t>
  </si>
  <si>
    <t>Meta reportada para enero</t>
  </si>
  <si>
    <t>Meta reportada para enero en texto</t>
  </si>
  <si>
    <t>Meta reportada para Febrero</t>
  </si>
  <si>
    <t>Meta reportada para Febrero en Texto</t>
  </si>
  <si>
    <t>Meta reportada para Marzo</t>
  </si>
  <si>
    <t>Meta reportada para Marzo en Texto</t>
  </si>
  <si>
    <t>Meta reportada para Abril</t>
  </si>
  <si>
    <t>Meta reportada para Abril en Texto</t>
  </si>
  <si>
    <t>Meta reportada para Mayo</t>
  </si>
  <si>
    <t>Meta reportada para Mayo en Texto</t>
  </si>
  <si>
    <t>Meta reportada para Junio</t>
  </si>
  <si>
    <t>Meta reportada para Junio en Texto</t>
  </si>
  <si>
    <t>Meta reportada para Julio</t>
  </si>
  <si>
    <t>Meta reportada para Julio en Texto</t>
  </si>
  <si>
    <t>Meta reportada para Agosto</t>
  </si>
  <si>
    <t>Meta reportada para Agosto en Texto</t>
  </si>
  <si>
    <t>Meta reportada para Septiembre</t>
  </si>
  <si>
    <t>Meta reportada para Septiebre en Texto</t>
  </si>
  <si>
    <t>Meta reportada para Octubre</t>
  </si>
  <si>
    <t>Meta reportada para Octubre en texto</t>
  </si>
  <si>
    <t>Meta reportada para Noviembre</t>
  </si>
  <si>
    <t>Meta reportada para Noviembre en texto</t>
  </si>
  <si>
    <t>Meta reportada para Diciembre</t>
  </si>
  <si>
    <t>Meta reportada para Diciembre en texto</t>
  </si>
  <si>
    <t>Meta Total</t>
  </si>
  <si>
    <t>Meta Total en texto</t>
  </si>
  <si>
    <t>Descripción del proyecto de inversión</t>
  </si>
  <si>
    <t>Identificador de ela fase del proyecto</t>
  </si>
  <si>
    <t>Fase del proyecto en texto</t>
  </si>
  <si>
    <t>Indica si es un subproyecto (N=NO)</t>
  </si>
  <si>
    <t>[MapaInversion].[BID_Base_ubicaciones_geograficas_mip]</t>
  </si>
  <si>
    <t>Ubicación geográfica de los proyectos de inversión</t>
  </si>
  <si>
    <t xml:space="preserve"> Extraccion Query For Geografical Information of the project</t>
  </si>
  <si>
    <t>id_geografico</t>
  </si>
  <si>
    <t>id_clageo</t>
  </si>
  <si>
    <t>cod_region</t>
  </si>
  <si>
    <t>cod_region_txt</t>
  </si>
  <si>
    <t>cod_region_id</t>
  </si>
  <si>
    <t>cod_provincia</t>
  </si>
  <si>
    <t>cod_provincia_txt</t>
  </si>
  <si>
    <t>cod_provincia_id</t>
  </si>
  <si>
    <t>cod_municipio</t>
  </si>
  <si>
    <t>cod_municipio_txt</t>
  </si>
  <si>
    <t>activo_clageo</t>
  </si>
  <si>
    <t>activo_clageo_txt</t>
  </si>
  <si>
    <t>porcentaje</t>
  </si>
  <si>
    <t>Identificador geografico del proyecto</t>
  </si>
  <si>
    <t>SELECT  p.[cod_snip] as Codigo_BPIN,
p.[id_proyecto] as Id_Proyecto 
      ,[costo_total] as Valor_Aprobado
     , [cod_region]  as Id_Region
	      ,[cod_region_id]
	  ,RTRIM(LTRIM([cod_region_txt])) as Nombre_Region
      ,[cod_provincia] as Id_Departamento
	   ,[cod_provincia_id] 
      ,RTRIM(LTRIM([cod_provincia_txt]))  as Nombre_Departamento
         ,[cod_municipio] as Id_Municipio
      ,RTRIM(LTRIM(UPPER([cod_municipio_txt]))) as Nombre_Municipio
	 ,p.area_influencia
    ,p.area_influencia_txt
  FROM [MapaInversion].[BID_Base_Fichas_Proyectos_mip] p
  inner join (Select * from (SELECT [id_geografico]
      ,[id_proyecto]
      ,[cod_snip]
      ,[id_proyecto_txt]
      ,[id_clageo]
      ,[area_influencia]
      ,[area_influencia_txt]
      ,case when [cod_region]='11' or [cod_region]='12'  then '00' 
	  else [cod_region] end as [cod_region]
      ,[cod_region_txt]
      ,[cod_region_id]
      ,case   when [cod_region]='11' or [cod_region]='12'  then '00000' 
	   when [cod_region]='01' and [cod_provincia]='00' then '1001' 
	  when [cod_region]='01' and [cod_provincia]='01' then '25' 
	   when [cod_region]='01' and [cod_provincia]='02' then '18' 
	  when [cod_region]='01' and [cod_provincia]='03' then '09' 
	 when [cod_region]='02' and [cod_provincia]='00' then '1002' 
	  when [cod_region]='02' and [cod_provincia]='01' then '13' 
	   when [cod_region]='02' and [cod_provincia]='02' then '28' 
	  when [cod_region]='02' and [cod_provincia]='03' then '24' 
	  when [cod_region]='03' and [cod_provincia]='00' then '1003' 
	  when [cod_region]='03' and [cod_provincia]='01' then '06' 
	   when [cod_region]='03' and [cod_provincia]='02' then '19' 
	  when [cod_region]='03' and [cod_provincia]='03' then '14' 
	    when [cod_region]='03' and [cod_provincia]='04' then '20' 
			  when [cod_region]='04' and [cod_provincia]='00' then '1004' 
	  when [cod_region]='04' and [cod_provincia]='01' then '27' 
	   when [cod_region]='04' and [cod_provincia]='02' then '26' 
	  when [cod_region]='04' and [cod_provincia]='03' then '15' 
	    when [cod_region]='04' and [cod_provincia]='04' then '05' 
				  when [cod_region]='05' and [cod_provincia]='00' then '1005' 
	  when [cod_region]='05' and [cod_provincia]='01' and cod_municipio != '00' then '21' 
	   when [cod_region]='05' and [cod_provincia]='02' and cod_municipio not in ('00','04','05','06','08','07','09') then '17' 
	  when [cod_region]='05' and [cod_provincia]='03' and cod_municipio != '00' then '31' 
	    when [cod_region]='05' and [cod_provincia]='04' and cod_municipio != '00' then '02' 
	when [cod_region]='06' and [cod_provincia]='00' then '1006' 
	  when [cod_region]='06' and [cod_provincia]='01' and cod_municipio != '00'  then '04' 
	   when [cod_region]='06' and [cod_provincia]='02' and cod_municipio != '00'  then '03' 
	  when [cod_region]='06' and [cod_provincia]='03' and cod_municipio not in ('00','03','04','05')  then '16' 
                  when [cod_region]='06' and [cod_provincia]='04' and cod_municipio not in ('00','08','10','11','07','09')  then '10' 
	when [cod_region]='07' and [cod_provincia]='00' and [cod_municipio]='00' then '1007' 
	when [cod_region]='07' and [cod_provincia] = '02' and [cod_municipio] != '00' then [cod_provincia]
	when [cod_region]='07' and [cod_provincia] = '07' and [cod_municipio] != '00' then [cod_provincia]
	when [cod_region]='07' and [cod_provincia] = '22' and [cod_municipio] != '00' then [cod_provincia]
		 when [cod_region]='08' and [cod_provincia]='00' then '1008' 
	  when [cod_region]='08' and [cod_provincia]='01'  then '12' 
	   when [cod_region]='08' and [cod_provincia]='02'  then '11' 
	     when [cod_region]='08' and [cod_provincia]='03'  then '08' 
		 when [cod_region]='09' and [cod_provincia]='00' then '1009' 
	  when [cod_region]='09' and [cod_provincia]='01'  then '23' 
	   when [cod_region]='09' and [cod_provincia]='02'  then '30' 
	     when [cod_region]='09' and [cod_provincia]='03'  then '29' 
		 when [cod_region]='10' and [cod_provincia]='00'  then '1010' 
	  when [cod_region]='10' and [cod_provincia]='01' then '01' 
	   when [cod_region]='10' and [cod_provincia]='02'  then '32' 
	  else [cod_provincia] end as [cod_provincia]
      ,[cod_provincia_txt]
      ,[cod_provincia_id]
      ,case   when [cod_region]='11' or [cod_region]='12' and ([cod_municipio]='00' or [cod_municipio]=99) then '00000' 
	   when [cod_region]='01' and [cod_provincia]='00' and ([cod_municipio]='00' or [cod_municipio]=99) then '99901' 
	  when [cod_region]='01' and [cod_provincia]='01' and ([cod_municipio]='00' or [cod_municipio]=99) then '25000' 
	   when [cod_region]='01' and [cod_provincia]='02' and ([cod_municipio]='00' or [cod_municipio]=99) then '18000' 
	  when [cod_region]='01' and [cod_provincia]='03' and ([cod_municipio]='00' or [cod_municipio]=99) then '09000' 
	  when [cod_region]='01' and [cod_provincia]='01' and ([cod_municipio]='03' or [cod_municipio]=99) then '02' 
	  	  when [cod_region]='01' and [cod_provincia]='01' and ([cod_municipio]='04' or [cod_municipio]=99) then '03' 
	 when [cod_region]='01' and [cod_provincia]='01' and ([cod_municipio]='05' or [cod_municipio]=99) then '04' 
		 when [cod_region]='01' and [cod_provincia]='01' and ([cod_municipio]='06' or [cod_municipio]=99) then '05' 
		 		 when [cod_region]='01' and [cod_provincia]='01' and ([cod_municipio]='07' or [cod_municipio]=99) then '06' 
		    	 		 when [cod_region]='01' and [cod_provincia]='01' and ([cod_municipio]='08' or [cod_municipio]=99) then '07'	
						 when [cod_region]='01' and [cod_provincia]='01' and ([cod_municipio]='09' or [cod_municipio]=99) then '08'	
						 when [cod_region]='01' and [cod_provincia]='01' and ([cod_municipio]='02' or [cod_municipio]=99) then '09'	 
	 when [cod_region]='02' and [cod_provincia]='00' and ([cod_municipio]='00' or [cod_municipio]=99) then '99902' 
	  when [cod_region]='02' and [cod_provincia]='01' and ([cod_municipio]='00' or [cod_municipio]=99) then '13000' 
	   when [cod_region]='02' and [cod_provincia]='02' and ([cod_municipio]='00' or [cod_municipio]=99) then '28000' 
	  when [cod_region]='02' and [cod_provincia]='03' and ([cod_municipio]='00' or [cod_municipio]=99) then '24000' 
	  when [cod_region]='03' and [cod_provincia]='00' and ([cod_municipio]='00' or [cod_municipio]=99) then '99903' 
	  when [cod_region]='03' and [cod_provincia]='01' and ([cod_municipio]='00' or [cod_municipio]=99) then '06000' 
	   when [cod_region]='03' and [cod_provincia]='02' and ([cod_municipio]='00' or [cod_municipio]=99) then '19000' 
	  when [cod_region]='03' and [cod_provincia]='03' and ([cod_municipio]='00' or [cod_municipio]=99) then '14000' 
	    when [cod_region]='03' and [cod_provincia]='04' and ([cod_municipio]='00' or [cod_municipio]=99)then '20000'
		 when [cod_region]='03' and [cod_provincia]='01' and ([cod_municipio]='05' or [cod_municipio]=99) then '04'  
		 when [cod_region]='03' and [cod_provincia]='01' and ([cod_municipio]='06' or [cod_municipio]=99) then '05'  
		  when [cod_region]='03' and [cod_provincia]='01' and ([cod_municipio]='07' or [cod_municipio]=99) then '06'  
		   when [cod_region]='03' and [cod_provincia]='01' and ([cod_municipio]='04' or [cod_municipio]=99) then '07'  
			  when [cod_region]='04' and [cod_provincia]='00' and ([cod_municipio]='00' or [cod_municipio]=99) then '99904' 
	  when [cod_region]='04' and [cod_provincia]='01' and ([cod_municipio]='00' or [cod_municipio]=99) then '27000' 
	   when [cod_region]='04' and [cod_provincia]='02' and ([cod_municipio]='00' or [cod_municipio]=99) then '26000' 
	  when [cod_region]='04' and [cod_provincia]='03' and ([cod_municipio]='00' or [cod_municipio]=99) then '15000' 
	    when [cod_region]='04' and [cod_provincia]='04' and ([cod_municipio]='00' or [cod_municipio]=99) then '05000' 
		   when [cod_region]='04' and [cod_provincia]='04' and ([cod_municipio]='04' or [cod_municipio]=99) then '03' 
		     when [cod_region]='04' and [cod_provincia]='04' and ([cod_municipio]='03' or [cod_municipio]=99) then '04' 
	  when [cod_region]='05' and [cod_provincia]='00' and ([cod_municipio]='00' or [cod_municipio]=99) then '99905' 
		 when [cod_region]='05' and [cod_provincia]='04' and ([cod_municipio]='03' or [cod_municipio]=99) then '02' 
		 when [cod_region]='05' and [cod_provincia]='04' and ([cod_municipio]='04' or [cod_municipio]=99) then '03' 
		 when [cod_region]='05' and [cod_provincia]='04' and ([cod_municipio]='05' or [cod_municipio]=99) then '04' 
		 when [cod_region]='05' and [cod_provincia]='04' and ([cod_municipio]='06' or [cod_municipio]=99) then '05' 
		 when [cod_region]='05' and [cod_provincia]='04' and ([cod_municipio]='07' or [cod_municipio]=99) then '06' 
		 when [cod_region]='05' and [cod_provincia]='04' and ([cod_municipio]='10' or [cod_municipio]=99) then '07' 
		 	 when [cod_region]='05' and [cod_provincia]='04' and ([cod_municipio]='02' or [cod_municipio]=99) then '09' 
		 when [cod_region]='05' and [cod_provincia]='04' and ([cod_municipio]='09' or [cod_municipio]=99) then '10' 
		  	 when [cod_region]='05' and [cod_provincia]='01' and ([cod_municipio]='06' or [cod_municipio]=99) then '02' 
		 when [cod_region]='05' and [cod_provincia]='01' and ([cod_municipio]='02' or [cod_municipio]=99) then '03' 
		  when [cod_region]='05' and [cod_provincia]='01' and ([cod_municipio]='08' or [cod_municipio]=99) then '05' 
		 when [cod_region]='05' and [cod_provincia]='01' and ([cod_municipio]='07' or [cod_municipio]=99) then '06' 
		  when [cod_region]='05' and [cod_provincia]='01' and ([cod_municipio]='05' or [cod_municipio]=99) then '07' 
		 when [cod_region]='05' and [cod_provincia]='01' and ([cod_municipio]='03' or [cod_municipio]=99) then '08' 
		  when [cod_region]='06' and [cod_provincia]='00' and ([cod_municipio]='00' or [cod_municipio]=99) then '99906' 
		  when [cod_region]='06' and [cod_provincia]='02' and ([cod_municipio]='04' or [cod_municipio]=99) then '03' 
		    when [cod_region]='06' and [cod_provincia]='02' and ([cod_municipio]='05' or [cod_municipio]=99) then '04' 
			 when [cod_region]='06' and [cod_provincia]='02' and ([cod_municipio]='03' or [cod_municipio]=99) then '05' 
			  when [cod_region]='06' and [cod_provincia]='01' and ([cod_municipio]='05' or [cod_municipio]=99) then '04' 
		    when [cod_region]='06' and [cod_provincia]='01' and ([cod_municipio]='07' or [cod_municipio]=99) then '05' 
			 when [cod_region]='06' and [cod_provincia]='01' and ([cod_municipio]='08' or [cod_municipio]=99) then '06' 
			  when [cod_region]='06' and [cod_provincia]='01' and ([cod_municipio]='10' or [cod_municipio]=99) then '07' 
		    when [cod_region]='06' and [cod_provincia]='01' and ([cod_municipio]='09' or [cod_municipio]=99) then '08' 
			 when [cod_region]='06' and [cod_provincia]='01' and ([cod_municipio]='04' or [cod_municipio]=99) then '09' 
             when [cod_region]='06' and [cod_provincia]='01' and ([cod_municipio]='06' or [cod_municipio]=99) then '10' 
			 when [cod_region]='06' and [cod_provincia]='04' and ([cod_municipio]='05' or [cod_municipio]=99) then '04' 
			 when [cod_region]='06' and [cod_provincia]='04' and ([cod_municipio]='06' or [cod_municipio]=99) then '05' 
             when [cod_region]='06' and [cod_provincia]='04' and ([cod_municipio]='04' or [cod_municipio]=99) then '06' 
             when [cod_region]='06' and [cod_provincia]='04' and [cod_municipio]='08'  then concat([cod_region] ,cod_provincia,cod_municipio)
             when [cod_region]='06' and [cod_provincia]='04' and [cod_municipio]='11'  then concat([cod_region] ,cod_provincia,cod_municipio)
			when [cod_region]='07' and [cod_provincia]='00' and ([cod_municipio]='00' or [cod_municipio]=99) then '99907' 
			when [cod_region]='07' and [cod_provincia] IN ('02','07','22') and [cod_municipio]='00' then concat([cod_provincia],'000')
			when [cod_region]='07' and [cod_provincia] = '02' then concat([cod_region] ,cod_provincia,cod_municipio)
			when [cod_region]='07' and [cod_provincia] = '07' then concat([cod_region] ,cod_provincia,cod_municipio)
			when [cod_region]='07' and [cod_provincia] = '22' then concat([cod_region] ,cod_provincia,cod_municipio)
		 when [cod_region]='08' and [cod_provincia]='00' and ([cod_municipio]='00' or [cod_municipio]=99) then '99908' 
	  when [cod_region]='08' and [cod_provincia]='01' and ([cod_municipio]='00' or [cod_municipio]=99) then '12000' 
	   when [cod_region]='08' and [cod_provincia]='02' and ([cod_municipio]='00' or [cod_municipio]=99) then '11000' 
	     when [cod_region]='08' and [cod_provincia]='03' and ([cod_municipio]='00' or [cod_municipio]=99) then '08000' 
		 when [cod_region]='09' and [cod_provincia]='00' and ([cod_municipio]='00' or [cod_municipio]=99) then '99909' 
	  when [cod_region]='09' and [cod_provincia]='01' and ([cod_municipio]='00' or [cod_municipio]=99) then '23000' 
	   when [cod_region]='09' and [cod_provincia]='02' and ([cod_municipio]='00' or [cod_municipio]=99) then '30000' 
	     when [cod_region]='09' and [cod_provincia]='03' and ([cod_municipio]='00' or [cod_municipio]=99) then '29000' 
		 when [cod_region]='10' and [cod_provincia]='00' and ([cod_municipio]='00' or [cod_municipio]=99)  then '99910' 
	  when [cod_region]='10' and [cod_provincia]='01' and ([cod_municipio]='00' or [cod_municipio]=99)  then '01000' 
	   when [cod_region]='10' and [cod_provincia]='01' and ([cod_municipio]='01' or [cod_municipio]=99)  then '100101' 
	   when [cod_region]='10' and [cod_provincia]='02' and ([cod_municipio]='00' or [cod_municipio]=99) then '32000' 
	   when [cod_municipio]= '00' then concat([cod_provincia],[cod_municipio],'0')
	  else [cod_municipio] end as [cod_municipio]
      ,[cod_municipio_txt]
      ,[activo_clageo]
      ,[activo_clageo_txt]
      ,[porcentaje]
      ,[estado]
      ,[bandeja]
      ,[usu_ins]
      ,[fec_ins]
      ,[usu_upd]
      ,[fec_upd]
  FROM [MapaInversion].[BID_Base_ubicaciones_geograficas_mip])t)u
  on p.[id_proyecto]=u.id_proyecto</t>
  </si>
  <si>
    <t>ENRIQUILLO</t>
  </si>
  <si>
    <t>BARAHONA</t>
  </si>
  <si>
    <t>EL VALLE</t>
  </si>
  <si>
    <t>AZUA</t>
  </si>
  <si>
    <t>CIBAO NORDESTE</t>
  </si>
  <si>
    <t>HERMANAS MIRABAL</t>
  </si>
  <si>
    <t>OZAMA O METROPOLITANA</t>
  </si>
  <si>
    <t>SANTO DOMINGO</t>
  </si>
  <si>
    <t>Santo Domingo Norte</t>
  </si>
  <si>
    <t>Santo Domingo Este</t>
  </si>
  <si>
    <t>Identificador del área de influencia</t>
  </si>
  <si>
    <t>VALDESIA</t>
  </si>
  <si>
    <t>PERAVIA</t>
  </si>
  <si>
    <t>Baní</t>
  </si>
  <si>
    <t>Descripción del área de influencia</t>
  </si>
  <si>
    <t>Nizao</t>
  </si>
  <si>
    <t>Código de la Región</t>
  </si>
  <si>
    <t>REMODELACIÓN DE LAS OFICINAS ADMINISTRATIVAS DEL MINISTERIO DE ECONOMIA, PLANIFICACION Y DESARROLLO/DGIP EN EL DISTRITO NACIONAL</t>
  </si>
  <si>
    <t>DISTRITO NACIONAL</t>
  </si>
  <si>
    <t>Descripción de la Región</t>
  </si>
  <si>
    <t>AMPLIACIÓN DEL ACUEDUCTO MULTIPLE DE CUTUPU EN LA PROVINCIA DE LA VEGA</t>
  </si>
  <si>
    <t>CIBAO SUR</t>
  </si>
  <si>
    <t>LA VEGA</t>
  </si>
  <si>
    <t>Codificacion de la Region (Otra codificacion)</t>
  </si>
  <si>
    <t>Código de la Provincia</t>
  </si>
  <si>
    <t>Descripción de la Provincia</t>
  </si>
  <si>
    <t>Codificacion de la Provincia(Otra codificacion)</t>
  </si>
  <si>
    <t>Código del Municipio</t>
  </si>
  <si>
    <t>Descripción del Municipio</t>
  </si>
  <si>
    <t>Estado de geometría ( SI /NO )</t>
  </si>
  <si>
    <t>Pocentaje (Por revisar)</t>
  </si>
  <si>
    <t>Estado del Regisitro</t>
  </si>
  <si>
    <t>General Budget Information on Investment (presupuesto-de-inversion.csv)</t>
  </si>
  <si>
    <t>PARTIDAS_DE_GASTO</t>
  </si>
  <si>
    <t>https://mapainversionesanalytics.blob.core.windows.net/sourceraw/DOM/HACIENDA/PARTIDAS_DE_GASTO/CSV/2024/05/01/mh_partidas_de_gasto.csv</t>
  </si>
  <si>
    <t>https://docs.google.com/spreadsheets/d/1L2X8LZWSr9EseLdXPIwij-LkwwJieAxDWbdq3I1MYtM/edit?gid=2117212777#rangeid=558022531</t>
  </si>
  <si>
    <t>v</t>
  </si>
  <si>
    <t>Information on Processes related to the General Investment Budget and public investment projects (procesos-de-compras.csv)</t>
  </si>
  <si>
    <t>PROCESOS_DE_COMPRA</t>
  </si>
  <si>
    <t>https://mapainversionesanalytics.blob.core.windows.net/sourceraw/DOM/HACIENDA/PROCESOS_DE_COMPRA/CSV/2024/05/01/mh_procesos.csv</t>
  </si>
  <si>
    <t>https://docs.google.com/spreadsheets/d/1L2X8LZWSr9EseLdXPIwij-LkwwJieAxDWbdq3I1MYtM/edit?gid=2117212777#rangeid=558022532</t>
  </si>
  <si>
    <t>CONTRATOS_DE_COMPRA</t>
  </si>
  <si>
    <t>https://mapainversionesanalytics.blob.core.windows.net/sourceraw/DOM/HACIENDA/CONTRATOS_DE_COMPRA/CSV/2024/05/01/mh_contratos.csv</t>
  </si>
  <si>
    <t>https://docs.google.com/spreadsheets/d/1L2X8LZWSr9EseLdXPIwij-LkwwJieAxDWbdq3I1MYtM/edit?gid=2117212777#rangeid=558022533</t>
  </si>
  <si>
    <t>Partidas de Gasto - (sourceraw/DOM/HACIENDA/PARTIDAS_DE_GASTO)</t>
  </si>
  <si>
    <t>Detalle de partidas de gasto y sus clasificadores.</t>
  </si>
  <si>
    <t>FIELD</t>
  </si>
  <si>
    <t>EXAMPLE VALUE</t>
  </si>
  <si>
    <t>DESCRIPTION ( SPANISH )</t>
  </si>
  <si>
    <t>DESCRIPTION ( ENGLISH )</t>
  </si>
  <si>
    <t>ID_PARTIDA_DEL_GASTO</t>
  </si>
  <si>
    <t>EGPG17038838756647lL</t>
  </si>
  <si>
    <t>Código interno identificador de la partida de gasto</t>
  </si>
  <si>
    <t>COD_PERIODO</t>
  </si>
  <si>
    <t>El año al que corresponde la partida de gasto. Cada partida de gasto es única en cada año</t>
  </si>
  <si>
    <t>COD_SECCION</t>
  </si>
  <si>
    <t>1.1.1.1.1</t>
  </si>
  <si>
    <t>Código identificador del nivel institucional al cual está asignada la partida de gasto</t>
  </si>
  <si>
    <t>DES_SECCION</t>
  </si>
  <si>
    <t>Administración central</t>
  </si>
  <si>
    <t>Nombre o identificación del nivel institucional al cual está asignada la partida de gasto</t>
  </si>
  <si>
    <t>COD_CAPITULO</t>
  </si>
  <si>
    <t>Código identificador del mayor nivel de jerarquía dentro del nivel institucional</t>
  </si>
  <si>
    <t>NOM_CAPITULO</t>
  </si>
  <si>
    <t>PRESIDENCIA DE LA REPÚBLICA</t>
  </si>
  <si>
    <t>Nombre o identificación del mayor nivel de jerarquía dentro del nivel institucional</t>
  </si>
  <si>
    <t>COD_SUBCAPITULO</t>
  </si>
  <si>
    <t>Código identificador del segundo nivel de jerarquía dentro del nivel institucional</t>
  </si>
  <si>
    <t>NOM_SUBCAPITULO</t>
  </si>
  <si>
    <t>MINISTERIO ADMINISTRATIVO DE LA PRESIDENCIA</t>
  </si>
  <si>
    <t>Nombre o identificación del segundo nivel de jerarquía dentro del nivel institucional</t>
  </si>
  <si>
    <t>COD_UE</t>
  </si>
  <si>
    <t>Código identificador de la Unidad Ejecutora asignada a la partida de gasto.</t>
  </si>
  <si>
    <t>NOM_UE</t>
  </si>
  <si>
    <t>COMISIÓN PRESIDENCIAL DE APOYO AL DESARROLLO PROVINCIAL</t>
  </si>
  <si>
    <t>Nombre o identificación de la Unidad Ejecutora.Ordena las instituciones del sector público de acuerdo al nivel institucional al que corresponden. Define las partidas presupuestarias desde el punto de vista de "Quién Gasta".</t>
  </si>
  <si>
    <t>DES_UE</t>
  </si>
  <si>
    <t>0201.01.0009-COMISIÓN PRESIDENCIAL DE APOYO AL DESARROLLO PROVINCIAL</t>
  </si>
  <si>
    <t>Descripción completa de la Unidad Ejecutora que incluye los códigos del primer y segundo nivel instittucional.Ordena las instituciones del sector público de acuerdo al nivel institucional al que corresponden.</t>
  </si>
  <si>
    <t>COD_PROGRAMA</t>
  </si>
  <si>
    <t>Código identificador del programa. Es una estructura que permite identificar un objetivo específico que se desea lograr</t>
  </si>
  <si>
    <t>NOM_PROGRAMA</t>
  </si>
  <si>
    <t>Apoyo al desarrollo provincial</t>
  </si>
  <si>
    <t>Nombre o identificación del programa. Es una estructura que permite identificar un objetivo específico que se desea lograr</t>
  </si>
  <si>
    <t>COD_PRODUCTO</t>
  </si>
  <si>
    <t xml:space="preserve">Código identificador del producto asociado a la partida de gasto. </t>
  </si>
  <si>
    <t>NOM_PRODUCTO</t>
  </si>
  <si>
    <t>Construcción de obras Comunitarias</t>
  </si>
  <si>
    <t>Nombre o identificación del producto asociado a la partida de gasto.</t>
  </si>
  <si>
    <t>COD_PROYECTO</t>
  </si>
  <si>
    <t>Código identificador del proyecto al que se asigna la partida de gasto.</t>
  </si>
  <si>
    <t>NOM_PROYECTO</t>
  </si>
  <si>
    <t>REMODELACIÓN CAMPO DE BEISBOL EN LA COMUNIDAD SAINAGUA, PROVINCIA SAN CRISTOBAL</t>
  </si>
  <si>
    <t>Nombre o descripción del proyecto al que se asigna la partida de gasto.</t>
  </si>
  <si>
    <t>COD_ACTIVIDAD_OBRA</t>
  </si>
  <si>
    <t>Código identificador de la activdad u obra asociada a la partida de gasto</t>
  </si>
  <si>
    <t>NOM_ACTIVIDAD_OBRA</t>
  </si>
  <si>
    <t>Supervisión</t>
  </si>
  <si>
    <t>Nombre o identificación de la activdad u obra asociada a la partida de gasto. Identifica una meta u objetivo a lograr.</t>
  </si>
  <si>
    <t>DES_ACTIVIDAD_OBRA</t>
  </si>
  <si>
    <t>22.03.90.0052-Supervisión</t>
  </si>
  <si>
    <t>Nombre completo de la activdad u obra asociada a la partida de gasto que incluye los códigos a nivel de Prograna / Producto / Proyecto / Actividad. Identifica una meta u objetivo a lograr.</t>
  </si>
  <si>
    <t>COD_ORG_FINANCIADOR</t>
  </si>
  <si>
    <t>Código identificador del organismo financiador asociado a la partida de gasto.</t>
  </si>
  <si>
    <t>DES_ORG_FINANCIADOR</t>
  </si>
  <si>
    <t>TESORO NACIONAL</t>
  </si>
  <si>
    <t>Nombre o identificación de los organismos nacionales e internacionales que financian el presupuesto de las instituciones del sector público</t>
  </si>
  <si>
    <t>COD_FUENTE</t>
  </si>
  <si>
    <t>Código identificador de la Fuente de Financiamiento asociada a la  partida de gasto.</t>
  </si>
  <si>
    <t>NOM_FUENTE</t>
  </si>
  <si>
    <t>FONDO GENERAL</t>
  </si>
  <si>
    <t>Nombre o identificación de la Fuente de Financiamiento asociada a la  partida de gasto. Presenta los recursos públicos según el tipo de recurso empleado para su financiamiento</t>
  </si>
  <si>
    <t>COD_FUENTE_ESPECIFICA</t>
  </si>
  <si>
    <t>Código identificador de la fuente específica asociada a la partida de gasto.</t>
  </si>
  <si>
    <t>NOM_FUENTE_ESPECIFICA</t>
  </si>
  <si>
    <t>Nombre o identificación de la fuente específica asociada a la partida de gasto.</t>
  </si>
  <si>
    <t>COD_FUNCION_FINALIDAD</t>
  </si>
  <si>
    <t>Código identificador de la finalidad asociada a la partida de gasto.</t>
  </si>
  <si>
    <t>DES_FUNCION_FINALIDAD</t>
  </si>
  <si>
    <t>SERVICIOS SOCIALES</t>
  </si>
  <si>
    <t>Nombre o identificación de la finalidad asociada a la partida de gasto. Primer nivel de clasificación del destino de los recursos.</t>
  </si>
  <si>
    <t>COD_FUNCION_FUNCION</t>
  </si>
  <si>
    <t>Código identificador de la funcion asociada a la partida de gasto.</t>
  </si>
  <si>
    <t>DES_FUNCION_FUNCION</t>
  </si>
  <si>
    <t>Actividades deportivas, recreativas, culturales y religiosas</t>
  </si>
  <si>
    <t>Nombre o identificación de la funcion asociada a la partida de gasto. Segundo nivel nivel de clasificación del destino de los recursos.</t>
  </si>
  <si>
    <t>COD_FUNCION_SUBFUN</t>
  </si>
  <si>
    <t>Código identificador de la sub funcion asociada a la partida de gasto.</t>
  </si>
  <si>
    <t>DES_FUNCION_SUBFUN</t>
  </si>
  <si>
    <t>Servicios recreativos y deportivos</t>
  </si>
  <si>
    <t>Nombre o identificación de la sub funcion asociada a la partida de gasto. Tercer nivel de clasificación del destino de los recursos.</t>
  </si>
  <si>
    <t>COD_CCP_TIPO</t>
  </si>
  <si>
    <t>Código identificador del tipo de partida de gasto</t>
  </si>
  <si>
    <t>DES_CCP_TIPO</t>
  </si>
  <si>
    <t>GASTOS</t>
  </si>
  <si>
    <t>Nombre o identificación del tipo de partida de gasto.</t>
  </si>
  <si>
    <t>COD_CCP_CONCEPTO</t>
  </si>
  <si>
    <t>Código identificador del concepto asociado a la partida de gasto.</t>
  </si>
  <si>
    <t>DES_CCP_CONCEPTO</t>
  </si>
  <si>
    <t>OBRAS</t>
  </si>
  <si>
    <t>Nombre o identificación del concepto asociado a la partida de gasto.  Primer nivel de ordenamiento de acuerdo al bien o servicio que se adquiere</t>
  </si>
  <si>
    <t>COD_CCP_CUENTA</t>
  </si>
  <si>
    <t>Código identificador de la cuenta asociado a la partida de gasto.</t>
  </si>
  <si>
    <t>DES_CCP_CUENTA</t>
  </si>
  <si>
    <t>OBRAS EN EDIFICACIONES</t>
  </si>
  <si>
    <t>Nombre o identificación de la cuenta asociado a la partida de gasto.  Segundo nivel de ordenamiento de acuerdo al bien o servicio que se adquiere</t>
  </si>
  <si>
    <t>COD_CCP_SUBCTA</t>
  </si>
  <si>
    <t>2.7.1.5</t>
  </si>
  <si>
    <t>Código identificador de la subcuenta asociado a la partida de gasto.</t>
  </si>
  <si>
    <t>DES_CCP_SUBCTA</t>
  </si>
  <si>
    <t>Supervisión e inspección de obras en edificaciones</t>
  </si>
  <si>
    <t>Nombre o identificación de la subcuenta asociado a la partida de gasto. Tercer nivel de ordenamiento de acuerdo al bien o servicio que se adquiere</t>
  </si>
  <si>
    <t>COD_CCP_AUX</t>
  </si>
  <si>
    <t>2.7.1.5.01</t>
  </si>
  <si>
    <t>Código identificador del auxiliar asociado a la partida de gasto.</t>
  </si>
  <si>
    <t>DES_CCP_AUX</t>
  </si>
  <si>
    <t>Nombre o identificación del auxiliar asociado a la partida de gasto.  Cuarto nivel de ordenamiento de acuerdo al bien o servicio que se adquiere</t>
  </si>
  <si>
    <t>COD_ECON_TIPO</t>
  </si>
  <si>
    <t>Código identificador del tipo de clasificación económica asignada a la partida de gasto</t>
  </si>
  <si>
    <t>DES_ECON_TIPO</t>
  </si>
  <si>
    <t>Nombre o identificación del tipo de clasificación económica asignada a la partida de gasto. Permite identificar la naturaleza económica de las transacciones que realiza el sector público, con el propósito de evaluar el impacto y las repercusiones que generan las acciones fiscales</t>
  </si>
  <si>
    <t>COD_ECON_TITULO</t>
  </si>
  <si>
    <t>Código identificador del título de clasificación económica asignada a la partida de gasto</t>
  </si>
  <si>
    <t>DES_ECON_TITULO</t>
  </si>
  <si>
    <t>Gastos de capital</t>
  </si>
  <si>
    <t>Nombre o identificación del titulo (primer nivel) de clasificación económica asignada a la partida de gasto. Permite identificar la naturaleza económica de las transacciones que realiza el sector público, con el propósito de evaluar el impacto y las repercusiones que generan las acciones fiscales</t>
  </si>
  <si>
    <t>COD_ECON_SUBTITULO</t>
  </si>
  <si>
    <t>Código identificador del subtitulo de clasificación económica asignada a la partida de gasto</t>
  </si>
  <si>
    <t>DES_ECON_SUBTITULO</t>
  </si>
  <si>
    <t>Activos fijos (formación bruta de capital fijo)</t>
  </si>
  <si>
    <t>Nombre o identificación del subtitulo (segundo nivel) de clasificación económica asignada a la partida de gasto. Permite identificar la naturaleza económica de las transacciones que realiza el sector público, con el propósito de evaluar el impacto y las repercusiones que generan las acciones fiscales</t>
  </si>
  <si>
    <t>COD_ECON_GRUPO</t>
  </si>
  <si>
    <t>2.2.2.1</t>
  </si>
  <si>
    <t>Código identificador del grupo de clasificación económica asignada a la partida de gasto</t>
  </si>
  <si>
    <t>DES_ECON_GRUPO</t>
  </si>
  <si>
    <t>Viviendas, edificios y estructuras</t>
  </si>
  <si>
    <t>Nombre o identificación del grupo (tercer nivel) de clasificación económica asignada a la partida de gasto. Permite identificar la naturaleza económica de las transacciones que realiza el sector público, con el propósito de evaluar el impacto y las repercusiones que generan las acciones fiscales</t>
  </si>
  <si>
    <t>COD_ECON_SUBGRUPO</t>
  </si>
  <si>
    <t>2.2.2.1.5</t>
  </si>
  <si>
    <t>Código identificador del subgrupo de clasificación económica asignada a la partida de gasto</t>
  </si>
  <si>
    <t>DES_ECON_SUBGRUPO</t>
  </si>
  <si>
    <t>Nombre o identificación del subgrupo (cuarto nivel) de clasificación económica asignada a la partida de gasto. Permite identificar la naturaleza económica de las transacciones que realiza el sector público, con el propósito de evaluar el impacto y las repercusiones que generan las acciones fiscales</t>
  </si>
  <si>
    <t>COD_ECON_CUENTA</t>
  </si>
  <si>
    <t>NULL</t>
  </si>
  <si>
    <t>Código identificador de la cuenta de clasificación económica asignada a la partida de gasto</t>
  </si>
  <si>
    <t>DES_ECON_CUENTA</t>
  </si>
  <si>
    <t>Nombre o identificación de la cuenta (quinto nivel) de clasificación económica asignada a la partida de gasto. Permite identificar la naturaleza económica de las transacciones que realiza el sector público, con el propósito de evaluar el impacto y las repercusiones que generan las acciones fiscales</t>
  </si>
  <si>
    <t>COD_ECON_AUX</t>
  </si>
  <si>
    <t>Código identificador del auxiliar de clasificación económica asignada a la partida de gasto</t>
  </si>
  <si>
    <t>DES_ECON_AUX</t>
  </si>
  <si>
    <t>Nombre o identificación del auxiliar (sexto nivel) de clasificación económica asignada a la partida de gasto. Permite identificar la naturaleza económica de las transacciones que realiza el sector público, con el propósito de evaluar el impacto y las repercusiones que generan las acciones fiscales</t>
  </si>
  <si>
    <t>COD_ECON_SUBAUX</t>
  </si>
  <si>
    <t>Código identificador del subauxiliar de clasificación económica asignada a la partida de gasto</t>
  </si>
  <si>
    <t>DES_ECON_SUBAUX</t>
  </si>
  <si>
    <t>Nombre o identificación del subauxiliar (séptimo nivel) de clasificación económica asignada a la partida de gasto. Permite identificar la naturaleza económica de las transacciones que realiza el sector público, con el propósito de evaluar el impacto y las repercusiones que generan las acciones fiscales</t>
  </si>
  <si>
    <t>COD_INST_RECEPTORA</t>
  </si>
  <si>
    <t>Código identificador de la institución receptora de los recursos.</t>
  </si>
  <si>
    <t>NOM_INST_RECEPTORA</t>
  </si>
  <si>
    <t>NO APLICA</t>
  </si>
  <si>
    <t>Nombre o identificación de la institución receptora de los recursos.</t>
  </si>
  <si>
    <t>TIP_CAPITAL</t>
  </si>
  <si>
    <t>Codigo del Tipo de gasto asociado a la partida de gasto.</t>
  </si>
  <si>
    <t>TIP_CAP_O_CORR</t>
  </si>
  <si>
    <t>Capital</t>
  </si>
  <si>
    <t>Nombre del tipo de gasto asociado a la partida de gasto.</t>
  </si>
  <si>
    <t>COD_SNIP</t>
  </si>
  <si>
    <t>Código identificador del proyecto de inversión en el SNIP ( Sistema Nacional de Inversión Pública )</t>
  </si>
  <si>
    <t>NOM_SNIP</t>
  </si>
  <si>
    <t>Nombre del proyecto de inversión en el SNIP (Sistema de Inversión Pública)</t>
  </si>
  <si>
    <t>DES_SNIP</t>
  </si>
  <si>
    <t>El proyecto a presentar será la remodelación del campo de béisbol en la comunidad Sainaguá que contará con la construcción de un área total de 4,500.00m2, divididos en la construcción de Gradas 35.6 m2, Construcción de aceras y contenes 208 ml, construcción de 2 dugout, construcción de 2 baños y la remodelación de 227.36 ml de verja perimetral.</t>
  </si>
  <si>
    <t>Descripción completa del proyecto de inversión en el SNIP (Sistema de Inversión Pública) en donde se incluyen algunas características del proyecto</t>
  </si>
  <si>
    <t>COD_TIPOLOGIA</t>
  </si>
  <si>
    <t>Código identificador de la tipología asociada al proyecto de inversión.</t>
  </si>
  <si>
    <t>DES_TIPOLOGIA</t>
  </si>
  <si>
    <t>Capital Fijo</t>
  </si>
  <si>
    <t>Nombre o identificación de la tipología asociada al proyecto de inversión.</t>
  </si>
  <si>
    <t>TIP_ACTIVIDAD_INVERSION</t>
  </si>
  <si>
    <t>Código identificador del tipo de actividad de inversión asociado al proyecto de inversión.</t>
  </si>
  <si>
    <t>COD_REGION</t>
  </si>
  <si>
    <t>Código identificador de la Región asociada al proyecto de inversión</t>
  </si>
  <si>
    <t>NOM_REGION</t>
  </si>
  <si>
    <t>REGION VALDESIA</t>
  </si>
  <si>
    <t>Nombre o identificación de la Región asociada al proyecto de inversión</t>
  </si>
  <si>
    <t>COD_PROVINCIA</t>
  </si>
  <si>
    <t>Código identificador de la Provincia asociada al proyecto de inversión</t>
  </si>
  <si>
    <t>NOM_PROVINCIA</t>
  </si>
  <si>
    <t>SAN CRISTOBAL</t>
  </si>
  <si>
    <t>Nombre o identificación de la Provincia asociada al proyecto de inversión</t>
  </si>
  <si>
    <t>COD_MUNICIPIO</t>
  </si>
  <si>
    <t>Código identificador del municipio asociada al proyecto de inversión</t>
  </si>
  <si>
    <t>NOM_MUNICIPIO</t>
  </si>
  <si>
    <t>Nombre o identificación del municipio asociada al proyecto de inversión</t>
  </si>
  <si>
    <t>DES_PARTIDA_GASTO</t>
  </si>
  <si>
    <t>Inst:2024-0201-01-0009  Prg:22-03-90-0052  Fxp:0100 OF:100 CCP:2.7.1.5.01  FN:4.3.02  UG:05-21-0001 Obj:00000  IR:0000 Snip:14676  Tip:1</t>
  </si>
  <si>
    <t>Descripción de la partida de gasto</t>
  </si>
  <si>
    <t>VLR_INICIAL</t>
  </si>
  <si>
    <t>308833.00</t>
  </si>
  <si>
    <t>Importe inicial relacionado a la partida de gasto</t>
  </si>
  <si>
    <t>VLR_MOD_APROB</t>
  </si>
  <si>
    <t>Importe de modificaciones o ajustes relacionados a la partida de gasto.</t>
  </si>
  <si>
    <t>VLR_VIGENTE</t>
  </si>
  <si>
    <t>Importe vigente relacionado a la partida de gasto.</t>
  </si>
  <si>
    <t>Procesos (Formulario de Gasto Preventivo) - (sourceraw/DOM/HACIENDA/PROCESOS_DE_COMPRA)</t>
  </si>
  <si>
    <t>Detalle de formularios de gasto preventivo ( Procesos de compras )</t>
  </si>
  <si>
    <t>Año del formulario de gasto preventivo</t>
  </si>
  <si>
    <t>ID_FU_GASTOS_PREV</t>
  </si>
  <si>
    <t>EG16740690403537w5zD</t>
  </si>
  <si>
    <t>Código único de identificación del formulario de gasto preventivo</t>
  </si>
  <si>
    <t>VLR_PROYECCION_PREVENTIVO</t>
  </si>
  <si>
    <t>51270.8</t>
  </si>
  <si>
    <t>Importe del formulario de gasto preventivo</t>
  </si>
  <si>
    <t>FCH_REGISTRO_PROYECCION_PREVENTIVO</t>
  </si>
  <si>
    <t>2023-01-18T15:10:40-04:00</t>
  </si>
  <si>
    <t>Fecha de registro del formulario de gasto preventivo</t>
  </si>
  <si>
    <t>ID_TRAMITE</t>
  </si>
  <si>
    <t>Código del trámite asociado al formulario de gasto preventivo</t>
  </si>
  <si>
    <t>NUM_TRAMITE</t>
  </si>
  <si>
    <t>Número de trámite asociado al formulario de gasto preventivo</t>
  </si>
  <si>
    <t>COD_PROCESO</t>
  </si>
  <si>
    <t>UTEPDA-UC-CD-2023-0003</t>
  </si>
  <si>
    <t>Código del proceso de compra asociado al formulario de gasto preventivo</t>
  </si>
  <si>
    <t>COD_MODALIDAD</t>
  </si>
  <si>
    <t>CDU</t>
  </si>
  <si>
    <t>Codigo identificador de la modalidad de compra asociada al proceso de compra.</t>
  </si>
  <si>
    <t>DES_MODALIDAD</t>
  </si>
  <si>
    <t>Compras por debajo del umbral mínimo</t>
  </si>
  <si>
    <t>Nombre o identificación de la modalidad de compra asociada al proceso de compra.</t>
  </si>
  <si>
    <t>FCH_FIN_RECEP_OFERTAS</t>
  </si>
  <si>
    <t>2023-01-18T11:25:00-04:00</t>
  </si>
  <si>
    <t>Fecha del fin de recepcion de ofertas asociada al proceso de compra.</t>
  </si>
  <si>
    <t>DES_CARATULA</t>
  </si>
  <si>
    <t>Compra de piedras de afilar para ser utilizadas en los procesos de injertía por las brigadas agrícolas y forestales</t>
  </si>
  <si>
    <t>Descripción completa del proceso de compra con algunas caracteristicas</t>
  </si>
  <si>
    <t>DES_TRAMITE</t>
  </si>
  <si>
    <t>Nombre o identificación del trámite asociado al formulario de gasto preventivo</t>
  </si>
  <si>
    <t>COD_ESTADO</t>
  </si>
  <si>
    <t>Código identificador del estado asociado al proceso de compra.</t>
  </si>
  <si>
    <t>COD_TIPO_ADJUDICACION</t>
  </si>
  <si>
    <t>MP</t>
  </si>
  <si>
    <t>Código identificador del tipo de adjudicación asociado al proceso de compra.</t>
  </si>
  <si>
    <t>COD_MONEDA</t>
  </si>
  <si>
    <t>Código identificador de la moneda</t>
  </si>
  <si>
    <t>FCH_REGISTRO</t>
  </si>
  <si>
    <t>2023-01-18T00:00:00-04:00</t>
  </si>
  <si>
    <t>VLR_ESTIMADO</t>
  </si>
  <si>
    <t>Importe estimado del formulario de gasto preventivo</t>
  </si>
  <si>
    <t>COD_CLASE_DOCUMENTO</t>
  </si>
  <si>
    <t>EX</t>
  </si>
  <si>
    <t>Código identificador de la clase del documento.</t>
  </si>
  <si>
    <t>COD_ESTADO_PORTAL</t>
  </si>
  <si>
    <t>Codigo identificador del estado del proceso de compra en el portal de contrataciones.</t>
  </si>
  <si>
    <t>Contratos (Formulario de Gasto Compromiso) - (sourceraw/DOM/HACIENDA/CONTRATOS_DE_COMPRA)</t>
  </si>
  <si>
    <t>Detalle de formularios de gasto compromiso( Contratos de compras )</t>
  </si>
  <si>
    <t>COD_PERIODO_PROCESO</t>
  </si>
  <si>
    <t>Año asociado al formulario de gasto de compromiso</t>
  </si>
  <si>
    <t>EG1676668180652zh1wO</t>
  </si>
  <si>
    <t>Código interno de identificacion del formulario de gasto preventivo asociado a este formulario de gasto de compromiso</t>
  </si>
  <si>
    <t>Importe proyectado del formulario de gasto preventivo</t>
  </si>
  <si>
    <t>2023-02-17T17:09:41-04:00</t>
  </si>
  <si>
    <t>CORAASAN-MAE-PEUR-2023-0001</t>
  </si>
  <si>
    <t>PE</t>
  </si>
  <si>
    <t>Proceso de Excepción</t>
  </si>
  <si>
    <t>ID_FU_GASTOS_COMP</t>
  </si>
  <si>
    <t>EG16790701820074yAFk</t>
  </si>
  <si>
    <t>Código interno de identificacion del formulario de gasto de compromiso</t>
  </si>
  <si>
    <t>VLR_PROYECCION_COMPROMISO</t>
  </si>
  <si>
    <t>9156530.66</t>
  </si>
  <si>
    <t>Importe proyectado del formulario de gasto de compromiso</t>
  </si>
  <si>
    <t>FCH_REGISTRO_PROYECCION_COMPROMISO</t>
  </si>
  <si>
    <t>2023-03-17T12:23:03-04:00</t>
  </si>
  <si>
    <t>Fecha de registro del formulario de gasto de compromiso</t>
  </si>
  <si>
    <t>ID_CONTRATO</t>
  </si>
  <si>
    <t>C1679070181512NFdsqG</t>
  </si>
  <si>
    <t>ID del contrato asociado al formulario de gasto de compromiso</t>
  </si>
  <si>
    <t>COD_PERIODO_CONTRATO</t>
  </si>
  <si>
    <t>Año asociado al contrato de compra.</t>
  </si>
  <si>
    <t>NUM_CONTRATO</t>
  </si>
  <si>
    <t>Numero de contrato asociado al formulario de gasto de compromiso</t>
  </si>
  <si>
    <t>COD_CONTRATO</t>
  </si>
  <si>
    <t>CORAASAN-2023-00076</t>
  </si>
  <si>
    <t>Código del contrato de compra asociado al formulario de gasto de compromiso</t>
  </si>
  <si>
    <t>COD_MODALIDAD_CONTRATO</t>
  </si>
  <si>
    <t>CO</t>
  </si>
  <si>
    <t>Código identificador de la modalidad del contrato de compra asociado al formulario de compromiso</t>
  </si>
  <si>
    <t>DES_MODALIDAD_CONTRATO</t>
  </si>
  <si>
    <t>Contrato Ordinario</t>
  </si>
  <si>
    <t>Nombre de la modalidad del contrato de compra asociado al formulario de gasto de compromiso</t>
  </si>
  <si>
    <t>COD_TIPO_TRANSACCION</t>
  </si>
  <si>
    <t>Código identificador del tipo de transacción asociado al formulario de gasto de compromiso</t>
  </si>
  <si>
    <t>DES_TIPO_TRANSACCION</t>
  </si>
  <si>
    <t>Procesos Contrato Externos</t>
  </si>
  <si>
    <t>Nombre o identificación del tipo de transacción asociado al formulario de gasto de compromiso</t>
  </si>
  <si>
    <t>TIP_OBRA</t>
  </si>
  <si>
    <t>Codigo identificador de contrato de tipo obra ( SI / NO )</t>
  </si>
  <si>
    <t>DES_INSTITUCION</t>
  </si>
  <si>
    <t>Coorporación de Acueducto y Alcantarillado de Santiago</t>
  </si>
  <si>
    <t>Nombre o identificación de la institución asociada al formulario de gasto de compromiso</t>
  </si>
  <si>
    <t>COD_MODALIDAD_TRAMITE_EXT</t>
  </si>
  <si>
    <t>Código identificador de la modalidad de trámite asociado al formulario de gasto de compromiso</t>
  </si>
  <si>
    <t>DES_CONTRATO</t>
  </si>
  <si>
    <t>Rehabilitación sistema de impulsión zona Suroeste</t>
  </si>
  <si>
    <t>Descripción del contrato de compra asociado al formulario de gasto de compromiso</t>
  </si>
  <si>
    <t>Descripción completa del contrato de compra con algunas caracteristicas, asociado al formulario de gasto de compromiso</t>
  </si>
  <si>
    <t>DES_IDENTIFIC_LEGAL</t>
  </si>
  <si>
    <t>DO1.PCCNTR.1537440</t>
  </si>
  <si>
    <t>Descripción del identificador legal del contrato</t>
  </si>
  <si>
    <t>COD_PROVEEDOR</t>
  </si>
  <si>
    <t>Codigo identificador del proveedor asociado al contrato de compra.</t>
  </si>
  <si>
    <t>DES_MODALIDAD_PAGO</t>
  </si>
  <si>
    <t>Codigo identificador de la modalidad de pago asociada al contrato de compra.</t>
  </si>
  <si>
    <t>Codigo identificador de la moneda asociada al contrato de compra</t>
  </si>
  <si>
    <t>FCH_INICIO_CONTRATO</t>
  </si>
  <si>
    <t>2023-03-17T16:17:45-04:00</t>
  </si>
  <si>
    <t>Fecha inicio del contrato asociado al formulario de gasto de compromiso</t>
  </si>
  <si>
    <t>FCH_FIN_CONTRATO</t>
  </si>
  <si>
    <t>Fecha de fin del contrato asociado al formulario de gasto de compromiso</t>
  </si>
  <si>
    <t>TIP_PLURIANUAL</t>
  </si>
  <si>
    <t>Identificador de contrato plurianual ( SI / NO )</t>
  </si>
  <si>
    <t>2023-03-17T00:00:00-04:00</t>
  </si>
  <si>
    <t>FCH_APROBACION</t>
  </si>
  <si>
    <t>Fecha de aprobacion del formulario de gasto de compromiso</t>
  </si>
  <si>
    <t>FCH_ANULACION</t>
  </si>
  <si>
    <t>Fecha de anulación del formulario de gasto de compromiso</t>
  </si>
  <si>
    <t>FCH_RECHAZO</t>
  </si>
  <si>
    <t>Fecha de rechazo del formulario de gasto de compromiso</t>
  </si>
  <si>
    <t>FCH_CUMPLIMIENTO</t>
  </si>
  <si>
    <t>Fecha de cumplimiento del formulario de gasto de compromiso</t>
  </si>
  <si>
    <t>VLR_TOTAL</t>
  </si>
  <si>
    <t>15639937.74</t>
  </si>
  <si>
    <t>Importe total del formulario de gasto de compromiso</t>
  </si>
  <si>
    <t>VLR_TOTAL_ORI</t>
  </si>
  <si>
    <t>Importe total original del formulario de gasto de compromiso</t>
  </si>
  <si>
    <t>FCH_FORMALIZ_CONTRATO</t>
  </si>
  <si>
    <t>Fecha de formalización del contrato asociado asociado al formulario de gasto de compromiso</t>
  </si>
  <si>
    <t xml:space="preserve">Opendata Projects Dominican Republic ( View NuevaVisionRD.dbo.VwDatosAbiertosProyectos ) </t>
  </si>
  <si>
    <t>Source Table / View</t>
  </si>
  <si>
    <t>Source Type</t>
  </si>
  <si>
    <t>Source Field</t>
  </si>
  <si>
    <t>Data Type</t>
  </si>
  <si>
    <t>Transformation</t>
  </si>
  <si>
    <t>Field</t>
  </si>
  <si>
    <t>Descripcion Español</t>
  </si>
  <si>
    <t>Field Description</t>
  </si>
  <si>
    <t>Proyecto</t>
  </si>
  <si>
    <t>Table</t>
  </si>
  <si>
    <t>IdProyecto</t>
  </si>
  <si>
    <t>VwProyectosAprobadosInv</t>
  </si>
  <si>
    <t>View</t>
  </si>
  <si>
    <t>Código identificador del proyecto dentro de MapaInversiones</t>
  </si>
  <si>
    <t>CodigoBPIN</t>
  </si>
  <si>
    <t>codigosnip</t>
  </si>
  <si>
    <t>Código identificador del proyecto dentro del banco de proyectos es el identificador único del proyecto de Inversión en ( Sistema SNIP )</t>
  </si>
  <si>
    <t>Tiempo</t>
  </si>
  <si>
    <t>Anio</t>
  </si>
  <si>
    <t>AnioInicioProyecto</t>
  </si>
  <si>
    <t>Año de inicio del proyecto</t>
  </si>
  <si>
    <t>AnioFinProyecto</t>
  </si>
  <si>
    <t>Año Final del proyecto</t>
  </si>
  <si>
    <t>NombreProyecto</t>
  </si>
  <si>
    <t>varchar(max)</t>
  </si>
  <si>
    <t>upper(NombreProyecto)</t>
  </si>
  <si>
    <t>replace(a.NombreProyecto,',',' ')</t>
  </si>
  <si>
    <t>Nombre completo del proyecto de inversión en el sistema de inversión pública (SNIP)</t>
  </si>
  <si>
    <t>FechaInicioProyecto
FechaFinProyecto</t>
  </si>
  <si>
    <t>datetime</t>
  </si>
  <si>
    <t>@start = FechaInicioProyecto
@end = FechaFinProyecto
DECLARE @duration INT
DECLARE @durationFinal varchar(10)
SELECT @duration = DATEDIFF(mm, @start, @end)
SELECT  @durationFinal =CONVERT(NVARCHAR, @duration / 12) + '.' + CONVERT(NVARCHAR, @duration % 12)
RETURN @durationFinal</t>
  </si>
  <si>
    <t>DuracionProyecto</t>
  </si>
  <si>
    <t>DuracionProyecto+1</t>
  </si>
  <si>
    <t>DuracionEstimadaProyecto</t>
  </si>
  <si>
    <t>Duración en años del proyecto</t>
  </si>
  <si>
    <t>NombreEstado</t>
  </si>
  <si>
    <t>replace(NombreEstado ,',',' ')</t>
  </si>
  <si>
    <t>EtapaActual</t>
  </si>
  <si>
    <t>REEVALUACION</t>
  </si>
  <si>
    <t>Etapa actual en la que se encuentra el proyecto. Ej. Ejecución, Programación</t>
  </si>
  <si>
    <t>VlrTotalProyectoTodasLasFuentes</t>
  </si>
  <si>
    <t>decimal(18,2)</t>
  </si>
  <si>
    <t>CostoEstimadoProyecto</t>
  </si>
  <si>
    <t>Costo estimado del proyecto en $RD</t>
  </si>
  <si>
    <t>ProyectoXEntidadTerritorial</t>
  </si>
  <si>
    <t>IdProyecto as NONACIONAL</t>
  </si>
  <si>
    <t>CASE WHEN NONACIONAL IS NULL THEN 'NACIONAL' ELSE 'DEPARTAMENTAL O MUNICIPAL' END</t>
  </si>
  <si>
    <t>TipoProyecto</t>
  </si>
  <si>
    <t>tipoproyecto</t>
  </si>
  <si>
    <t>NACIONAL</t>
  </si>
  <si>
    <t>Tipo de alcance del proyecto. Ej. Nacional, Departamental o Municipal</t>
  </si>
  <si>
    <t>sector</t>
  </si>
  <si>
    <t>NombreSector</t>
  </si>
  <si>
    <t>replace(NombreSector,',',' ')</t>
  </si>
  <si>
    <t>Sector</t>
  </si>
  <si>
    <t>Agropecuaria  caza  pesca y silvicultura</t>
  </si>
  <si>
    <t xml:space="preserve">Nombre del sector al que pertenece el proyecto de inversión. Ej. Educación, Salud, Transporte, Los sectores en republica dominicana son equivalentes a las funciones </t>
  </si>
  <si>
    <t>PorcentajeAvanceFisico</t>
  </si>
  <si>
    <t>decimal(10,2)</t>
  </si>
  <si>
    <t>AvanceFinanciero</t>
  </si>
  <si>
    <t>avancefinanciero</t>
  </si>
  <si>
    <t>46.02</t>
  </si>
  <si>
    <t>Porcentaje de avance financiero del proyecto</t>
  </si>
  <si>
    <t>producto</t>
  </si>
  <si>
    <t>NombreProducto</t>
  </si>
  <si>
    <t>replace(NombreProducto,',',' ')</t>
  </si>
  <si>
    <t>nombreproducto</t>
  </si>
  <si>
    <t>INSTITUCIONES FORTALECIDAS</t>
  </si>
  <si>
    <t>Nombre del producto asociado al proyecto</t>
  </si>
  <si>
    <t>SeguimientoAvanceFisico</t>
  </si>
  <si>
    <t>Meta_Programada</t>
  </si>
  <si>
    <t>isnull(Meta_Programada,0)</t>
  </si>
  <si>
    <t>Meta del producto asociado al proyecto</t>
  </si>
  <si>
    <t>Meta_Ejecutada</t>
  </si>
  <si>
    <t>isnull(Meta_Ejecutada,0)</t>
  </si>
  <si>
    <t>Valor ejecutado del producto asociado al proyecto</t>
  </si>
  <si>
    <t>UnidadProducto</t>
  </si>
  <si>
    <t>UnidaddelProducto</t>
  </si>
  <si>
    <t>Instituciones</t>
  </si>
  <si>
    <t>Unidad de medida del producto asociado al proyecto</t>
  </si>
  <si>
    <t>FaseProyecto</t>
  </si>
  <si>
    <t>NombreFase</t>
  </si>
  <si>
    <t>replace(NombreFase,',',' ')</t>
  </si>
  <si>
    <t>nombrefase</t>
  </si>
  <si>
    <t>Nombre de la fase en la que se encuentra en proyecto (Ej: Preinversión, Inversión)</t>
  </si>
  <si>
    <t>Actor</t>
  </si>
  <si>
    <t>NombreActor AS NombreEntidad</t>
  </si>
  <si>
    <t>varchar(200)</t>
  </si>
  <si>
    <t>ISNULL(NombreEntidad,'SIN INFORMACION')</t>
  </si>
  <si>
    <t>EntidadEjecutora</t>
  </si>
  <si>
    <t>replace(a.EntidadEjecutora,',',' ')</t>
  </si>
  <si>
    <t>entidadejecutora</t>
  </si>
  <si>
    <t>Corresponde al ejecutor primario del proyecto</t>
  </si>
  <si>
    <t>Fuente</t>
  </si>
  <si>
    <t>NombreTipoRecurso</t>
  </si>
  <si>
    <t>VwFuentesFinanciacion</t>
  </si>
  <si>
    <t>FuenteFinanciacion</t>
  </si>
  <si>
    <t>replace(FuenteFinanciacion,',',' ')</t>
  </si>
  <si>
    <t>fuentefinanciacion</t>
  </si>
  <si>
    <t xml:space="preserve">Nombre de la fuente de financiamiento del proyecto </t>
  </si>
  <si>
    <t>NombreTipoEntidad</t>
  </si>
  <si>
    <t>OrganismoFinanciador</t>
  </si>
  <si>
    <t>replace(OrganismoFinanciador,',',' ')</t>
  </si>
  <si>
    <t>organismofinanciador</t>
  </si>
  <si>
    <t>Tesoro Nacional</t>
  </si>
  <si>
    <t>Nombre del organismo financiador del proyecto</t>
  </si>
  <si>
    <t>SeguimientoEsquemaFinanciacionProyectoFase</t>
  </si>
  <si>
    <t>ValorVigente</t>
  </si>
  <si>
    <t>sum([ValorVigente])</t>
  </si>
  <si>
    <t>valorprogramado</t>
  </si>
  <si>
    <t>Valor programado de la fuente de financiamiento asociada al proyecto</t>
  </si>
  <si>
    <t>ValorEjecutado</t>
  </si>
  <si>
    <t>sum([ValorEjecutado])</t>
  </si>
  <si>
    <t>valorejecutado</t>
  </si>
  <si>
    <t>Valor ejecutado de la fuente de financiamiento asociada al proyecto</t>
  </si>
  <si>
    <t>Periodo</t>
  </si>
  <si>
    <t>AnioEjecucionPptal</t>
  </si>
  <si>
    <t>Año de ejecución del proyecto</t>
  </si>
  <si>
    <t>EnteTerritorial</t>
  </si>
  <si>
    <t>nombreregion</t>
  </si>
  <si>
    <t>NACIONALES</t>
  </si>
  <si>
    <t>Nombre de la región en donde se encuentra localizado el proyecto</t>
  </si>
  <si>
    <t>nombredepartamento</t>
  </si>
  <si>
    <t>nombreprovincia</t>
  </si>
  <si>
    <t>Nombre de la provincia en donde se encuentra localizado el proyecto</t>
  </si>
  <si>
    <t>nombremunicipio</t>
  </si>
  <si>
    <t>Nombre del municipio en donde se encuentra localizado el proyecto</t>
  </si>
  <si>
    <t>FechaUltimaModificacion</t>
  </si>
  <si>
    <t>fechacarguearchivo</t>
  </si>
  <si>
    <t>Mar 28 2024  4:04PM</t>
  </si>
  <si>
    <t>Fecha de ultimo cargue de información del proyecto en MapaInversiones</t>
  </si>
  <si>
    <t>fixed value</t>
  </si>
  <si>
    <t>'SNIP'</t>
  </si>
  <si>
    <t>fuentedatos</t>
  </si>
  <si>
    <t>SNIP</t>
  </si>
  <si>
    <t>Fuente de información de proyectos para MapaInversiones</t>
  </si>
  <si>
    <t>Project data source.</t>
  </si>
  <si>
    <t xml:space="preserve">Opendata Investment Budget Dominican Republic ( View NuevaVisionRD.[consulta].[VwDatosAbiertosPresupuestoHacienda] ) </t>
  </si>
  <si>
    <t>Datos del presupuesto de inversión pública</t>
  </si>
  <si>
    <t>Field Description (Spanish)</t>
  </si>
  <si>
    <t>Field Description ( English )</t>
  </si>
  <si>
    <t>----</t>
  </si>
  <si>
    <t>consulta.CatalogoTiempo</t>
  </si>
  <si>
    <t>año</t>
  </si>
  <si>
    <t>Año</t>
  </si>
  <si>
    <t>El año al que corresponde la información registrada en la base de datos.</t>
  </si>
  <si>
    <t>consulta.CatalogoEntidades</t>
  </si>
  <si>
    <t>CodigoInstitucion</t>
  </si>
  <si>
    <t>varchar(30)</t>
  </si>
  <si>
    <t>0201-01-0009</t>
  </si>
  <si>
    <t>El código único que identifica a una institución dentro del sistema o conjunto de instituciones.</t>
  </si>
  <si>
    <t>Institucion</t>
  </si>
  <si>
    <t>varchar(500)</t>
  </si>
  <si>
    <t>Nombre o identificación de la institución a la que pertenece la información registrada.</t>
  </si>
  <si>
    <t>'Inversion'</t>
  </si>
  <si>
    <t>TipoGasto</t>
  </si>
  <si>
    <t>Inversion</t>
  </si>
  <si>
    <t>Categoría que clasifica el gasto según su naturaleza o propósito.</t>
  </si>
  <si>
    <t>consulta.CatalogoLineaPresupuestal</t>
  </si>
  <si>
    <t>CodigoFuenteFinanciamiento</t>
  </si>
  <si>
    <t>CodigoFuenteDeFinanciamiento</t>
  </si>
  <si>
    <t>Código que identifica la fuente de financiamiento del gasto.</t>
  </si>
  <si>
    <t>consulta.CatalogoFuenteFinanciamiento</t>
  </si>
  <si>
    <t>FuenteFinanciamiento</t>
  </si>
  <si>
    <t>FuenteDeFinanciamiento</t>
  </si>
  <si>
    <t>Descripción o identificación de la fuente de financiamiento del gasto.</t>
  </si>
  <si>
    <t>CodigoFuenteEspecifica</t>
  </si>
  <si>
    <t>varchar(50)</t>
  </si>
  <si>
    <t>Código específico que identifica la fuente de financiamiento detallada.</t>
  </si>
  <si>
    <t>FuenteEspecifica</t>
  </si>
  <si>
    <t>Descripción detallada o identificación específica de la fuente de financiamiento.</t>
  </si>
  <si>
    <t>consulta.CatalogoOrganismoFinanciador</t>
  </si>
  <si>
    <t>CodigoOrganismoFinanciador</t>
  </si>
  <si>
    <t>Código que identifica al organismo que proporciona el financiamiento.</t>
  </si>
  <si>
    <t>Nombre o identificación del organismo que proporciona el financiamiento.</t>
  </si>
  <si>
    <t>CodigoPrograma</t>
  </si>
  <si>
    <t>Código que identifica un programa específico.</t>
  </si>
  <si>
    <t>Programa</t>
  </si>
  <si>
    <t>Nombre o descripción del programa al que se asigna el gasto.</t>
  </si>
  <si>
    <t>CodigoProducto</t>
  </si>
  <si>
    <t>CodigoSubPrograma</t>
  </si>
  <si>
    <t>Código que identifica un subprograma dentro de un programa.</t>
  </si>
  <si>
    <t>Producto</t>
  </si>
  <si>
    <t>SubPrograma</t>
  </si>
  <si>
    <t>Acciones que no generan producción 22</t>
  </si>
  <si>
    <t>Nombre o descripción del subprograma al que se asigna el gasto.</t>
  </si>
  <si>
    <t>dbo.Proyecto</t>
  </si>
  <si>
    <t>consulta.CatalogoPresupuestoXProyInv</t>
  </si>
  <si>
    <t>bpin</t>
  </si>
  <si>
    <t>CodigoSnip</t>
  </si>
  <si>
    <t>Código asignado por el Sistema Nacional de Inversión Pública (SNIP) para identificar un proyecto.</t>
  </si>
  <si>
    <t>CodigoProyecto</t>
  </si>
  <si>
    <t>Código que identifica un proyecto específico.</t>
  </si>
  <si>
    <t>CONSTRUCCIÓN DE LA FUNERARIA MUNICIPAL DE GUAYMATE PROVINCIA LA ROMANA</t>
  </si>
  <si>
    <t>Nombre o descripción del proyecto al que se asigna el gasto.</t>
  </si>
  <si>
    <t>CodigoActividadObra</t>
  </si>
  <si>
    <t>Código que identifica una actividad u obra dentro de un proyecto.</t>
  </si>
  <si>
    <t>NombreActividadObra</t>
  </si>
  <si>
    <t>ActividadObra</t>
  </si>
  <si>
    <t>Trabajos Generales de la Construcción de la Funeraria Municipal de Guaymate Provincia La Romana</t>
  </si>
  <si>
    <t>Nombre o descripción de la actividad u obra al que se asigna el gasto.</t>
  </si>
  <si>
    <t>consulta.CatalogoObjetoDeGasto</t>
  </si>
  <si>
    <t>CodigoCuenta</t>
  </si>
  <si>
    <t>CodigoGrupoDeGasto</t>
  </si>
  <si>
    <t>Código que clasifica el gasto en grupos predefinidos.</t>
  </si>
  <si>
    <t>Cuenta</t>
  </si>
  <si>
    <t>Grupodegasto</t>
  </si>
  <si>
    <t>Descripción o nombre del grupo al que pertenece el gasto.</t>
  </si>
  <si>
    <t>CodigoFinalidad</t>
  </si>
  <si>
    <t>Código que identifica la finalidad del gasto.</t>
  </si>
  <si>
    <t>Finalidad</t>
  </si>
  <si>
    <t>Descripción o nombre de la finalidad a la que se destina el gasto.</t>
  </si>
  <si>
    <t>CodigoObjetoDeGasto</t>
  </si>
  <si>
    <t>Código que identifica el objeto específico para el cual se destina el gasto.</t>
  </si>
  <si>
    <t>ObjetoDeGasto</t>
  </si>
  <si>
    <t>Descripción o nombre del objeto para el cual se destina el gasto.</t>
  </si>
  <si>
    <t>dbo.Sector</t>
  </si>
  <si>
    <t>Vivienda y Servicios Comunitarios</t>
  </si>
  <si>
    <t>Sector al que pertenece la actividad u obra asociada al gasto.</t>
  </si>
  <si>
    <t>CodigoSubFuncion</t>
  </si>
  <si>
    <t xml:space="preserve">Código que identifica una subfunción dentro de una función. </t>
  </si>
  <si>
    <t>SubFuncion</t>
  </si>
  <si>
    <t>Desarrollo comunitario</t>
  </si>
  <si>
    <t>Descripción o nombre de la subfunción asociada al gasto.</t>
  </si>
  <si>
    <t>consulta.FactPresupuesto</t>
  </si>
  <si>
    <t>ValorInicial</t>
  </si>
  <si>
    <t>float</t>
  </si>
  <si>
    <t>sum(ValorInicial)</t>
  </si>
  <si>
    <t>ValorAprobado</t>
  </si>
  <si>
    <t>Monto o valor aprobado para el gasto en la partida presupuestaria.</t>
  </si>
  <si>
    <t>sum(ValorVigente)</t>
  </si>
  <si>
    <t>475715.89</t>
  </si>
  <si>
    <t>Monto o valor actualmente vigente para el gasto en la partida presupuestaria.</t>
  </si>
  <si>
    <t>sum(ValorEjecutado)</t>
  </si>
  <si>
    <t>Monto o valor ejecutado hasta el momento para el gasto en la partida presupuestaria.</t>
  </si>
  <si>
    <t>dbo.FuenteDeLosRecursos</t>
  </si>
  <si>
    <t>FechaActualizacionFuente</t>
  </si>
  <si>
    <t>select top 1 cast(FechaActualizacionFuente as date) 
        from dbo.FuenteDeLosRecursos where idFuente = 7</t>
  </si>
  <si>
    <t>Fecha en la que se actualizó la información en la fuente de datos</t>
  </si>
  <si>
    <t xml:space="preserve">Opendata Investment Budget Dominican Republic ( View NuevaVisionRD.[consulta].[VwDatosAbiertosPresupuestoXProyInv] ) </t>
  </si>
  <si>
    <t>Esta vista es una combinación de datos del presupuesto (Hacienda) con datos datos de proyectos de inversión (SNIP)</t>
  </si>
  <si>
    <t>This view is a combination of budget data (Ministry of Finance) with investment project data (SNIP)</t>
  </si>
  <si>
    <t>table</t>
  </si>
  <si>
    <t>AnioPresupuesto</t>
  </si>
  <si>
    <t>Año al que corresponde el presupuesto o la información presupuestaria registrada.</t>
  </si>
  <si>
    <t>[consulta].[VwPresupuesto]</t>
  </si>
  <si>
    <t>Código único que identifica a una institución dentro del sistema o conjunto de instituciones.</t>
  </si>
  <si>
    <t>Nombre o identificación de la institución a la que pertenece la información presupuestaria registrada.</t>
  </si>
  <si>
    <t>CodigoFuente_de_Financiamiento</t>
  </si>
  <si>
    <t>Código que identifica la fuente de financiamiento del proyecto.</t>
  </si>
  <si>
    <t>Fuente_de_Financiamiento</t>
  </si>
  <si>
    <t>Descripción o identificación de la fuente de financiamiento del proyecto.</t>
  </si>
  <si>
    <t>Código que identifica al organismo que proporciona el financiamiento del proyecto.</t>
  </si>
  <si>
    <t>Nombre o identificación del organismo que proporciona el financiamiento del proyecto.</t>
  </si>
  <si>
    <t>Código que identifica la finalidad del proyecto.</t>
  </si>
  <si>
    <t>SERVICIOS  GENERALES</t>
  </si>
  <si>
    <t>Descripción o nombre de la finalidad a la que se destina el proyecto.</t>
  </si>
  <si>
    <t>IdSector</t>
  </si>
  <si>
    <t>Identificación única del sector al que pertenece el proyecto.</t>
  </si>
  <si>
    <t>Justicia, Orden Público y Seguridad</t>
  </si>
  <si>
    <t>Nombre o descripción del sector al que pertenece el proyecto.</t>
  </si>
  <si>
    <t>Código que identifica una subfunción dentro de una función.</t>
  </si>
  <si>
    <t>Servicios de seguridad interior</t>
  </si>
  <si>
    <t>Descripción o nombre de la subfunción asociada al proyecto.</t>
  </si>
  <si>
    <t>[consulta].[CatalogoPresupuestoXProyInv]</t>
  </si>
  <si>
    <t>varchar(20)</t>
  </si>
  <si>
    <t>Código asignado por el Sistema Nacional de Inversión Pública (SNIP) para identificar un proyecto específico.</t>
  </si>
  <si>
    <t>[consulta].CatalogoLineaPresupuestal as d
dbo.Proyecto as c</t>
  </si>
  <si>
    <t>c.nombreproyecto
d.Proyecto
d.NombreActividadObra</t>
  </si>
  <si>
    <t>varchar(max)
varchar(max)
varchar(max)</t>
  </si>
  <si>
    <t>isnull(isnull(c.nombreproyecto,d.Proyecto),d.NombreActividadObra)</t>
  </si>
  <si>
    <t>nombreproyecto</t>
  </si>
  <si>
    <t>CONSTRUCCIÓN DESTACAMENTO POLICIAL EN LA COMUNIDAD DE QUITA CORAZA, PROVINCIA BARAHONA</t>
  </si>
  <si>
    <t>Nombre o título del proyecto.</t>
  </si>
  <si>
    <t>objetivogeneral</t>
  </si>
  <si>
    <t>ISNULL(objetivogeneral,'SIN INFORMACION')</t>
  </si>
  <si>
    <t>El fin del proyecto propuesto es contribuir directamente a los objetivos más amplios de diversos documentos estratégicos y de política pública del Gobierno Dominicano y asumir parcialmente responsabilidades ineludibles asignadas a la Comisión Presidencial de Apoyo al Desarrollo Provincial (CPADP) y sus dependencias</t>
  </si>
  <si>
    <t>Descripción general del objetivo del proyecto.</t>
  </si>
  <si>
    <t>82.15</t>
  </si>
  <si>
    <t>Estado o progreso financiero del proyecto.</t>
  </si>
  <si>
    <t>dbo.Estado</t>
  </si>
  <si>
    <t>IdEstado</t>
  </si>
  <si>
    <t>isnull(IdEstado,'0')</t>
  </si>
  <si>
    <t>Identificación única del estado actual del proyecto.</t>
  </si>
  <si>
    <t>isnull(NombreEstado,'DESCONOCIDO')</t>
  </si>
  <si>
    <t>EJECUCIÓN</t>
  </si>
  <si>
    <t>Nombre o descripción del estado actual del proyecto.</t>
  </si>
  <si>
    <t>Identificación única del proyecto.</t>
  </si>
  <si>
    <t>cast( VlrTotalProyectoTodasLasFuentes AS  decimal(18,2))</t>
  </si>
  <si>
    <t>ValorProyecto</t>
  </si>
  <si>
    <t>7138434.00</t>
  </si>
  <si>
    <t>Monto o valor total del proyecto.</t>
  </si>
  <si>
    <t>Vigente</t>
  </si>
  <si>
    <t>cast( sum(Vigente) AS  decimal(38,2))</t>
  </si>
  <si>
    <t>ValorFinanciado</t>
  </si>
  <si>
    <t>1528222.17</t>
  </si>
  <si>
    <t>Monto o valor financiado para el proyecto.</t>
  </si>
  <si>
    <t>EjecucionAcumulada</t>
  </si>
  <si>
    <t>cast( sum(EjecucionAcumulada) AS  decimal(18,2))</t>
  </si>
  <si>
    <t>1528149.69</t>
  </si>
  <si>
    <t>Monto o valor ejecutado hasta el momento para el proyecto.</t>
  </si>
  <si>
    <t>IdProyecto + fixed value</t>
  </si>
  <si>
    <t>concat('http://mapainversiones.economia.gob.do/Proyecto/PerfilProyecto/',IdProyecto)</t>
  </si>
  <si>
    <t>URLProyecto</t>
  </si>
  <si>
    <t>http://mapainversiones.economia.gob.do/Proyecto/PerfilProyecto/4432</t>
  </si>
  <si>
    <t>URL o enlace que dirige a la ubicación del proyecto en línea o a su documentación correspondiente.</t>
  </si>
  <si>
    <t>MH y MEPyD'</t>
  </si>
  <si>
    <t>MH y MEPyD</t>
  </si>
  <si>
    <t>Fuente de donde se obtuvo la información sobre el proyecto.</t>
  </si>
  <si>
    <t>idFuente = 7</t>
  </si>
  <si>
    <t>FechaActualizacionFuenteMH</t>
  </si>
  <si>
    <t>Fecha en la que se actualizó la información sobre el proyecto según la fuente de datos de Ministerio de Hacienda.</t>
  </si>
  <si>
    <t>dateime</t>
  </si>
  <si>
    <t>idFuente = 1</t>
  </si>
  <si>
    <t>FechaActualizacionFuenteMEPyD</t>
  </si>
  <si>
    <t>Fecha en la que se actualizó la información sobre el proyecto según la fuente de datos del Ministerio de Economía, Planificación y Desarrollo.</t>
  </si>
  <si>
    <t>These data can be complemented with information from the DGCP's open data portal from where more data on purchasing and contract processes can be obtained.</t>
  </si>
  <si>
    <t>https://datosabiertos.dgcp.gob.do/opendata/tablas</t>
  </si>
  <si>
    <t xml:space="preserve">Opendata Investment Budget Dominican Republic ( View NuevaVisionRD.[consulta].[VwDatosAbiertosProcesosXProyectosInv]) </t>
  </si>
  <si>
    <t>Procesos de Compras asociados a Proyectos de Inversion</t>
  </si>
  <si>
    <t>consulta.ProcesoXProyectoInversion</t>
  </si>
  <si>
    <t>varchar(40)</t>
  </si>
  <si>
    <t>AMPLIACIÓN DE ACUEDUCTO EN EL MUNICIPIO DE  VILLA HERMOSA PROVINCIA LA ROMANA</t>
  </si>
  <si>
    <t>Nombre o título del proyecto asociado al proceso de compra.</t>
  </si>
  <si>
    <t>codigoproceso</t>
  </si>
  <si>
    <t>CodigoProceso</t>
  </si>
  <si>
    <t>COAAROM-DAF-CM-2023-0027</t>
  </si>
  <si>
    <t>Código que identifica un proceso específico asociado al contrato.</t>
  </si>
  <si>
    <t>dbo.procesos</t>
  </si>
  <si>
    <t>Descripcion</t>
  </si>
  <si>
    <t>DescripcionProceso</t>
  </si>
  <si>
    <t>Servicio de perforación de encamisado y aforo del pozo a 240 pie y un diámetro de 6 pie</t>
  </si>
  <si>
    <t>Descripción detallada del proceso de contratación, incluyendo los términos, condiciones y alcances del mismo.</t>
  </si>
  <si>
    <t>Caratula</t>
  </si>
  <si>
    <t>varchar(250)</t>
  </si>
  <si>
    <t>Servicio de perforaccion de encamisado y aforo del pozo a 240 pie y un diámetro de 6 pie</t>
  </si>
  <si>
    <t>Documento que contiene información resumida sobre el proceso de contratación, incluyendo detalles relevantes como el tipo de proceso, las partes involucradas, etc.</t>
  </si>
  <si>
    <t>EstadoProceso</t>
  </si>
  <si>
    <t>varchar(100)</t>
  </si>
  <si>
    <t>Proceso adjudicado y celebrado</t>
  </si>
  <si>
    <t>Estado actual del proceso de contratación, por ejemplo: pendiente, en curso, adjudicado, cancelado, etc.</t>
  </si>
  <si>
    <t>MontoEstimado</t>
  </si>
  <si>
    <t>numeric(38,6)</t>
  </si>
  <si>
    <t>Monto o valor estimado para el proceso de contratación.</t>
  </si>
  <si>
    <t>Modalidad</t>
  </si>
  <si>
    <t>Compras Menores</t>
  </si>
  <si>
    <t>Modalidad bajo la cual se realiza el proceso de contratación, por ejemplo: licitación pública, concurso de precios, contratación directa, etc.</t>
  </si>
  <si>
    <t>Url</t>
  </si>
  <si>
    <t>UrlProceso</t>
  </si>
  <si>
    <t>https://comunidad.comprasdominicana.gob.do//Public/Tendering/OpportunityDetail/Index?noticeUID=DO1.NTC.1280931</t>
  </si>
  <si>
    <t>URL o enlace que dirige a la ubicación del proceso de contratación en línea o a su documentación correspondiente</t>
  </si>
  <si>
    <t>Fixed Value</t>
  </si>
  <si>
    <t>MH y DGCP</t>
  </si>
  <si>
    <t>Fuente de donde se obtuvo la información sobre el proceso de contratación.</t>
  </si>
  <si>
    <t>select top 1 cast(FechaActualizacionFuente as date) 
	from dbo.FuenteDeLosRecursos where idFuente = 7</t>
  </si>
  <si>
    <t>Fecha en la que se actualizó la información sobre el proceso de contratación según la fuente de datos de Ministerio de Hacienda</t>
  </si>
  <si>
    <t>select top 1 cast(FechaActualizacionFuente as date) 
	from dbo.FuenteDeLosRecursos where idFuente = 8</t>
  </si>
  <si>
    <t>FechaActualizacionFuenteDGCP</t>
  </si>
  <si>
    <t>Fecha en la que se actualizó la información sobre el proceso de contratación según la fuente de datos del Sistema de Contrataciones Públicas (DGCP)</t>
  </si>
  <si>
    <t xml:space="preserve">Opendata Investment Budget Dominican Republic ( View NuevaVisionRD.[consulta].[VwDatosAbiertosContratosXProyectosInv] ) </t>
  </si>
  <si>
    <t>Contratos asociados a Proyectos de Inversion</t>
  </si>
  <si>
    <t>consulta.ContratoXProyectoInversion</t>
  </si>
  <si>
    <t>CONSTRUCCIÓN SISTEMA DE AGUA POTABLE PARA EL SECTOR VILLA PROGRESO EN EL MUNICIPIO DE VILLA HERMOSA</t>
  </si>
  <si>
    <t>Nombre o título del proyecto al cual está relacionado el contrato</t>
  </si>
  <si>
    <t>COAAROM-UC-CD-2022-0199</t>
  </si>
  <si>
    <t>dbo.Contratos</t>
  </si>
  <si>
    <t>codigocontrato</t>
  </si>
  <si>
    <t>nvarchar(200)</t>
  </si>
  <si>
    <t>CodigoContrato</t>
  </si>
  <si>
    <t>COAAROM-2022-00223</t>
  </si>
  <si>
    <t>Código único que identifica el contrato dentro del sistema o conjunto de contratos.</t>
  </si>
  <si>
    <t>DescripcionContrato</t>
  </si>
  <si>
    <t>nvarchar(500)</t>
  </si>
  <si>
    <t>Levantamiento de campo</t>
  </si>
  <si>
    <t>Descripción detallada del contrato, incluyendo términos y condiciones relevantes.</t>
  </si>
  <si>
    <t>EstadoContrato</t>
  </si>
  <si>
    <t>Cerrado</t>
  </si>
  <si>
    <t>Estado actual del contrato, por ejemplo: pendiente, en curso, finalizado, etc.</t>
  </si>
  <si>
    <t>MonedaContrato</t>
  </si>
  <si>
    <t>DOP</t>
  </si>
  <si>
    <t>Tipo de moneda utilizada para expresar los valores del contrato.</t>
  </si>
  <si>
    <t>valorcontratado</t>
  </si>
  <si>
    <t>ValorContrato</t>
  </si>
  <si>
    <t>Monto o valor total del contrato.</t>
  </si>
  <si>
    <t>RPE</t>
  </si>
  <si>
    <t>CodigoProveedor</t>
  </si>
  <si>
    <t>Código único que identifica al proveedor asociado al contrato.</t>
  </si>
  <si>
    <t>razonsocial</t>
  </si>
  <si>
    <t>nvarchar(150)</t>
  </si>
  <si>
    <t>Proveedor</t>
  </si>
  <si>
    <t>ENRIQUE ANIBAL LIED SANABIA</t>
  </si>
  <si>
    <t>Nombre o identificación del proveedor con el que se estableció el contrato.</t>
  </si>
  <si>
    <t>varchar(350)</t>
  </si>
  <si>
    <t>UrlContrato</t>
  </si>
  <si>
    <t>https://comunidad.comprasdominicana.gob.do/Public/Tendering/ContractDetailView/Index?UniqueIdentifier=DO1.PCCNTR.1473506&amp;AwardContractDetailId=415729</t>
  </si>
  <si>
    <t>URL o enlace que dirige a la ubicación del contrato en línea o a su documentación correspondiente.</t>
  </si>
  <si>
    <t>Fuente de donde se obtuvo la información sobre el contrato.</t>
  </si>
  <si>
    <t>Fecha en la que se actualizó la información sobre el contrato según la fuente de datos de Ministerio de Hacienda.</t>
  </si>
  <si>
    <t>select top 1 cast(FechaActualizacionFuente as date) 
	from dbo.FuenteDeLosRecursos where idFuente = 2</t>
  </si>
  <si>
    <t>Fecha en la que se actualizó la información sobre el contrato según la fuente de datos del Sistema de Contrataciones Públicas (DGCP)</t>
  </si>
  <si>
    <t>This source is an API (metabase)</t>
  </si>
  <si>
    <t>the data is obtained in csv format</t>
  </si>
  <si>
    <t>field</t>
  </si>
  <si>
    <t>example value</t>
  </si>
  <si>
    <t>description (spanish)</t>
  </si>
  <si>
    <t>description (english)</t>
  </si>
  <si>
    <t>Identificador único de la linea presupuestal</t>
  </si>
  <si>
    <t>Año de la linea presupuestal</t>
  </si>
  <si>
    <t>EGPG1708551003655vbK</t>
  </si>
  <si>
    <t>REMODELACIÓN CANCHA DE BALONCESTO EN LA COMUNIDAD DE HATILLO PROVINCIA SAN CRISTOBAL</t>
  </si>
  <si>
    <t>OBRA FISICA</t>
  </si>
  <si>
    <t>22.03.91.0051-OBRA FISICA</t>
  </si>
  <si>
    <t>INFRAESTRUCTURA</t>
  </si>
  <si>
    <t>2.7.2.2</t>
  </si>
  <si>
    <t>Obras de energía</t>
  </si>
  <si>
    <t>2.7.2.2.01</t>
  </si>
  <si>
    <t>Construcciones en proceso</t>
  </si>
  <si>
    <t>2.2.1.1</t>
  </si>
  <si>
    <t>Construcciones por contrato</t>
  </si>
  <si>
    <t>Corriente</t>
  </si>
  <si>
    <t>El proyecto consiste en la remodelación de la cancha de baloncesto Hatillo que comprende: Construcción de área de juego en hormigón armado con superficie 510 m2, construcción de dos (2) pedestales en hormigón con tablero en fibra de vidrio, una (1) Grada con aun área de 48 m2, 132 ml de verja perimetral y dos (2) baños (damas y caballeros).</t>
  </si>
  <si>
    <t>MULTIMUNICIPAL</t>
  </si>
  <si>
    <t>Inst:2024-0201-01-0009  Prg:22-03-91-0051  Fxp:0100 OF:100 CCP:2.7.2.2.01  FN:4.3.02  UG:05-21-9999 Obj:00000  IR:0000 Snip:14677  Tip:1</t>
  </si>
  <si>
    <t>342272.07</t>
  </si>
  <si>
    <t>Código de la sección</t>
  </si>
  <si>
    <t>EGPG1703883908103ojG</t>
  </si>
  <si>
    <t>CONSTRUCCIÓN CANCHA DE BALONCESTO EN EL BARRIO PROSPERIDAD, MUNICIPIO BONAO, PROVINCIA MONSEÑOR NOUEL</t>
  </si>
  <si>
    <t>CONSTRUCCIÓN CANCHA DE BALONCESTO EN LA COMUNIDAD PROSPERIDAD</t>
  </si>
  <si>
    <t>22.03.92.0051-CONSTRUCCIÓN CANCHA DE BALONCESTO EN LA COMUNIDAD PROSPERIDAD</t>
  </si>
  <si>
    <t>2.7.2.7</t>
  </si>
  <si>
    <t>Obras urbanísticas</t>
  </si>
  <si>
    <t>2.7.2.7.01</t>
  </si>
  <si>
    <t>El proyecto a presentar será la construcción de una cancha de baloncesto en el Barrio Prosperidad del municipio de Bonao, provincai Monseñor Nouel que contará con una área de juego de 510 m2,  Gradas 48 m2, Verja perimetral: 132 ml y construcción de baños: 2 und (damas y caballeros).</t>
  </si>
  <si>
    <t>REGION CIBAO SUR</t>
  </si>
  <si>
    <t>MONSENOR NOUEL</t>
  </si>
  <si>
    <t>BONAO</t>
  </si>
  <si>
    <t>Inst:2024-0201-01-0009  Prg:22-03-92-0051  Fxp:0100 OF:100 CCP:2.7.2.7.01  FN:4.3.02  UG:02-28-0001 Obj:00000  IR:0000 Snip:14678  Tip:1</t>
  </si>
  <si>
    <t>717284.00</t>
  </si>
  <si>
    <t>2838647.12</t>
  </si>
  <si>
    <t>3555931.12</t>
  </si>
  <si>
    <t>Descripción de la sección</t>
  </si>
  <si>
    <t>EGPG1703883908345thG</t>
  </si>
  <si>
    <t>supervisión</t>
  </si>
  <si>
    <t>22.03.92.0052-supervisión</t>
  </si>
  <si>
    <t>Inst:2024-0201-01-0009  Prg:22-03-92-0052  Fxp:0100 OF:100 CCP:2.7.1.5.01  FN:4.3.02  UG:02-28-0001 Obj:00000  IR:0000 Snip:14678  Tip:1</t>
  </si>
  <si>
    <t>96589.00</t>
  </si>
  <si>
    <t>269903.66</t>
  </si>
  <si>
    <t>366492.66</t>
  </si>
  <si>
    <t>Código del Capitulo</t>
  </si>
  <si>
    <t>EGPG1703883908561HpF</t>
  </si>
  <si>
    <t>CONSTRUCCIÓN CANCHA DE BALONCESTO EN EL BARRIO CANTA LA RANA, MUNICIPIO PIEDRA BLANCA, PROVINCIA MONSEÑOR NOUEL</t>
  </si>
  <si>
    <t>CONSTRUCCIÓN CANCHA DE BALONCESTO EN EL MUNICIPIO PIEDRA BLANCA</t>
  </si>
  <si>
    <t>22.03.93.0051-CONSTRUCCIÓN CANCHA DE BALONCESTO EN EL MUNICIPIO PIEDRA BLANCA</t>
  </si>
  <si>
    <t>El proyecto conciste en la construcción de una cancha de baloncesto en el sector Canta la Rana en el municipio Piedra Blanca, provincia Monseñor Nouel según se describe a continuación: Construcción de un área de juego de 510 m2,  Construcción de Gradas 48 m2,  Construcción de 132 metros lineales de  verja perimetral  y construcción de baños: 2 unds (damas y caballeros).</t>
  </si>
  <si>
    <t>PIEDRA BLANCA</t>
  </si>
  <si>
    <t>Inst:2024-0201-01-0009  Prg:22-03-93-0051  Fxp:0100 OF:100 CCP:2.7.2.7.01  FN:4.3.02  UG:02-28-0003 Obj:00000  IR:0000 Snip:14679  Tip:1</t>
  </si>
  <si>
    <t>375687.00</t>
  </si>
  <si>
    <t>Nombre del Capitulo</t>
  </si>
  <si>
    <t>EGPG17038839087619GL</t>
  </si>
  <si>
    <t>22.03.93.0052-supervisión</t>
  </si>
  <si>
    <t>Inst:2024-0201-01-0009  Prg:22-03-93-0052  Fxp:0100 OF:100 CCP:2.7.1.5.01  FN:4.3.02  UG:02-28-0003 Obj:00000  IR:0000 Snip:14679  Tip:1</t>
  </si>
  <si>
    <t>96590.00</t>
  </si>
  <si>
    <t>Código del SubCapitulo</t>
  </si>
  <si>
    <t>EGPG1703883875083CrR</t>
  </si>
  <si>
    <t>CONSTRUCCIÓN CANCHA DE BALONCESTO EN EL BARRIO EL OCHO, MUNICIPIO BONAO, PROVINCIA MONSEÑOR NOUEL</t>
  </si>
  <si>
    <t>CONSTRUCCIÓN CANCHA DE BALONCESTO EN EL BARRIO 8</t>
  </si>
  <si>
    <t>22.03.94.0051-CONSTRUCCIÓN CANCHA DE BALONCESTO EN EL BARRIO 8</t>
  </si>
  <si>
    <t>El proyecto contempla la construcción de una cancha de baloncesto en el  Barrio El Ocho del municipio de Bonao que contará con una área de juego de 510 m2, la construcción de Gradas 48 m2 construcción de Verja perimetral de 132 ml y construcción de baños: 2 unds (damas y caballeros).</t>
  </si>
  <si>
    <t>Inst:2024-0201-01-0009  Prg:22-03-94-0051  Fxp:0100 OF:100 CCP:2.7.2.7.01  FN:4.3.02  UG:02-28-0001 Obj:00000  IR:0000 Snip:14681  Tip:1</t>
  </si>
  <si>
    <t>2509403.00</t>
  </si>
  <si>
    <t>NOmbre del Subcapítulo</t>
  </si>
  <si>
    <t>EGPG1703883875307yyR</t>
  </si>
  <si>
    <t>22.03.94.0052-supervisión</t>
  </si>
  <si>
    <t>Inst:2024-0201-01-0009  Prg:22-03-94-0052  Fxp:0100 OF:100 CCP:2.7.1.5.01  FN:4.3.02  UG:02-28-0001 Obj:00000  IR:0000 Snip:14681  Tip:1</t>
  </si>
  <si>
    <t>Código de la entidad ejecutora</t>
  </si>
  <si>
    <t>EGPG1703883907045FGJ</t>
  </si>
  <si>
    <t>CONSTRUCCIÓN CANCHA DE BALONCESTO EN EL BARRIO QUIJA QUIETA, MUNICIPIO SAN JUAN DE LA MAGUANA, PROVINCIA SAN JUAN</t>
  </si>
  <si>
    <t>CONSTRUCCIÓN CANCHA DE BALONCESTO EN EL SECTOR QUIJA QUIETA</t>
  </si>
  <si>
    <t>22.03.95.0051-CONSTRUCCIÓN CANCHA DE BALONCESTO EN EL SECTOR QUIJA QUIETA</t>
  </si>
  <si>
    <t>Construcción de una cancha de baloncesto en el Barrio Quija Quieta que contará con una área de juego de 510 m2, Gradas 48 m2  Verja perimetral: 132 ml y construcción de baños: 2 und (damas y caballeros).</t>
  </si>
  <si>
    <t>REGION EL VALLE</t>
  </si>
  <si>
    <t>SAN JUAN</t>
  </si>
  <si>
    <t>Inst:2024-0201-01-0009  Prg:22-03-95-0051  Fxp:0100 OF:100 CCP:2.7.2.7.01  FN:4.3.02  UG:07-22-0001 Obj:00000  IR:0000 Snip:14694  Tip:1</t>
  </si>
  <si>
    <t>2528720.00</t>
  </si>
  <si>
    <t>Nombre de la entidad ejecutora</t>
  </si>
  <si>
    <t>EGPG1703883907336JYf</t>
  </si>
  <si>
    <t>22.03.95.0052-Supervisión</t>
  </si>
  <si>
    <t>Inst:2024-0201-01-0009  Prg:22-03-95-0052  Fxp:0100 OF:100 CCP:2.7.1.5.01  FN:4.3.02  UG:07-22-0001 Obj:00000  IR:0000 Snip:14694  Tip:1</t>
  </si>
  <si>
    <t>Descripción completa de la entidad ejecutora</t>
  </si>
  <si>
    <t>EGPG1703883882832455</t>
  </si>
  <si>
    <t>CONSTRUCCIÓN CANCHA DE BALONCESTO EN EL MUNICIPIO EL CERCADO, PROVINCIA SAN JUAN</t>
  </si>
  <si>
    <t>CONSTRUCCIÓN CANCHA DE BALONCESTO EN EL MUNICIPIO EL CERCADO</t>
  </si>
  <si>
    <t>22.03.96.0051-CONSTRUCCIÓN CANCHA DE BALONCESTO EN EL MUNICIPIO EL CERCADO</t>
  </si>
  <si>
    <t>El proyecto a presentar será la construccion de una cancha de baloncesto en la comunidad El Cercado que contará con un área de juego de 510 m2, Gradas 48 m2, Verja perimetral 132 ml y  baños: 2 und (damas y caballeros).</t>
  </si>
  <si>
    <t>EL CERCADO</t>
  </si>
  <si>
    <t>Inst:2024-0201-01-0009  Prg:22-03-96-0051  Fxp:0100 OF:100 CCP:2.7.2.7.01  FN:4.3.02  UG:07-22-0003 Obj:00000  IR:0000 Snip:14695  Tip:1</t>
  </si>
  <si>
    <t>Codigo del programa</t>
  </si>
  <si>
    <t>EGPG1703883906787kEI</t>
  </si>
  <si>
    <t>SUPERVISION</t>
  </si>
  <si>
    <t>22.03.96.0052-SUPERVISION</t>
  </si>
  <si>
    <t>Inst:2024-0201-01-0009  Prg:22-03-96-0052  Fxp:0100 OF:100 CCP:2.7.1.5.01  FN:4.3.02  UG:07-22-0003 Obj:00000  IR:0000 Snip:14695  Tip:1</t>
  </si>
  <si>
    <t>Nombre del programa</t>
  </si>
  <si>
    <t>EGPG1703883907634EzZ</t>
  </si>
  <si>
    <t>CONSTRUCCIÓN CANCHA DE BALONCESTO EN EL DISTRITO MUNICIPAL GUANITO, MUNICIPIO SAN JUAN DE LA MAGUANA, PROVINCIA SAN JUAN</t>
  </si>
  <si>
    <t>CONSTRUCCIÓN CANCHA DE BALONCESTO EN EL DISTRITO MUNICIPAL GUANITO</t>
  </si>
  <si>
    <t>22.03.97.0051-CONSTRUCCIÓN CANCHA DE BALONCESTO EN EL DISTRITO MUNICIPAL GUANITO</t>
  </si>
  <si>
    <t>El proyecto incluye la construcción de una cancha de baloncesto en el sector Los Bancos, distrito municipal Guanito que contará con una área de juego de 510 m2, Gradas 48 m2 Verja perimetral: 132 ml y construcción de baños: 2 unds. (damas y caballeros).</t>
  </si>
  <si>
    <t>Inst:2024-0201-01-0009  Prg:22-03-97-0051  Fxp:0100 OF:100 CCP:2.7.2.7.01  FN:4.3.02  UG:07-22-0001 Obj:00000  IR:0000 Snip:14698  Tip:1</t>
  </si>
  <si>
    <t>2528721.00</t>
  </si>
  <si>
    <t>Código del producto</t>
  </si>
  <si>
    <t>EGPG17038839078686Iy</t>
  </si>
  <si>
    <t>22.03.97.0052-supervisión</t>
  </si>
  <si>
    <t>Inst:2024-0201-01-0009  Prg:22-03-97-0052  Fxp:0100 OF:100 CCP:2.7.1.5.01  FN:4.3.02  UG:07-22-0001 Obj:00000  IR:0000 Snip:14698  Tip:1</t>
  </si>
  <si>
    <t>Nombre del Producto</t>
  </si>
  <si>
    <t>EGPG170388390941769c</t>
  </si>
  <si>
    <t>REMODELACIÓN CLUB DEPORTIVO RENACER EN EL SECTOR GUACHUPITA,  DISTRITO NACIONAL.</t>
  </si>
  <si>
    <t>obra fisica</t>
  </si>
  <si>
    <t>22.03.99.0051-obra fisica</t>
  </si>
  <si>
    <t>El proyector consiste en la remodelacion del Club Deportivo Renacer:  Se intervendrá toda el área de practicas deportivas ( 814 m2 de area de construccion) incluye el techado en aluzin.  Área de juego: 717.54 m2 Pedestales en hormigón con tablero en fibra de vidrio: 2 und Gradas: 147.10 m2 Verja perimetral: 166.78 ml Área de baños: 2 und (damas y caballeros) Techado metálico: 814 m2</t>
  </si>
  <si>
    <t>REGION OZAMA O METROPOLITANA</t>
  </si>
  <si>
    <t>SANTO DOMINGO DE GUZMAN</t>
  </si>
  <si>
    <t>Inst:2024-0201-01-0009  Prg:22-03-99-0051  Fxp:0100 OF:100 CCP:2.7.2.7.01  FN:4.3.02  UG:10-01-0001 Obj:00000  IR:0000 Snip:14704  Tip:1</t>
  </si>
  <si>
    <t>7901788.00</t>
  </si>
  <si>
    <t>Código del Proyecto</t>
  </si>
  <si>
    <t>EGPG1703883909603ofT</t>
  </si>
  <si>
    <t>22.03.99.0052-supervisión</t>
  </si>
  <si>
    <t>Inst:2024-0201-01-0009  Prg:22-03-99-0052  Fxp:0100 OF:100 CCP:2.7.1.5.01  FN:4.3.02  UG:10-01-0001 Obj:00000  IR:0000 Snip:14704  Tip:1</t>
  </si>
  <si>
    <t>211353.00</t>
  </si>
  <si>
    <t>Nombre del proyecto</t>
  </si>
  <si>
    <t>EGPG1703883874362YRr</t>
  </si>
  <si>
    <t>Construcción de obras Comunitarias 2.0</t>
  </si>
  <si>
    <t>CONSTRUCCIÓN CENTRO COMUNAL NUEVA ESPERANZA, MUNICIPIO BANI, PROVINCIA PERAVIA</t>
  </si>
  <si>
    <t>22.04.01.0051-CONSTRUCCIÓN CENTRO COMUNAL NUEVA ESPERANZA, MUNICIPIO BANI, PROVINCIA PERAVIA</t>
  </si>
  <si>
    <t>Vivienda y servicios comunitarios</t>
  </si>
  <si>
    <t>2.7.1.2</t>
  </si>
  <si>
    <t>2.2.2.1.2</t>
  </si>
  <si>
    <t>Edificaciones no residenciales</t>
  </si>
  <si>
    <t>En el Sector Nueva Esperanza  del municipio Bani, la población manifiesta poca participación en actividades socioculturales, debido a que no existe un local o infraestructura funcional para realizar las actividades a nivel comunitario. Las causas que han podido identificarse son actividades socioculturales realizadas en espacios inadecuados para su correcto desarrollo, así como también, carencia de lugares en la comunidad para la realización de actividades socioculturales.  El centro comunal que se propone incluyen actividades socioculturales, así como también realizar otras actividades comunitarias tales como: operativos médicos, bodas, charlas, velatorios, cumpleaños, reuniones y encuentros sociales. La infraestructura contempla un salón de usos múltiples.  Objetivo Específico  Construir Centro Comunal en la comunidad Nueva Esperanza, municipio Bani. Con aprox. 103.11 m2 de construcción.  Datos Técnicos: . Área: 103.11 m² Capacidad:  75 a 150 Personas Aprox  ** Construir 101.3 m2 de infraestructura ** Construir una cisterna de 6,582 galones, área 5.00 m2 ** Construir Verja perimetral 155.53 ml</t>
  </si>
  <si>
    <t>BANI</t>
  </si>
  <si>
    <t>Inst:2024-0201-01-0009  Prg:22-04-01-0051  Fxp:0100 OF:100 CCP:2.7.1.2.01  FN:4.1.02  UG:05-17-0001 Obj:00000  IR:0000 Snip:14756  Tip:1</t>
  </si>
  <si>
    <t>3050421.00</t>
  </si>
  <si>
    <t>Código de Activdad obra</t>
  </si>
  <si>
    <t>EGPG1703883874550MBI</t>
  </si>
  <si>
    <t>SUPERVISION DE LA CONSTRUCCIÓN DEL CENTRO COMUNAL NUEVA ESPERANZA, MUNICIPIO BANI, PROVINCIA PERAVIA</t>
  </si>
  <si>
    <t>22.04.01.0052-SUPERVISION DE LA CONSTRUCCIÓN DEL CENTRO COMUNAL NUEVA ESPERANZA, MUNICIPIO BANI, PROVINCIA PERAVIA</t>
  </si>
  <si>
    <t>Inst:2024-0201-01-0009  Prg:22-04-01-0052  Fxp:0100 OF:100 CCP:2.7.1.5.01  FN:4.1.02  UG:05-17-0001 Obj:00000  IR:0000 Snip:14756  Tip:1</t>
  </si>
  <si>
    <t>117414.00</t>
  </si>
  <si>
    <t>Nombre de la Actividad obra</t>
  </si>
  <si>
    <t>EGPG1703883909013won</t>
  </si>
  <si>
    <t>CONSTRUCCIÓN DE UN NUEVO CEMENTERIO EN EL MUNICIPIO LOS RIOS, PROVINCIA BAHORUCO</t>
  </si>
  <si>
    <t>22.04.02.0051-CONSTRUCCIÓN DE UN NUEVO CEMENTERIO EN EL MUNICIPIO LOS RIOS, PROVINCIA BAHORUCO</t>
  </si>
  <si>
    <t>2.7.2.8</t>
  </si>
  <si>
    <t>Obras en cementerios</t>
  </si>
  <si>
    <t>2.7.2.8.01</t>
  </si>
  <si>
    <t>El proyecto consiste en la construcción de un nuevo cementerio en el municipio Los Ríos, provincia Bahoruco. Este cementerio constara con una área de  8,325.52 m2, con 2,268.5m2 de aceras, 478 m de contenes, y una oficina administrativa de 73 m2.</t>
  </si>
  <si>
    <t>REGION ENRIQUILLO</t>
  </si>
  <si>
    <t>BAHORUCO</t>
  </si>
  <si>
    <t>LOS RIOS</t>
  </si>
  <si>
    <t>Inst:2024-0201-01-0009  Prg:22-04-02-0051  Fxp:0100 OF:100 CCP:2.7.2.8.01  FN:4.1.02  UG:06-03-0005 Obj:00000  IR:0000 Snip:14710  Tip:1</t>
  </si>
  <si>
    <t>8430961.00</t>
  </si>
  <si>
    <t>Descripción de la Actividad obra</t>
  </si>
  <si>
    <t>EGPG1703883909228bTj</t>
  </si>
  <si>
    <t>SUPERVISION DE LA CONSTRUCCIÓN DE UN NUEVO CEMENTERIO EN EL MUNICIPIO LOS RIOS, PROVINCIA BAHORUCO</t>
  </si>
  <si>
    <t>22.04.02.0052-SUPERVISION DE LA CONSTRUCCIÓN DE UN NUEVO CEMENTERIO EN EL MUNICIPIO LOS RIOS, PROVINCIA BAHORUCO</t>
  </si>
  <si>
    <t>Inst:2024-0201-01-0009  Prg:22-04-02-0052  Fxp:0100 OF:100 CCP:2.7.1.5.01  FN:4.1.02  UG:06-03-0005 Obj:00000  IR:0000 Snip:14710  Tip:1</t>
  </si>
  <si>
    <t>777515.00</t>
  </si>
  <si>
    <t>Código del organismo financiador</t>
  </si>
  <si>
    <t>EGPG1703883909805WJE</t>
  </si>
  <si>
    <t>REMODELACIÓN POLIDEPORTIVO DE HAINA, MUNICIPIO BAJOS DE HAINA, PROVINCIA SAN CRISTOBAL</t>
  </si>
  <si>
    <t>22.04.03.0051-obra fisica</t>
  </si>
  <si>
    <t>La remodelación del polideportivo de Haina cuenta con un área de 2335.60 m2, en donde se realizaran las siguientes actividades:   Demolición de Muro de hormigón en áreas de grada 222.83 m2 - Pintura acrílica en general en todo el interior 1,040.89 m2 - Construcción de 2 oficinas en área interior al lado de las gradas 40.08 m2 - Reestructuración de butacas existentes de gradas en aluminio fundido (Brazos, espaldar y asentaderas), incluye desmonte, instalación, pintura. 560 UD - Reparación y adecuación de las instalaciones eléctricas en general - Suministro y colocación de pizarra de anotaciones digital en cancha techada.  - Suministro e instalación de tablero incluyendo líneas de juego para baloncesto y voleibol, para un. área estimada de 20.10mts x 32.30mts aproximadamente 650m2. - Suministro y colocación de tableros en fibra de vidrio 72''*42'' para cancha de baloncesto, incluye canasta y almohadilla de protección. - Construcción de registro de (1.50*1.50*0.30) mt con rejilla metálica y tuberías de 6'' de diámetro como movilización de aguas estancadas hacia un sumidero (1.40*1.40*1.80) mt, para la filtración de las aguas en el terreno</t>
  </si>
  <si>
    <t>BAJOS DE HAINA</t>
  </si>
  <si>
    <t>Inst:2024-0201-01-0009  Prg:22-04-03-0051  Fxp:0100 OF:100 CCP:2.7.2.7.01  FN:4.3.02  UG:05-21-0003 Obj:00000  IR:0000 Snip:14730  Tip:1</t>
  </si>
  <si>
    <t>3141627.00</t>
  </si>
  <si>
    <t>Descripción del organismo financiador</t>
  </si>
  <si>
    <t>EGPG17038838766726Gl</t>
  </si>
  <si>
    <t>CONSTRUCCIÓN CENTRO COMUNAL EL GUAYABO, MUNICIPIO VALLEJUELO, PROVINCIA SAN JUAN</t>
  </si>
  <si>
    <t>Construcción Centro Comunal Comunidad El Guayabo, Municipio Vallejuelo</t>
  </si>
  <si>
    <t>22.04.04.0051-Construcción Centro Comunal Comunidad El Guayabo, Municipio Vallejuelo</t>
  </si>
  <si>
    <t>Ante la necesidad de prestar un servicio a la comunidad más equitativo y de mayor calidad es preciso entrar a hacer un análisis de la ubicación y estado físico de la infraestructura comunitaria que nos permita identificar las necesidades de adecuación y construcción de nuevos espacios acordes al desarrollo sociocultural de las comunidades.   Como se mencionó anteriormente, varias comunidades de la provincia de San Juan, mantiene Poca participación de los jóvenes en actividades socioculturales lo que pone de manifiesto Baja integración de los jóvenes en actividades socioculturales, así como también, necesidad de traslado hacia otras localidades para la realización de actividades.  El proyecto que se propone tiene intervención en la comunidad de El Guayabo, Municipio Vallejuelo. Por tanto, Vallejuelo es un municipio de la República Dominicana, que está situado en la provincia de San Juan. Con una superficie de 221.7 km2 y una densidad poblacional de 56 hab/km2. Un crecimiento intercensal de 5.1 %. Según proyecciones de la ONE al 2020 vallejuelo contaba con una población de 11,839 habitantes, donde 6,404 son hombre y 5,435 Mujeres.  Objetivo Específico Construir Centro Comunal en El Guayabo, Municipio Vallejuelo. Con aprox. 475.41 m2 de construcción Datos Técnicos: . Área: 475.41m² Capacidad:  150 Personas Aprox  **Construir 475.41 m2 de infraestructura ** Construir una cisterna de 3000 galones, área 6.76 m2 ** Construir Verja perimetral 155.53 ml</t>
  </si>
  <si>
    <t>VALLEJUELO</t>
  </si>
  <si>
    <t>Inst:2024-0201-01-0009  Prg:22-04-04-0051  Fxp:0100 OF:100 CCP:2.7.1.2.01  FN:4.1.02  UG:07-22-0006 Obj:00000  IR:0000 Snip:14785  Tip:1</t>
  </si>
  <si>
    <t>6145124.00</t>
  </si>
  <si>
    <t>Codigo de la Fuente de Financiación</t>
  </si>
  <si>
    <t>EGPG1703883876859bTS</t>
  </si>
  <si>
    <t>Supervisión de la Construcción Centro Comunal Comunidad El Guayabo, Municipio Vallejuelo</t>
  </si>
  <si>
    <t>22.04.04.0052-Supervisión de la Construcción Centro Comunal Comunidad El Guayabo, Municipio Vallejuelo</t>
  </si>
  <si>
    <t>Inst:2024-0201-01-0009  Prg:22-04-04-0052  Fxp:0100 OF:100 CCP:2.7.1.5.01  FN:4.1.02  UG:07-22-0006 Obj:00000  IR:0000 Snip:14785  Tip:1</t>
  </si>
  <si>
    <t>317004.00</t>
  </si>
  <si>
    <t>Nombre de la fuente de financiación</t>
  </si>
  <si>
    <t>EGPG1703883877024sbj</t>
  </si>
  <si>
    <t>CONSTRUCCIÓN CENTRO COMUNAL DISTRITO MUNICIPAL LAS ZANJAS, MUNICIPIO SAN JUAN DE LA MAGUANA, PROVINCIA SAN JUAN</t>
  </si>
  <si>
    <t>Construcción Centro Comunal en el Distrito Municipal Las Zanjas</t>
  </si>
  <si>
    <t>22.04.05.0051-Construcción Centro Comunal en el Distrito Municipal Las Zanjas</t>
  </si>
  <si>
    <t>El proyecto que se propone tiene intervención en la comunidad Las Zanjas, es un distrito municipal del municipio San Juan de la Maguana. Su población aproximada es de 8,991 habitantes. Actualmente esta comunidad carecen de centros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t>
  </si>
  <si>
    <t>Inst:2024-0201-01-0009  Prg:22-04-05-0051  Fxp:0100 OF:100 CCP:2.7.1.2.01  FN:4.1.02  UG:07-22-0001 Obj:00000  IR:0000 Snip:14786  Tip:1</t>
  </si>
  <si>
    <t>2305428.00</t>
  </si>
  <si>
    <t>Codigo de la Fuente específica</t>
  </si>
  <si>
    <t>EGPG1703883877178oEu</t>
  </si>
  <si>
    <t>Supervisión de la Construcción Centro Comunal en el Distrito Municipal Las Zanjas</t>
  </si>
  <si>
    <t>22.04.05.0052-Supervisión de la Construcción Centro Comunal en el Distrito Municipal Las Zanjas</t>
  </si>
  <si>
    <t>Inst:2024-0201-01-0009  Prg:22-04-05-0052  Fxp:0100 OF:100 CCP:2.7.1.5.01  FN:4.1.02  UG:07-22-0001 Obj:00000  IR:0000 Snip:14786  Tip:1</t>
  </si>
  <si>
    <t>88061.00</t>
  </si>
  <si>
    <t>Nombre de la fuente específica</t>
  </si>
  <si>
    <t>EGPG1703883877348Gx3</t>
  </si>
  <si>
    <t>CONSTRUCCIÓN CENTRO COMUNAL DISTRITO MUNICIPAL EL ROSARIO, MUNICIPIO SAN JUAN DE LA MAGUANA, PROVINCIA SAN JUAN</t>
  </si>
  <si>
    <t>Construcción Centro Comunal Distrito Municipal El Rosario, Municipio San Juan de la Maguana</t>
  </si>
  <si>
    <t>22.04.06.0051-Construcción Centro Comunal Distrito Municipal El Rosario, Municipio San Juan de la Maguana</t>
  </si>
  <si>
    <t>El proyecto que se propone tiene intervención en la comunidad El Rosario, es un distrito municipal del municipio San Juan de la Maguana. Su población aproximada es de 7,426 habitantes. Actualmente esta comunidad carecen de centros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t>
  </si>
  <si>
    <t>Inst:2024-0201-01-0009  Prg:22-04-06-0051  Fxp:0100 OF:100 CCP:2.7.1.2.01  FN:4.1.02  UG:07-22-0001 Obj:00000  IR:0000 Snip:14787  Tip:1</t>
  </si>
  <si>
    <t>4000000.00</t>
  </si>
  <si>
    <t>Código de la Finalidad</t>
  </si>
  <si>
    <t>EGPG1703883877506NLo</t>
  </si>
  <si>
    <t>Supervisión de la Construcción Centro Comunal Distrito Municipal El Rosario, Municipio San Juan de la Maguana</t>
  </si>
  <si>
    <t>22.04.06.0052-Supervisión de la Construcción Centro Comunal Distrito Municipal El Rosario, Municipio San Juan de la Maguana</t>
  </si>
  <si>
    <t>Inst:2024-0201-01-0009  Prg:22-04-06-0052  Fxp:0100 OF:100 CCP:2.7.1.5.01  FN:4.1.02  UG:07-22-0001 Obj:00000  IR:0000 Snip:14787  Tip:1</t>
  </si>
  <si>
    <t>Descripción de la Finalidad</t>
  </si>
  <si>
    <t>EGPG1703883877678ToK</t>
  </si>
  <si>
    <t>CONSTRUCCIÓN CENTRO COMUNAL LOS TRANSFORMADORES, MUNICIPIO SAN JUAN DE LA MAGUANA, PROVINCIA SAN JUAN</t>
  </si>
  <si>
    <t>Construcción Centro Comunal Comunidad Los Transformadores, Municipio San Juan de la Maguana</t>
  </si>
  <si>
    <t>22.04.07.0051-Construcción Centro Comunal Comunidad Los Transformadores, Municipio San Juan de la Maguana</t>
  </si>
  <si>
    <t>El proyecto que se propone tiene intervención en la comunidad los trasformadores, Municipio San Juan de la Maguana. Su población aproximada es de 1,700 habitantes. Actualmente esta comunidad carecen de centros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t>
  </si>
  <si>
    <t>Inst:2024-0201-01-0009  Prg:22-04-07-0051  Fxp:0100 OF:100 CCP:2.7.1.2.01  FN:4.1.02  UG:07-22-0001 Obj:00000  IR:0000 Snip:14788  Tip:1</t>
  </si>
  <si>
    <t>564903.45</t>
  </si>
  <si>
    <t>4564903.45</t>
  </si>
  <si>
    <t>Código de la Función</t>
  </si>
  <si>
    <t>EGPG1703883877838c6m</t>
  </si>
  <si>
    <t>Supervisión de la Construcción Centro Comunal Comunidad Los Transformadores, Municipio San Juan de la Maguana</t>
  </si>
  <si>
    <t>22.04.07.0052-Supervisión de la Construcción Centro Comunal Comunidad Los Transformadores, Municipio San Juan de la Maguana</t>
  </si>
  <si>
    <t>Inst:2024-0201-01-0009  Prg:22-04-07-0052  Fxp:0100 OF:100 CCP:2.7.1.5.01  FN:4.1.02  UG:07-22-0001 Obj:00000  IR:0000 Snip:14788  Tip:1</t>
  </si>
  <si>
    <t>Descripción de la Función</t>
  </si>
  <si>
    <t>EGPG1703883874711VbW</t>
  </si>
  <si>
    <t>CONSTRUCCIÓN MERCADO MUNICIPAL DE CABRAL, PROVINCIA BARAHONA</t>
  </si>
  <si>
    <t>Construcción Mercado Municipal  de Cabral</t>
  </si>
  <si>
    <t>22.04.09.0051-Construcción Mercado Municipal  de Cabral</t>
  </si>
  <si>
    <t>El proyecto consiste en la construcción de un mercado municipal con un área de 4,800 m2 el cual contara con 8 tipologias de modulos de ventas y otros espacios donde se desarrollarán las actividades de compra y ventas de bienes y servicios.</t>
  </si>
  <si>
    <t>CABRAL</t>
  </si>
  <si>
    <t>Inst:2024-0201-01-0009  Prg:22-04-09-0051  Fxp:0100 OF:100 CCP:2.7.1.2.01  FN:4.1.02  UG:06-04-0002 Obj:00000  IR:0000 Snip:14645  Tip:1</t>
  </si>
  <si>
    <t>25000000.00</t>
  </si>
  <si>
    <t>-18560592.52</t>
  </si>
  <si>
    <t>6439407.48</t>
  </si>
  <si>
    <t>Código de la SubFunción</t>
  </si>
  <si>
    <t>Descripcion de la SubFunción</t>
  </si>
  <si>
    <t>Código del Tipo de Cuenta</t>
  </si>
  <si>
    <t>Descripción del Tipo de Cuenta</t>
  </si>
  <si>
    <t>Código del concepto de la cuenta</t>
  </si>
  <si>
    <t>Descripción del concepto de la cuenta</t>
  </si>
  <si>
    <t>Código de la cuenta</t>
  </si>
  <si>
    <t>Descripción de la cuenta</t>
  </si>
  <si>
    <t>Codigo de la SubCuenta</t>
  </si>
  <si>
    <t>Descripción de la SubCuenta</t>
  </si>
  <si>
    <t>Código del auxiliar</t>
  </si>
  <si>
    <t>Descripción del auxiliar</t>
  </si>
  <si>
    <t>Código de la Institución Receptora</t>
  </si>
  <si>
    <t>Nombre de la Institución Receptora</t>
  </si>
  <si>
    <t>Tipo Capital Código</t>
  </si>
  <si>
    <t>Código del proyecto de inversión</t>
  </si>
  <si>
    <t>Nombre del proyecto de inversión</t>
  </si>
  <si>
    <t>Descripción del proyecto de inversion</t>
  </si>
  <si>
    <t>Código Tipología</t>
  </si>
  <si>
    <t>Descripción Tipología</t>
  </si>
  <si>
    <t>Tipo de Actividad Inversión</t>
  </si>
  <si>
    <t>Codigo de la Region</t>
  </si>
  <si>
    <t>Nombre de la Region</t>
  </si>
  <si>
    <t>Codigo de la Provincia</t>
  </si>
  <si>
    <t>Nombre de la Provincia</t>
  </si>
  <si>
    <t>Codigo del Municipio</t>
  </si>
  <si>
    <t>Nombre del Municipio</t>
  </si>
  <si>
    <t>Descripcion de la partida de gasto</t>
  </si>
  <si>
    <t>Valor Inicial</t>
  </si>
  <si>
    <t>Valor Aprobado</t>
  </si>
  <si>
    <t>Valor Vigente</t>
  </si>
  <si>
    <r>
      <rPr>
        <b/>
        <sz val="12.0"/>
      </rPr>
      <t xml:space="preserve">All datasets related to emergencies are downloaded directly from </t>
    </r>
    <r>
      <rPr>
        <b/>
        <color rgb="FF1155CC"/>
        <sz val="12.0"/>
        <u/>
      </rPr>
      <t>https://api.dgcp.gob.do/opendata/emergencia</t>
    </r>
    <r>
      <rPr>
        <b/>
        <sz val="12.0"/>
      </rPr>
      <t xml:space="preserve">
The information in this section corresponds to Procurement and Contract Processes related to emergencies due to climate events.</t>
    </r>
  </si>
  <si>
    <t>These datasets are available for download from the Mapa Inversiones platform in this same format, they do not undergo changes.
Translations are performed automatically with the GOOGLETRANSLATE() function of google spreadsheet</t>
  </si>
  <si>
    <t>https://api.dgcp.gob.do/opendata/emergencia/procesos.csv</t>
  </si>
  <si>
    <t xml:space="preserve">Contiene información de procesos contractuales relacionados con la emergencia del Huracan Fiona		
</t>
  </si>
  <si>
    <t>Id</t>
  </si>
  <si>
    <t>ID_PUBLICACION</t>
  </si>
  <si>
    <t>CODIGO_UNIDAD_COMPRA</t>
  </si>
  <si>
    <t>UNIDAD_COMPRA</t>
  </si>
  <si>
    <t>CODIGO_PROCESO</t>
  </si>
  <si>
    <t>MODALIDAD</t>
  </si>
  <si>
    <t>TIPO_EXCEPCION</t>
  </si>
  <si>
    <t>CARATULA</t>
  </si>
  <si>
    <t>DESCRIPCION</t>
  </si>
  <si>
    <t>ESTADO_PROCESO</t>
  </si>
  <si>
    <t>FASE_PROCESO</t>
  </si>
  <si>
    <t>MONEDA</t>
  </si>
  <si>
    <t>MONTO_ESTIMADO</t>
  </si>
  <si>
    <t>FECHA_PUBLICACION</t>
  </si>
  <si>
    <t>FECHA_ENMIENDA</t>
  </si>
  <si>
    <t>FECHA_FIN_RECEPCION_OFERTAS</t>
  </si>
  <si>
    <t>FECHA_APERTURA_OFERTAS</t>
  </si>
  <si>
    <t>FECHA_ESTIMADA_ADJUDICACION</t>
  </si>
  <si>
    <t>FECHA_SUSCRIPCION</t>
  </si>
  <si>
    <t>FECHA_HABILITACION_OFERENTE</t>
  </si>
  <si>
    <t>DIRIGIDO_MIPYMES</t>
  </si>
  <si>
    <t>DIRIGIDO_MIPYMES_MUJERES</t>
  </si>
  <si>
    <t>PROCESO_LOTIFICADO</t>
  </si>
  <si>
    <t>ADQUISICION_PLANEADA</t>
  </si>
  <si>
    <t>JUSTIFICACION_NO_PACC</t>
  </si>
  <si>
    <t>OBJETO_PROCESO</t>
  </si>
  <si>
    <t>SUBOBJETO_PROCESO</t>
  </si>
  <si>
    <t>DECRETO_PRESIDENCIAL</t>
  </si>
  <si>
    <t>RESOLUCION_MAXIMA_AUTORIDAD</t>
  </si>
  <si>
    <t>ORGANISMO_FINANCIERO_EXTERNO</t>
  </si>
  <si>
    <t>COMPRA_VERDE</t>
  </si>
  <si>
    <t>COMPRA_CONJUNTA</t>
  </si>
  <si>
    <t>FECHA_ULTIMA_MODIFICACION</t>
  </si>
  <si>
    <t>CODIGO_MODALIDAD</t>
  </si>
  <si>
    <t>CancelComment</t>
  </si>
  <si>
    <t>DECRETO</t>
  </si>
  <si>
    <t>FECHA_ACTUALIZACION</t>
  </si>
  <si>
    <t>ID interno del registro</t>
  </si>
  <si>
    <t>DO1.NTC.1104243</t>
  </si>
  <si>
    <t>Corporación Dominicana de Empresas Eléctricas Estatales</t>
  </si>
  <si>
    <t>CDEEE-MAE-PEEN-2022-0004</t>
  </si>
  <si>
    <t>Procesos de Excepción</t>
  </si>
  <si>
    <t>emergencia</t>
  </si>
  <si>
    <t>Adquisición de Seiscientas Mil Toneladas Métricas de Carbón Mineral (600,000 Tm) para la Central Termoeléctrica Punta Catalina</t>
  </si>
  <si>
    <t>Proceso con etapa cerrada</t>
  </si>
  <si>
    <t>Fase del Pliego de Condiciones Específicas</t>
  </si>
  <si>
    <t>40:10.7</t>
  </si>
  <si>
    <t>7/26/2022 22:00</t>
  </si>
  <si>
    <t>8/30/2022 21:00</t>
  </si>
  <si>
    <t>8/15/2022 22:00</t>
  </si>
  <si>
    <t>PACC EN PROCESO</t>
  </si>
  <si>
    <t>Bienes</t>
  </si>
  <si>
    <t>3/19/2024 22:23</t>
  </si>
  <si>
    <t>https://comunidad.comprasdominicana.gob.do//Public/Tendering/OpportunityDetail/Index?noticeUID=DO1.NTC.1104243</t>
  </si>
  <si>
    <t>PEEN</t>
  </si>
  <si>
    <t>Decreto 318-22</t>
  </si>
  <si>
    <t>6/3/24 6:26 AM</t>
  </si>
  <si>
    <t>ID de publicacion</t>
  </si>
  <si>
    <t>DO1.NTC.1138247</t>
  </si>
  <si>
    <t>Ministerio de Obras Públicas y Comunicaciones</t>
  </si>
  <si>
    <t>MOPC-MAE-PEEN-2022-0009</t>
  </si>
  <si>
    <t>ADQUISICION DE MEDICAMENTOS E INSUMOS MEDICOS PARA SER UTILIZADOS EN LAS LABORES DE AYUDA HUMANITARIA, COMO CONSECUENCIA DEL PASO DEL HURACÁN FIONA, EN VIRTUD DEL DECRETO NO. 537-22</t>
  </si>
  <si>
    <t>Proceso desierto</t>
  </si>
  <si>
    <t>00:06.4</t>
  </si>
  <si>
    <t>10/14/2022 20:00</t>
  </si>
  <si>
    <t>10/24/2022 20:00</t>
  </si>
  <si>
    <t>10/17/2022 20:00</t>
  </si>
  <si>
    <t>.</t>
  </si>
  <si>
    <t>3/19/2024 22:38</t>
  </si>
  <si>
    <t>https://comunidad.comprasdominicana.gob.do//Public/Tendering/OpportunityDetail/Index?noticeUID=DO1.NTC.1138247</t>
  </si>
  <si>
    <t>Decreto 537-22</t>
  </si>
  <si>
    <t>Codigo de la Unidad de Compra</t>
  </si>
  <si>
    <t>DO1.NTC.1137859</t>
  </si>
  <si>
    <t>MOPC-MAE-PEEN-2022-0008</t>
  </si>
  <si>
    <t>ADQUISICION DE PINTURAS, BASES Y ACABADOS PARA SER UTILIZADOS EN LAS LABORES DE AYUDA HUMANITARIA, RESCATE, CONSTRUCCIÓN Y RECONSTRUCCIÓN DE LAS OBRAS, COMO CONSECUENCIA DE LOS DAÑOS OCASIONADOS POR E</t>
  </si>
  <si>
    <t>ADQUISICION DE PINTURAS, BASES Y ACABADOS PARA SER UTILIZADOS EN LAS LABORES DE AYUDA HUMANITARIA, RESCATE, CONSTRUCCIÓN Y RECONSTRUCCIÓN DE LAS OBRAS, COMO CONSECUENCIA DE LOS DAÑOS OCASIONADOS POR EL PASO DEL HURACÁN FIONA, EN VIRTUD DEL DECRETO NO. 537-22</t>
  </si>
  <si>
    <t>106221356.5</t>
  </si>
  <si>
    <t>00:05.2</t>
  </si>
  <si>
    <t>10/19/2022 20:00</t>
  </si>
  <si>
    <t>10/27/2022 20:00</t>
  </si>
  <si>
    <t>10/20/2022 20:00</t>
  </si>
  <si>
    <t>https://comunidad.comprasdominicana.gob.do//Public/Tendering/OpportunityDetail/Index?noticeUID=DO1.NTC.1137859</t>
  </si>
  <si>
    <t>Nombre de la Unidad de Compra</t>
  </si>
  <si>
    <t>DO1.NTC.1143964</t>
  </si>
  <si>
    <t>Ministerio Administrativo de la Presidencia</t>
  </si>
  <si>
    <t>MAPRE-MAE-PEEN-2022-0002</t>
  </si>
  <si>
    <t>COMPRA DE MATERIALES DIVERSOS (MADERA, ZINC, CLAVOS) PARA CONSTRUCCIÓN Y RECONSTRUCCIÓN DE VIVIENDAS DE CIUDADANOS VULNERABLES AFECTADOS POR EL PASO DEL HURACÁN FIONA</t>
  </si>
  <si>
    <t>20:05.1</t>
  </si>
  <si>
    <t>10/25/2022 21:00</t>
  </si>
  <si>
    <t>10/27/2022 13:00</t>
  </si>
  <si>
    <t>10/27/2022 13:05</t>
  </si>
  <si>
    <t>https://comunidad.comprasdominicana.gob.do//Public/Tendering/OpportunityDetail/Index?noticeUID=DO1.NTC.1143964</t>
  </si>
  <si>
    <t>Codigo del proceso de compra</t>
  </si>
  <si>
    <t>DO1.NTC.1138712</t>
  </si>
  <si>
    <t>MOPC-MAE-PEEN-2022-0010</t>
  </si>
  <si>
    <t>CONSTRUCCIÓN Y RECONSTRUCCIÓN DE INFRAESTUCTURAS VIALES QUE FUERON AFECTADAS POR EL PASO DEL HURACÁN FIONA</t>
  </si>
  <si>
    <t>Sobres abiertos o aperturados</t>
  </si>
  <si>
    <t>02:35.7</t>
  </si>
  <si>
    <t>10/18/2022 22:00</t>
  </si>
  <si>
    <t>10/19/2022 22:00</t>
  </si>
  <si>
    <t>EMERGENCIA</t>
  </si>
  <si>
    <t>Obras</t>
  </si>
  <si>
    <t>https://comunidad.comprasdominicana.gob.do//Public/Tendering/OpportunityDetail/Index?noticeUID=DO1.NTC.1138712</t>
  </si>
  <si>
    <t>Modalidad del proceso de compra</t>
  </si>
  <si>
    <t>DO1.NTC.1143457</t>
  </si>
  <si>
    <t>Ministerio de la Vivienda, Hábitat y Edificaciones</t>
  </si>
  <si>
    <t>MIVHED-MAE-PEEN-2022-0007</t>
  </si>
  <si>
    <t>CONSTRUCCIÓN Y RECONSTRUCCIÓN DE VIVIENDAS AFECTADAS POR EL HURACÁN FIONA, FASE II</t>
  </si>
  <si>
    <t>816460846.5</t>
  </si>
  <si>
    <t>45:04.5</t>
  </si>
  <si>
    <t>10/18/2022 20:00</t>
  </si>
  <si>
    <t>10/20/2022 15:00</t>
  </si>
  <si>
    <t>10/20/2022 16:00</t>
  </si>
  <si>
    <t>*</t>
  </si>
  <si>
    <t>https://comunidad.comprasdominicana.gob.do//Public/Tendering/OpportunityDetail/Index?noticeUID=DO1.NTC.1143457</t>
  </si>
  <si>
    <t>Tipo de Excepcion ( En este caso todos son de tipo "emergencia" )</t>
  </si>
  <si>
    <t>DO1.NTC.1142164</t>
  </si>
  <si>
    <t>MOPC-MAE-PEEN-2022-0012</t>
  </si>
  <si>
    <t>ADQUISICION DE FARDOS DE AGUA PURIFICADA, PARA SER UTILIZADOS EN LAS LABORES DE AYUDA HUMANITARIA, COMO CONSECUENCIA DE LOS DAÑOS OCASIONADOS POR EL PASO DEL HURACÁN FIONA.</t>
  </si>
  <si>
    <t>ADQUISICION DE FARDOS DE AGUA PURIFICADA, PARA SER UTILIZADOS EN LAS LABORES DE AYUDA HUMANITARIA, COMO CONSECUENCIA DE LOS DAÑOS OCASIONADOS POR EL PASO DEL HURACÁN FIONA, EN VIRTUD DEL DECRETO NO. 537-22”.</t>
  </si>
  <si>
    <t>00:04.9</t>
  </si>
  <si>
    <t>10/14/2022 15:00</t>
  </si>
  <si>
    <t>10/17/2022 15:00</t>
  </si>
  <si>
    <t>10/17/2022 15:30</t>
  </si>
  <si>
    <t>10/26/2022 20:00</t>
  </si>
  <si>
    <t>Emergencia</t>
  </si>
  <si>
    <t>https://comunidad.comprasdominicana.gob.do//Public/Tendering/OpportunityDetail/Index?noticeUID=DO1.NTC.1142164</t>
  </si>
  <si>
    <t>Carátula del proceso de compra</t>
  </si>
  <si>
    <t>DO1.NTC.1142942</t>
  </si>
  <si>
    <t>MOPC-MAE-PEEN-2022-0014</t>
  </si>
  <si>
    <t>ADQUISICION DE EQUIPOS PESADOS, PARA SER UTILIZADOS EN LAS LABORES DE AYUDA HUMANITARIA, RESCATE, CONSTRUCCIÓN Y RECONSTRUCCIÓN DE LAS OBRAS, COMO CONSECUENCIA DE LOS DAÑOS OCASIONADOS POR EL PASO DEL</t>
  </si>
  <si>
    <t>ADQUISICION DE EQUIPOS PESADOS, PARA SER UTILIZADOS EN LAS LABORES DE AYUDA HUMANITARIA, RESCATE, CONSTRUCCIÓN Y RECONSTRUCCIÓN DE LAS OBRAS, COMO CONSECUENCIA DE LOS DAÑOS OCASIONADOS POR EL PASO DEL HURACÁN FIONA, EN VIRTUD DEL DECRETO NO. 537-22</t>
  </si>
  <si>
    <t>00:01.8</t>
  </si>
  <si>
    <t>10/17/2022 21:00</t>
  </si>
  <si>
    <t>10/19/2022 14:00</t>
  </si>
  <si>
    <t>10/19/2022 15:30</t>
  </si>
  <si>
    <t>https://comunidad.comprasdominicana.gob.do//Public/Tendering/OpportunityDetail/Index?noticeUID=DO1.NTC.1142942</t>
  </si>
  <si>
    <t>Descripción del proceso de compra</t>
  </si>
  <si>
    <t>DO1.NTC.1142636</t>
  </si>
  <si>
    <t>Defensa Civil Dominicana</t>
  </si>
  <si>
    <t>DCD-MAE-PEEN-2022-0003</t>
  </si>
  <si>
    <t>ADQUISICIÓN DE EMBARCACIONES Y EQUIPOS PARA FORTALECER LA RESPUESTA MARÍTIMA Y MITIGAR EL IMPACTO CAUSADO POR EL HURACÁN FIONA EN LAS PROVINCIAS DE LA COSTA ESTE.</t>
  </si>
  <si>
    <t>30:55.7</t>
  </si>
  <si>
    <t>10/17/2022 19:30</t>
  </si>
  <si>
    <t>10/18/2022 19:15</t>
  </si>
  <si>
    <t>10/19/2022 14:15</t>
  </si>
  <si>
    <t>10/21/2022 14:30</t>
  </si>
  <si>
    <t>10/25/2022 19:30</t>
  </si>
  <si>
    <t>10/21/2022 15:45</t>
  </si>
  <si>
    <t>No esta estipulado en el PACC</t>
  </si>
  <si>
    <t>https://comunidad.comprasdominicana.gob.do//Public/Tendering/OpportunityDetail/Index?noticeUID=DO1.NTC.1142636</t>
  </si>
  <si>
    <t>Estado del proceso de compra</t>
  </si>
  <si>
    <t>DO1.NTC.1142737</t>
  </si>
  <si>
    <t>MOPC-MAE-PEEN-2022-0013</t>
  </si>
  <si>
    <t>ADQUISICIÓN DE ENSERES DEL HOGAR, PARA SER ENTREGADOS A LOS AFECTADOS, COMO CONSECUENCIA DE LOS DAÑOS OCASIONADOS POR EL PASO DEL HURACÁN FIONA, EN VIRTUD DEL DECRETO NO. 537-22</t>
  </si>
  <si>
    <t>ADQUISICION DE ENSERES DEL HOGAR, PARA SER ENTREGADOS A LOS AFECTADOS, COMO CONSECUENCIA DE LOS DAÑOS OCASIONADOS POR EL PASO DEL HURACÁN FIONA, EN VIRTUD DEL DECRETO NO. 537-22</t>
  </si>
  <si>
    <t>00:01.9</t>
  </si>
  <si>
    <t>10/19/2022 14:30</t>
  </si>
  <si>
    <t>10/31/2022 20:00</t>
  </si>
  <si>
    <t>https://comunidad.comprasdominicana.gob.do//Public/Tendering/OpportunityDetail/Index?noticeUID=DO1.NTC.1142737</t>
  </si>
  <si>
    <t>Fase del proceso de compra</t>
  </si>
  <si>
    <t>DO1.NTC.1143968</t>
  </si>
  <si>
    <t>Empresa Distribuidora de Electricidad del Este, S.A.</t>
  </si>
  <si>
    <t>EDEESTE-MAE-PEEN-2022-0002</t>
  </si>
  <si>
    <t>Compra De Materiales Eléctricos Para Continuar Con La Readecuación Del Servicio Energético En La Región Este Del País Luego Del Paso Del Huracán Fiona</t>
  </si>
  <si>
    <t>00:01.0</t>
  </si>
  <si>
    <t>10/24/2022 22:00</t>
  </si>
  <si>
    <t>10/31/2022 16:00</t>
  </si>
  <si>
    <t>10/31/2022 17:30</t>
  </si>
  <si>
    <t>12/19/2022 22:00</t>
  </si>
  <si>
    <t>ESTE PROCESO NO ES UNA COMPRA PLANEADA. ESTOS MATERIALES SERAN UTILIZADOS PARA REPARAR LOS DAÑOS ELECTRICOS OCASIONADOS DEL HURACAN FIONA.</t>
  </si>
  <si>
    <t>3/19/2024 23:02</t>
  </si>
  <si>
    <t>https://comunidad.comprasdominicana.gob.do//Public/Tendering/OpportunityDetail/Index?noticeUID=DO1.NTC.1143968</t>
  </si>
  <si>
    <t>Moneda del proceso de compra</t>
  </si>
  <si>
    <t>DO1.NTC.1144304</t>
  </si>
  <si>
    <t>Ministerio de Salud Pública y Asistencia Social</t>
  </si>
  <si>
    <t>MISPAS-MAE-PEEN-2022-0004</t>
  </si>
  <si>
    <t>ADQUISICION DE VEHICULOS NECESARIOS PARA GARANTIZAR LA ATENCION SANITARIA Y HUMANITARIA EN LAS ZONAS AFECTADAS POR EL HURACAN FIONA</t>
  </si>
  <si>
    <t>ADQUISICION DE VEHICULOS NECESARIOS PARA GARANTIZAR LA ATENCION SANITARIA Y HUMANITARIA EN LAS ZONAS AFECTADAS POR EL HURACAN FIONA, DECRETO 537-2022</t>
  </si>
  <si>
    <t>05:49.4</t>
  </si>
  <si>
    <t>DECRETO PRESIDENCIAL - EMERGENCIA</t>
  </si>
  <si>
    <t>https://comunidad.comprasdominicana.gob.do//Public/Tendering/OpportunityDetail/Index?noticeUID=DO1.NTC.1144304</t>
  </si>
  <si>
    <t>Monto del proceso de compra</t>
  </si>
  <si>
    <t>DO1.NTC.1144414</t>
  </si>
  <si>
    <t>Instituto Nacional de Recursos Hidráulicos</t>
  </si>
  <si>
    <t>INDRHI-MAE-PEEN-2022-0001</t>
  </si>
  <si>
    <t>REHABILITACIONES, READECUACIONES Y REPARACIONES DE INFRAESTRUCTURAS AFECTADAS POR EL HURACAN FIONA.</t>
  </si>
  <si>
    <t>805505503.5</t>
  </si>
  <si>
    <t>06:23.1</t>
  </si>
  <si>
    <t>10/20/2022 19:00</t>
  </si>
  <si>
    <t>10/21/2022 14:00</t>
  </si>
  <si>
    <t>10/21/2022 14:15</t>
  </si>
  <si>
    <t>10/28/2022 20:00</t>
  </si>
  <si>
    <t>11/14/2022 18:30</t>
  </si>
  <si>
    <t>10/28/2022 20:30</t>
  </si>
  <si>
    <t>PROCESO DE EMERGENCIA.</t>
  </si>
  <si>
    <t>https://comunidad.comprasdominicana.gob.do//Public/Tendering/OpportunityDetail/Index?noticeUID=DO1.NTC.1144414</t>
  </si>
  <si>
    <t>Fecha de Publicación</t>
  </si>
  <si>
    <t>DO1.NTC.1138563</t>
  </si>
  <si>
    <t>MOPC-MAE-PEEN-2022-0011</t>
  </si>
  <si>
    <t>ADQUISICION DE VEHICULOS PESADOS, PARA SER UTILIZADOS EN LAS LABORES DE AYUDA HUMANITARIA, RESCATE, CONSTRUCCIÓN Y RECONSTRUCCIÓN DE LAS OBRAS, COMO CONSECUENCIA DE LOS DAÑOS OCASIONADOS POR EL PASO D</t>
  </si>
  <si>
    <t>ADQUISICION DE VEHICULOS PESADOS, PARA SER UTILIZADOS EN LAS LABORES DE AYUDA HUMANITARIA, RESCATE, CONSTRUCCIÓN Y RECONSTRUCCIÓN DE LAS OBRAS, COMO CONSECUENCIA DE LOS DAÑOS OCASIONADOS POR EL PASO DEL HURACÁN FIONA, EN VIRTUD DEL DECRETO NO. 537-22</t>
  </si>
  <si>
    <t>00:02.8</t>
  </si>
  <si>
    <t>10/20/2022 22:00</t>
  </si>
  <si>
    <t>10/27/2022 19:00</t>
  </si>
  <si>
    <t>10/21/2022 22:00</t>
  </si>
  <si>
    <t>https://comunidad.comprasdominicana.gob.do//Public/Tendering/OpportunityDetail/Index?noticeUID=DO1.NTC.1138563</t>
  </si>
  <si>
    <t>Fecha de Enmienda</t>
  </si>
  <si>
    <t>DO1.NTC.1139855</t>
  </si>
  <si>
    <t>MIVHED-MAE-PEEN-2022-0006</t>
  </si>
  <si>
    <t>“SERVICIOS DE TRANSPORTE DE CARGA Y TRANSPORTE DE PASAJEROS EN OCASIÓN DE LOS TRABAJOS DE REPARACIÓN DE VIVIENDAS AFECTADAS POR EL PASO DEL HURACÁN FIONA”.</t>
  </si>
  <si>
    <t>40:02.3</t>
  </si>
  <si>
    <t>10/14/2022 21:01</t>
  </si>
  <si>
    <t>10/17/2022 20:01</t>
  </si>
  <si>
    <t>10/14/2022 21:02</t>
  </si>
  <si>
    <t>Servicios</t>
  </si>
  <si>
    <t>https://comunidad.comprasdominicana.gob.do//Public/Tendering/OpportunityDetail/Index?noticeUID=DO1.NTC.1139855</t>
  </si>
  <si>
    <t>Fecha de Fin de Recepcion de Ofertas</t>
  </si>
  <si>
    <t>DO1.NTC.1134644</t>
  </si>
  <si>
    <t>MIVHED-MAE-PEEN-2022-0002</t>
  </si>
  <si>
    <t>CONSTRUCCIÓN Y RECONSTRUCCIÓN DE VIVIENDAS AFECTADAS POR EL HURACÁN FIONA</t>
  </si>
  <si>
    <t>00:02.1</t>
  </si>
  <si>
    <t>9/28/2022 20:00</t>
  </si>
  <si>
    <t>9/29/2022 15:00</t>
  </si>
  <si>
    <t>9/29/2022 16:00</t>
  </si>
  <si>
    <t>https://comunidad.comprasdominicana.gob.do//Public/Tendering/OpportunityDetail/Index?noticeUID=DO1.NTC.1134644</t>
  </si>
  <si>
    <t>Fecha de Apertura de Ofertas</t>
  </si>
  <si>
    <t>DO1.NTC.1143365</t>
  </si>
  <si>
    <t>MOPC-MAE-PEEN-2022-0015</t>
  </si>
  <si>
    <t>ADQUISICION DE COMBUSTIBLE DIESEL, PARA SER UTILIZADO EN EL ABASTECIMIENTO DE LOS EQUIPOS, VEHICULOS Y MAQUINARIAS EMPLEADAS EN LAS LABORES DE AYUDA HUMANITARIA, RESCATE, CONSTRUCCIÓN Y RECONSTRUCCIÓN</t>
  </si>
  <si>
    <t>ADQUISICION DE COMBUSTIBLE DIESEL, PARA SER UTILIZADO EN EL ABASTECIMIENTO DE LOS EQUIPOS, VEHICULOS Y MAQUINARIAS EMPLEADAS EN LAS LABORES DE AYUDA HUMANITARIA, RESCATE, CONSTRUCCIÓN Y RECONSTRUCCIÓN DE LAS OBRAS, COMO CONSECUENCIA DE LOS DAÑOS OCASIONADOS POR EL PASO DEL HURACÁN FIONA, EN VIRTUD DEL DECRETO NO. 537-22</t>
  </si>
  <si>
    <t>00:00.9</t>
  </si>
  <si>
    <t>10/18/2022 21:00</t>
  </si>
  <si>
    <t>10/20/2022 14:00</t>
  </si>
  <si>
    <t>https://comunidad.comprasdominicana.gob.do//Public/Tendering/OpportunityDetail/Index?noticeUID=DO1.NTC.1143365</t>
  </si>
  <si>
    <t>Fecha estimada de Adjudicación</t>
  </si>
  <si>
    <t>DO1.NTC.1143530</t>
  </si>
  <si>
    <t>DCD-MAE-PEEN-2022-0006</t>
  </si>
  <si>
    <t>Adquisición de equipos de comunicación, telecomunicación y señalización para fortalecer la capacidad de respuesta y mitigar los daños en las zonas vulnerables de las provincias afectadas.</t>
  </si>
  <si>
    <t>Adquisición de equipos de comunicación, telecomunicación y señalización para fortalecer la capacidad de respuesta y mitigar los daños en las zonas vulnerables de las provincias afectadas por el paso del Huracán Fiona.</t>
  </si>
  <si>
    <t>2342926.86</t>
  </si>
  <si>
    <t>15:04.5</t>
  </si>
  <si>
    <t>10/18/2022 13:35</t>
  </si>
  <si>
    <t>10/19/2022 20:30</t>
  </si>
  <si>
    <t>10/24/2022 18:25</t>
  </si>
  <si>
    <t>10/26/2022 17:45</t>
  </si>
  <si>
    <t>10/24/2022 18:40</t>
  </si>
  <si>
    <t>https://comunidad.comprasdominicana.gob.do//Public/Tendering/OpportunityDetail/Index?noticeUID=DO1.NTC.1143530</t>
  </si>
  <si>
    <t>Fecha de Suscripción</t>
  </si>
  <si>
    <t>DO1.NTC.1145122</t>
  </si>
  <si>
    <t>Sistema Nacional de Atención a Emergencias y Seguridad 9-1-1</t>
  </si>
  <si>
    <t>911-MAE-PEEN-2022-0002</t>
  </si>
  <si>
    <t>ADQUISICIÓN DE BATERÍAS PARA SISTEMAS RESPALDO DE LOS PUNTOS DE CÁMARAS Y BTS DE SITIOS DE RADIOCOMUNICACIONES DEL SISTEMA NACIONAL DE ATENCIÓN A EMERGENCIAS Y SEGURIDAD 9-1-1.</t>
  </si>
  <si>
    <t>ADQUISICIÓN DE BATERÍAS PARA SISTEMAS RESPALDO DE LOS PUNTOS DE CÁMARAS Y BTS DE SITIOS DE RADIOCOMUNICACIONES DEL SISTEMA NACIONAL DE ATENCIÓN A EMERGENCIAS Y SEGURIDAD 9-1-1, TRAS EL PASO DEL HURACÁN FIONA EN EL TERRITORIO NACIONAL, PARA DEL SISTEMA NACIONAL DE ATENCIÓN A EMERGENCIAS Y SEGURIDAD 9-1-1. EN BASE AL DECRETO 589-22 DEL PODER EJECUTIVO.</t>
  </si>
  <si>
    <t>40:55.3</t>
  </si>
  <si>
    <t>10/26/2022 19:00</t>
  </si>
  <si>
    <t>10/26/2022 19:01</t>
  </si>
  <si>
    <t>........................</t>
  </si>
  <si>
    <t>https://comunidad.comprasdominicana.gob.do//Public/Tendering/OpportunityDetail/Index?noticeUID=DO1.NTC.1145122</t>
  </si>
  <si>
    <t>Fecha de Habilitación del Oferente</t>
  </si>
  <si>
    <t>DO1.NTC.1138323</t>
  </si>
  <si>
    <t>Programa de Medicamentos Esenciales</t>
  </si>
  <si>
    <t>PROMESECAL-MAE-PEEN-2022-0001</t>
  </si>
  <si>
    <t>Adquisición de medicamentos para abastecimiento por tormenta Fiona 2022</t>
  </si>
  <si>
    <t>35:03.0</t>
  </si>
  <si>
    <t>10/20/2022 17:00</t>
  </si>
  <si>
    <t>10/18/2022 19:00</t>
  </si>
  <si>
    <t>Emergencia por tormenta Fiona</t>
  </si>
  <si>
    <t>https://comunidad.comprasdominicana.gob.do//Public/Tendering/OpportunityDetail/Index?noticeUID=DO1.NTC.1138323</t>
  </si>
  <si>
    <t>Dirigido a Micro, Pequeña y Medianas Empresas ( SI / NO )</t>
  </si>
  <si>
    <t>DO1.NTC.1145242</t>
  </si>
  <si>
    <t>911-MAE-PEEN-2022-0001</t>
  </si>
  <si>
    <t>ADQUISICIÓN DE HERRAMIENTAS Y MATERIALES PARA LA SOLUCIÓN DE AVERÍAS EN LA PLANTA EXTERNA DE VÍDEO VIGILANCIA, TRAS EL PASO DEL HURACÁN FIONA EN EL TERRITORIO NACIONAL, DEL SISTEMA NACIONAL DE ATENCIÓ</t>
  </si>
  <si>
    <t>ADQUISICIÓN DE HERRAMIENTAS Y MATERIALES PARA LA SOLUCIÓN DE AVERÍAS EN LA PLANTA EXTERNA DE VÍDEO VIGILANCIA, TRAS EL PASO DEL HURACÁN FIONA EN EL TERRITORIO NACIONAL, DEL SISTEMA NACIONAL DE ATENCIÓN A EMERGENCIAS Y SEGURIDAD 9-1-1.</t>
  </si>
  <si>
    <t>13470914.21</t>
  </si>
  <si>
    <t>00:04.4</t>
  </si>
  <si>
    <t>...............</t>
  </si>
  <si>
    <t>3/19/2024 22:52</t>
  </si>
  <si>
    <t>https://comunidad.comprasdominicana.gob.do//Public/Tendering/OpportunityDetail/Index?noticeUID=DO1.NTC.1145242</t>
  </si>
  <si>
    <t>Dirigido a Micro, Pequeña y Medianas Empresas para mujeres ( SI / NO )</t>
  </si>
  <si>
    <t>DO1.NTC.1143848</t>
  </si>
  <si>
    <t>Empresa de Transmisión Eléctrica Dominicana</t>
  </si>
  <si>
    <t>ETED-MAE-PEEN-2022-0004</t>
  </si>
  <si>
    <t>ADQUISICIÓN DE SUMINISTROS Y MATERIALES ELÉCTRICOS PARA LA GERENCIA NACIONAL DE MANTENIMIENTO DE REDES</t>
  </si>
  <si>
    <t>30:02.6</t>
  </si>
  <si>
    <t>10/19/2022 21:00</t>
  </si>
  <si>
    <t>N/P</t>
  </si>
  <si>
    <t>3/19/2024 23:21</t>
  </si>
  <si>
    <t>https://comunidad.comprasdominicana.gob.do//Public/Tendering/OpportunityDetail/Index?noticeUID=DO1.NTC.1143848</t>
  </si>
  <si>
    <t>Proceso lotificado ( SI / NO )</t>
  </si>
  <si>
    <t>DO1.NTC.1136258</t>
  </si>
  <si>
    <t>Comisión Presidencial Apoyo Desarrollo Provincial</t>
  </si>
  <si>
    <t>DESARROLLO PROVINCIA-MAE-PEEN-2022-0001</t>
  </si>
  <si>
    <t>Adquisición de materiales para ser utilizado en la reparación de viviendas afectadas por el huracán Fiona</t>
  </si>
  <si>
    <t>55:05.5</t>
  </si>
  <si>
    <t>9/29/2022 17:00</t>
  </si>
  <si>
    <t>9/30/2022 14:00</t>
  </si>
  <si>
    <t>9/30/2022 15:00</t>
  </si>
  <si>
    <t>No planificada</t>
  </si>
  <si>
    <t>https://comunidad.comprasdominicana.gob.do//Public/Tendering/OpportunityDetail/Index?noticeUID=DO1.NTC.1136258</t>
  </si>
  <si>
    <t>Adquisición planeada ( SI / NO )</t>
  </si>
  <si>
    <t>DO1.NTC.1144707</t>
  </si>
  <si>
    <t>MAPRE-MAE-PEEN-2022-0003</t>
  </si>
  <si>
    <t>COMPRA DE KITS DE ALIMENTOS PARA CIUDADANOS VULNERABLES AFECTADOS POR EL PASO DEL HURACAN FIONA</t>
  </si>
  <si>
    <t>07:49.6</t>
  </si>
  <si>
    <t>10/27/2022 14:00</t>
  </si>
  <si>
    <t>10/27/2022 14:05</t>
  </si>
  <si>
    <t>11/15/2022 16:00</t>
  </si>
  <si>
    <t>https://comunidad.comprasdominicana.gob.do//Public/Tendering/OpportunityDetail/Index?noticeUID=DO1.NTC.1144707</t>
  </si>
  <si>
    <t>DO1.NTC.1143756</t>
  </si>
  <si>
    <t>DCD-MAE-PEEN-2022-0005</t>
  </si>
  <si>
    <t>Adquisición de equipos y herramientas de rescate y protección personal para ser utilizados por los operativos de rescate en la zona este a raíz del impacto del Huracán Fiona.</t>
  </si>
  <si>
    <t>15:05.2</t>
  </si>
  <si>
    <t>10/18/2022 13:25</t>
  </si>
  <si>
    <t>10/19/2022 18:30</t>
  </si>
  <si>
    <t>10/24/2022 17:30</t>
  </si>
  <si>
    <t>10/26/2022 17:30</t>
  </si>
  <si>
    <t>10/24/2022 18:00</t>
  </si>
  <si>
    <t>https://comunidad.comprasdominicana.gob.do//Public/Tendering/OpportunityDetail/Index?noticeUID=DO1.NTC.1143756</t>
  </si>
  <si>
    <t>Objeto del proceso</t>
  </si>
  <si>
    <t>SubObjeto del proceso</t>
  </si>
  <si>
    <t>Decreto Presidencial ( SI / NO )</t>
  </si>
  <si>
    <t>Fecha de Ultima Modificación</t>
  </si>
  <si>
    <t>URL del proceso</t>
  </si>
  <si>
    <t>Codigo de la Modalidad</t>
  </si>
  <si>
    <t>Comentario de cancelacion</t>
  </si>
  <si>
    <t>Codigo del Decreto</t>
  </si>
  <si>
    <t>Fecha de Actualización</t>
  </si>
  <si>
    <t>https://api.dgcp.gob.do/opendata/emergencia/contratos.csv</t>
  </si>
  <si>
    <t xml:space="preserve">Contiene información de los contratos relacionados con la Emergencia por el Huracán Fiona		
</t>
  </si>
  <si>
    <t>ID_ADJUDICACION</t>
  </si>
  <si>
    <t>ID_OFERTA</t>
  </si>
  <si>
    <t>ID_EVALUACION_OFERTA</t>
  </si>
  <si>
    <t>CODIGO_CONTRATO</t>
  </si>
  <si>
    <t>RAZON_SOCIAL</t>
  </si>
  <si>
    <t>OBJETO_CONTRATO</t>
  </si>
  <si>
    <t>ESTADO_ADJUDICACION</t>
  </si>
  <si>
    <t>ESTADO_CONTRATO</t>
  </si>
  <si>
    <t>FECHA_ADJUDICACION</t>
  </si>
  <si>
    <t>FECHA_CONFIRMACION_ADJUDICACION</t>
  </si>
  <si>
    <t>FECHA_APROBACION</t>
  </si>
  <si>
    <t>FECHA_NOTIFICACION_PROVEEDOR</t>
  </si>
  <si>
    <t>FECHA_FIRMA_CONTRATO</t>
  </si>
  <si>
    <t>FECHA_INICIO_CONTRATO</t>
  </si>
  <si>
    <t>FECHA_FIN_CONTRATO</t>
  </si>
  <si>
    <t>FECHA_INICIO_ENTREGA</t>
  </si>
  <si>
    <t>FECHA_FIN_ENTREGA</t>
  </si>
  <si>
    <t>VALOR_CONTRATADO</t>
  </si>
  <si>
    <t>METODO_PAGO</t>
  </si>
  <si>
    <t>PLAZO_PAGO_FACTURA</t>
  </si>
  <si>
    <t>URL_CONTRATO</t>
  </si>
  <si>
    <t>RAZON_SOCIAL_RPE</t>
  </si>
  <si>
    <t>NUMERO_DOCUMENTO</t>
  </si>
  <si>
    <t>TIPO_DOCUMENTO</t>
  </si>
  <si>
    <t>GENERO</t>
  </si>
  <si>
    <t>TIPO_PERSONA</t>
  </si>
  <si>
    <t>FORMA_JURIDICA</t>
  </si>
  <si>
    <t>ES_MIPYME</t>
  </si>
  <si>
    <t>CERTIFICACION_MICM</t>
  </si>
  <si>
    <t>CLASIFICACION_EMPRESARIAL</t>
  </si>
  <si>
    <t>CLASIFICACION_EMPRESARIAL_2</t>
  </si>
  <si>
    <t>MUNICIPIO</t>
  </si>
  <si>
    <t>PROVINCIA</t>
  </si>
  <si>
    <t>REGION</t>
  </si>
  <si>
    <t>MACROREGION</t>
  </si>
  <si>
    <t>PAIS</t>
  </si>
  <si>
    <t>CLASIFICACION_RPE</t>
  </si>
  <si>
    <t>DETALLE_EXCEPCION</t>
  </si>
  <si>
    <t>CONTRATO_MIPYME</t>
  </si>
  <si>
    <t>Código identificador de la unidad de compra</t>
  </si>
  <si>
    <t>Plan Asistencia Social de la Presidencia</t>
  </si>
  <si>
    <t>PASP-MAE-PEEN-2022-0001</t>
  </si>
  <si>
    <t>DO1.AWD.1250301</t>
  </si>
  <si>
    <t>DO1.RPL.3200326</t>
  </si>
  <si>
    <t>DO1.RANL.1232326</t>
  </si>
  <si>
    <t>PASP-2022-00100</t>
  </si>
  <si>
    <t>Forli Import, SRL</t>
  </si>
  <si>
    <t>ADQUISICIÓN DE ALIMENTOS Y MATERIAL DE EMPAQUE PARA LA CREACION DE RACIONES ALIMENTICIAS, ENSERES DEL HOGAR Y MATERIALES DE CONSTRUCCION PARA SER UTILIZADOS EN AYUDAS SOCIALES DE LA INSTITUCION.</t>
  </si>
  <si>
    <t>Confirmada y enviada</t>
  </si>
  <si>
    <t>10/3/22 10:12 PM</t>
  </si>
  <si>
    <t>10/21/22 12:59 PM</t>
  </si>
  <si>
    <t>11/8/22 12:25 PM</t>
  </si>
  <si>
    <t>11/7/22 11:00 AM</t>
  </si>
  <si>
    <t>12/31/22 10:00 AM</t>
  </si>
  <si>
    <t>Transferencia</t>
  </si>
  <si>
    <t>60 días</t>
  </si>
  <si>
    <t>26:00.2</t>
  </si>
  <si>
    <t>https://comunidad.comprasdominicana.gob.do/Public/Tendering/ContractDetailView/Index?UniqueIdentifier=DO1.PCCNTR.1432203&amp;AwardContractDetailId=394287</t>
  </si>
  <si>
    <t>https://comunidad.comprasdominicana.gob.do//Public/Tendering/OpportunityDetail/Index?noticeUID=DO1.NTC.1133101</t>
  </si>
  <si>
    <t>RNC</t>
  </si>
  <si>
    <t>Masculino</t>
  </si>
  <si>
    <t>Persona Jurídica</t>
  </si>
  <si>
    <t>Sociedades Comerciales</t>
  </si>
  <si>
    <t>No clasificada</t>
  </si>
  <si>
    <t>Empresa no acogida a la Ley 187-17</t>
  </si>
  <si>
    <t>SURESTE</t>
  </si>
  <si>
    <t>REPÚBLICA DOMINICANA</t>
  </si>
  <si>
    <t>Nombre de la Institución o Unidad de compra</t>
  </si>
  <si>
    <t>DO1.RPL.3200318</t>
  </si>
  <si>
    <t>DO1.RANL.1232318</t>
  </si>
  <si>
    <t>PASP-2022-00089</t>
  </si>
  <si>
    <t>Araluna, SRL</t>
  </si>
  <si>
    <t>Activo</t>
  </si>
  <si>
    <t>11/8/22 2:32 PM</t>
  </si>
  <si>
    <t>11/8/22 10:00 AM</t>
  </si>
  <si>
    <t>33:41.3</t>
  </si>
  <si>
    <t>https://comunidad.comprasdominicana.gob.do/Public/Tendering/ContractDetailView/Index?UniqueIdentifier=DO1.PCCNTR.1432301&amp;AwardContractDetailId=394276</t>
  </si>
  <si>
    <t>Pequeña Empresa</t>
  </si>
  <si>
    <t>MIPYME Certificada</t>
  </si>
  <si>
    <t>Pequeña empresa</t>
  </si>
  <si>
    <t>Código identificador del proceso de contratación</t>
  </si>
  <si>
    <t>DO1.RPL.3200325</t>
  </si>
  <si>
    <t>DO1.RANL.1232325</t>
  </si>
  <si>
    <t>PASP-2022-00099</t>
  </si>
  <si>
    <t>Rancho Colao, SRL</t>
  </si>
  <si>
    <t>11/10/22 8:41 AM</t>
  </si>
  <si>
    <t>11/8/22 3:16 PM</t>
  </si>
  <si>
    <t>11/9/22 10:00 AM</t>
  </si>
  <si>
    <t>12/31/22 12:00 AM</t>
  </si>
  <si>
    <t>59:37.3</t>
  </si>
  <si>
    <t>https://comunidad.comprasdominicana.gob.do/Public/Tendering/ContractDetailView/Index?UniqueIdentifier=DO1.PCCNTR.1432202&amp;AwardContractDetailId=394286</t>
  </si>
  <si>
    <t>No Especificada</t>
  </si>
  <si>
    <t>DO1.RPL.3200328</t>
  </si>
  <si>
    <t>DO1.RANL.1232328</t>
  </si>
  <si>
    <t>PASP-2022-00103</t>
  </si>
  <si>
    <t>Veras Agramonte Investments, SRL</t>
  </si>
  <si>
    <t>:ADQUISICIÓN DE ALIMENTOS Y MATERIAL DE EMPAQUE PARA LA CREACION DE RACIONES ALIMENTICIAS, ENSERES DEL HOGAR Y MATERIALES DE CONSTRUCCION PARA SER UTILIZADOS EN AYUDAS SOCIALES DE LA INSTITUCION.</t>
  </si>
  <si>
    <t>11/8/22 11:16 AM</t>
  </si>
  <si>
    <t>11/7/22 9:00 AM</t>
  </si>
  <si>
    <t>12/31/22 9:00 AM</t>
  </si>
  <si>
    <t>11/7/22 10:00 AM</t>
  </si>
  <si>
    <t>120 días</t>
  </si>
  <si>
    <t>37:53.5</t>
  </si>
  <si>
    <t>https://comunidad.comprasdominicana.gob.do/Public/Tendering/ContractDetailView/Index?UniqueIdentifier=DO1.PCCNTR.1432206&amp;AwardContractDetailId=394289</t>
  </si>
  <si>
    <t>Femenino</t>
  </si>
  <si>
    <t>DO1.RPL.3200319</t>
  </si>
  <si>
    <t>DO1.RANL.1232319</t>
  </si>
  <si>
    <t>PASP-2022-00091</t>
  </si>
  <si>
    <t>Casa Paco, SA</t>
  </si>
  <si>
    <t>11/8/22 2:15 PM</t>
  </si>
  <si>
    <t>42:04.1</t>
  </si>
  <si>
    <t>https://comunidad.comprasdominicana.gob.do/Public/Tendering/ContractDetailView/Index?UniqueIdentifier=DO1.PCCNTR.1432303&amp;AwardContractDetailId=394278</t>
  </si>
  <si>
    <t>SANTO DOMINGO ESTE</t>
  </si>
  <si>
    <t>DO1.RPL.3186650</t>
  </si>
  <si>
    <t>DO1.RANL.1228298</t>
  </si>
  <si>
    <t>PASP-2022-00090</t>
  </si>
  <si>
    <t>Factoría de Arroz Luis Martínez, SRL</t>
  </si>
  <si>
    <t>11/15/22 12:37 PM</t>
  </si>
  <si>
    <t>11/15/22 12:09 PM</t>
  </si>
  <si>
    <t>11/16/22 11:00 AM</t>
  </si>
  <si>
    <t>39:52.3</t>
  </si>
  <si>
    <t>https://comunidad.comprasdominicana.gob.do/Public/Tendering/ContractDetailView/Index?UniqueIdentifier=DO1.PCCNTR.1432302&amp;AwardContractDetailId=394277</t>
  </si>
  <si>
    <t>Gran empresa</t>
  </si>
  <si>
    <t>COTUÍ</t>
  </si>
  <si>
    <t>SÁNCHEZ RAMÍREZ</t>
  </si>
  <si>
    <t>Código identificador del contrato</t>
  </si>
  <si>
    <t>DO1.RPL.3183204</t>
  </si>
  <si>
    <t>DO1.RANL.1228248</t>
  </si>
  <si>
    <t>PASP-2022-00102</t>
  </si>
  <si>
    <t>Brazoria Corporation, SRL</t>
  </si>
  <si>
    <t>11/10/22 8:49 AM</t>
  </si>
  <si>
    <t>11/8/22 3:13 PM</t>
  </si>
  <si>
    <t>46:16.1</t>
  </si>
  <si>
    <t>https://comunidad.comprasdominicana.gob.do/Public/Tendering/ContractDetailView/Index?UniqueIdentifier=DO1.PCCNTR.1432205&amp;AwardContractDetailId=394288</t>
  </si>
  <si>
    <t>Mediana Empresa</t>
  </si>
  <si>
    <t>PEDRO BRAND</t>
  </si>
  <si>
    <t>Mediana empresa</t>
  </si>
  <si>
    <t>Número de RPE</t>
  </si>
  <si>
    <t>DO1.RPL.3200322</t>
  </si>
  <si>
    <t>DO1.RANL.1232322</t>
  </si>
  <si>
    <t>PASP-2022-00096</t>
  </si>
  <si>
    <t>Astapor Catering, SRL</t>
  </si>
  <si>
    <t>11/10/22 8:22 AM</t>
  </si>
  <si>
    <t>11/9/22 11:00 AM</t>
  </si>
  <si>
    <t>12/31/22 11:00 AM</t>
  </si>
  <si>
    <t>29:23.1</t>
  </si>
  <si>
    <t>https://comunidad.comprasdominicana.gob.do/Public/Tendering/ContractDetailView/Index?UniqueIdentifier=DO1.PCCNTR.1432308&amp;AwardContractDetailId=394283</t>
  </si>
  <si>
    <t>Micro Empresa</t>
  </si>
  <si>
    <t>Micro empresa</t>
  </si>
  <si>
    <t>Razón social del proveedor de los articulos</t>
  </si>
  <si>
    <t>DO1.RPL.3200320</t>
  </si>
  <si>
    <t>DO1.RANL.1232320</t>
  </si>
  <si>
    <t>PASP-2022-00094</t>
  </si>
  <si>
    <t>Colchoneria Fama, SRL</t>
  </si>
  <si>
    <t>11/8/22 12:36 PM</t>
  </si>
  <si>
    <t>48:35.8</t>
  </si>
  <si>
    <t>https://comunidad.comprasdominicana.gob.do/Public/Tendering/ContractDetailView/Index?UniqueIdentifier=DO1.PCCNTR.1432306&amp;AwardContractDetailId=394281</t>
  </si>
  <si>
    <t>Clasificación de la contratación (Ej: Obras, Bienes, Servicios)</t>
  </si>
  <si>
    <t>DCD-MAE-PEEN-2022-0002</t>
  </si>
  <si>
    <t>DO1.AWD.1254017</t>
  </si>
  <si>
    <t>DO1.RPL.3204894</t>
  </si>
  <si>
    <t>DO1.RANL.1234901</t>
  </si>
  <si>
    <t>DCD-2022-00261</t>
  </si>
  <si>
    <t>CID Autos, SRL</t>
  </si>
  <si>
    <t>ADQUISICIÓN DE VEHÍCULOS PARA FORTALECER LA RESPUESTA Y MITIGAR EL IMPACTO CAUSADO POR EL HURACAN FIONA EN LAS PROVINCIAS EL SEIBO Y MONTE PLATA.</t>
  </si>
  <si>
    <t>10/10/22 12:42 PM</t>
  </si>
  <si>
    <t>10/10/22 1:01 PM</t>
  </si>
  <si>
    <t>11/9/22 1:18 PM</t>
  </si>
  <si>
    <t>11/9/22 1:17 PM</t>
  </si>
  <si>
    <t>11/9/22 2:00 PM</t>
  </si>
  <si>
    <t>12/31/22 12:00 PM</t>
  </si>
  <si>
    <t>30 días</t>
  </si>
  <si>
    <t>46:36.1</t>
  </si>
  <si>
    <t>https://comunidad.comprasdominicana.gob.do/Public/Tendering/ContractDetailView/Index?UniqueIdentifier=DO1.PCCNTR.1438214&amp;AwardContractDetailId=391026</t>
  </si>
  <si>
    <t>https://comunidad.comprasdominicana.gob.do//Public/Tendering/OpportunityDetail/Index?noticeUID=DO1.NTC.1136639</t>
  </si>
  <si>
    <t>Descripción del objeto de la contratación</t>
  </si>
  <si>
    <t>DO1.RPL.3186652</t>
  </si>
  <si>
    <t>DO1.RANL.1228290</t>
  </si>
  <si>
    <t>PASP-2022-00092</t>
  </si>
  <si>
    <t>Factoría José Galan, SRL</t>
  </si>
  <si>
    <t>11/8/22 2:19 PM</t>
  </si>
  <si>
    <t>44:16.8</t>
  </si>
  <si>
    <t>https://comunidad.comprasdominicana.gob.do/Public/Tendering/ContractDetailView/Index?UniqueIdentifier=DO1.PCCNTR.1432304&amp;AwardContractDetailId=394279</t>
  </si>
  <si>
    <t>SAN FCO. DE MACORÍS</t>
  </si>
  <si>
    <t>DUARTE</t>
  </si>
  <si>
    <t>NORTE</t>
  </si>
  <si>
    <t>DO1.RPL.3200321</t>
  </si>
  <si>
    <t>DO1.RANL.1232321</t>
  </si>
  <si>
    <t>PASP-2022-00095</t>
  </si>
  <si>
    <t>Briquetas Nacionales, SRL</t>
  </si>
  <si>
    <t>11/16/22 2:51 PM</t>
  </si>
  <si>
    <t>11/16/22 12:48 PM</t>
  </si>
  <si>
    <t>51:04.7</t>
  </si>
  <si>
    <t>https://comunidad.comprasdominicana.gob.do/Public/Tendering/ContractDetailView/Index?UniqueIdentifier=DO1.PCCNTR.1432307&amp;AwardContractDetailId=394282</t>
  </si>
  <si>
    <t>Descripción del estado del contrato</t>
  </si>
  <si>
    <t>DO1.RPL.3200323</t>
  </si>
  <si>
    <t>DO1.RANL.1232323</t>
  </si>
  <si>
    <t>PASP-2022-00097</t>
  </si>
  <si>
    <t>Comercial La Redención, SRL</t>
  </si>
  <si>
    <t>11/8/22 12:28 PM</t>
  </si>
  <si>
    <t>54:16.6</t>
  </si>
  <si>
    <t>https://comunidad.comprasdominicana.gob.do/Public/Tendering/ContractDetailView/Index?UniqueIdentifier=DO1.PCCNTR.1432309&amp;AwardContractDetailId=394284</t>
  </si>
  <si>
    <t>SANTO DOMINGO OESTE</t>
  </si>
  <si>
    <t>Fecha de adjudicación del contrato</t>
  </si>
  <si>
    <t>DO1.RPL.3200333</t>
  </si>
  <si>
    <t>DO1.RANL.1232333</t>
  </si>
  <si>
    <t>PASP-2022-00108</t>
  </si>
  <si>
    <t>Emcharlotte, SRL</t>
  </si>
  <si>
    <t>11/16/22 2:48 PM</t>
  </si>
  <si>
    <t>11/16/22 12:49 PM</t>
  </si>
  <si>
    <t>11/16/22 10:00 AM</t>
  </si>
  <si>
    <t>48:16.3</t>
  </si>
  <si>
    <t>https://comunidad.comprasdominicana.gob.do/Public/Tendering/ContractDetailView/Index?UniqueIdentifier=DO1.PCCNTR.1432404&amp;AwardContractDetailId=394291</t>
  </si>
  <si>
    <t>VILLA BISONÓ (NAVARRETE)</t>
  </si>
  <si>
    <t>SANTIAGO</t>
  </si>
  <si>
    <t>CIBAO NORTE</t>
  </si>
  <si>
    <t>MIPYME Mujer - Micro empresa</t>
  </si>
  <si>
    <t>DO1.RPL.3200335</t>
  </si>
  <si>
    <t>DO1.RANL.1232335</t>
  </si>
  <si>
    <t>PASP-2022-00110</t>
  </si>
  <si>
    <t>Suplidores Del Caribe (Suplidelca), SRL</t>
  </si>
  <si>
    <t>11/21/22 12:54 PM</t>
  </si>
  <si>
    <t>11/23/22 10:00 AM</t>
  </si>
  <si>
    <t>56:34.7</t>
  </si>
  <si>
    <t>https://comunidad.comprasdominicana.gob.do/Public/Tendering/ContractDetailView/Index?UniqueIdentifier=DO1.PCCNTR.1432406&amp;AwardContractDetailId=394292</t>
  </si>
  <si>
    <t>Fecha de aprobación del contrato</t>
  </si>
  <si>
    <t>DO1.RPL.3200337</t>
  </si>
  <si>
    <t>DO1.RANL.1232337</t>
  </si>
  <si>
    <t>PASP-2022-00112</t>
  </si>
  <si>
    <t>Grancasa, SRL</t>
  </si>
  <si>
    <t>ADQUISICIÓN DE ALIMENTOS Y MATERIAL DE EMPAQUE PARA LA CREACION DE RACIONES ALIMENTICIAS, ENSERES DEL HOGAR Y MATERIALES DE CONSTRUCCION PARA SER UTILIZADOS EN AYUDAS SOCIALES DE LA INSTITUCION</t>
  </si>
  <si>
    <t>11/10/22 8:35 AM</t>
  </si>
  <si>
    <t>35:56.4</t>
  </si>
  <si>
    <t>https://comunidad.comprasdominicana.gob.do/Public/Tendering/ContractDetailView/Index?UniqueIdentifier=DO1.PCCNTR.1432408&amp;AwardContractDetailId=394293</t>
  </si>
  <si>
    <t>DO1.RPL.3200324</t>
  </si>
  <si>
    <t>DO1.RANL.1232324</t>
  </si>
  <si>
    <t>PASP-2022-00098</t>
  </si>
  <si>
    <t>Comercial Corazón, SRL</t>
  </si>
  <si>
    <t>11/8/22 2:26 PM</t>
  </si>
  <si>
    <t>57:25.9</t>
  </si>
  <si>
    <t>https://comunidad.comprasdominicana.gob.do/Public/Tendering/ContractDetailView/Index?UniqueIdentifier=DO1.PCCNTR.1432310&amp;AwardContractDetailId=394285</t>
  </si>
  <si>
    <t>DO1.RPL.3187405</t>
  </si>
  <si>
    <t>DO1.RANL.1228281</t>
  </si>
  <si>
    <t>PASP-2022-00093</t>
  </si>
  <si>
    <t>J. Rafael Núñez P, SRL</t>
  </si>
  <si>
    <t>11/7/22 4:18 PM</t>
  </si>
  <si>
    <t>11/7/22 4:15 PM</t>
  </si>
  <si>
    <t>12/31/22 8:00 AM</t>
  </si>
  <si>
    <t>45:56.0</t>
  </si>
  <si>
    <t>https://comunidad.comprasdominicana.gob.do/Public/Tendering/ContractDetailView/Index?UniqueIdentifier=DO1.PCCNTR.1432305&amp;AwardContractDetailId=394280</t>
  </si>
  <si>
    <t>Fecha de inicio del contrato</t>
  </si>
  <si>
    <t>DO1.RPL.3200330</t>
  </si>
  <si>
    <t>DO1.RANL.1232330</t>
  </si>
  <si>
    <t>PASP-2022-00105</t>
  </si>
  <si>
    <t>Comerdom, SRL</t>
  </si>
  <si>
    <t>11/6/22 11:56 AM</t>
  </si>
  <si>
    <t>11/6/22 11:52 AM</t>
  </si>
  <si>
    <t>55:04.7</t>
  </si>
  <si>
    <t>https://comunidad.comprasdominicana.gob.do/Public/Tendering/ContractDetailView/Index?UniqueIdentifier=DO1.PCCNTR.1432401&amp;AwardContractDetailId=394290</t>
  </si>
  <si>
    <t>Fecha de finalización del contrato</t>
  </si>
  <si>
    <t>EDEESTE-MAE-PEEN-2022-0001</t>
  </si>
  <si>
    <t>DO1.AWD.1245555</t>
  </si>
  <si>
    <t>DO1.RPL.3175731</t>
  </si>
  <si>
    <t>DO1.RANL.1223573</t>
  </si>
  <si>
    <t>EDEESTE-2022-00071</t>
  </si>
  <si>
    <t>Protección Integral SOS, SRL</t>
  </si>
  <si>
    <t>Compra de Equipos de Protección - Plan de Contingencia emergencia Huracán Fiona</t>
  </si>
  <si>
    <t>9/26/22 4:23 PM</t>
  </si>
  <si>
    <t>9/26/22 4:45 PM</t>
  </si>
  <si>
    <t>11/28/22 2:30 PM</t>
  </si>
  <si>
    <t>11/28/22 2:29 PM</t>
  </si>
  <si>
    <t>11/30/22 12:00 AM</t>
  </si>
  <si>
    <t>11/30/22 12:00 PM</t>
  </si>
  <si>
    <t>12/30/22 12:00 AM</t>
  </si>
  <si>
    <t>00:42.2</t>
  </si>
  <si>
    <t>https://comunidad.comprasdominicana.gob.do/Public/Tendering/ContractDetailView/Index?UniqueIdentifier=DO1.PCCNTR.1426156&amp;AwardContractDetailId=386388</t>
  </si>
  <si>
    <t>https://comunidad.comprasdominicana.gob.do//Public/Tendering/OpportunityDetail/Index?noticeUID=DO1.NTC.1132427</t>
  </si>
  <si>
    <t>DO1.AWD.1250815</t>
  </si>
  <si>
    <t>DO1.RPL.3194303</t>
  </si>
  <si>
    <t>DO1.RANL.1231134</t>
  </si>
  <si>
    <t>DESARROLLO PROVINCIA-2022-00042</t>
  </si>
  <si>
    <t>Empresas Integradas, SAS</t>
  </si>
  <si>
    <t>10/4/22 11:37 AM</t>
  </si>
  <si>
    <t>10/4/22 11:59 AM</t>
  </si>
  <si>
    <t>10/6/22 11:59 AM</t>
  </si>
  <si>
    <t>10/7/22 12:00 AM</t>
  </si>
  <si>
    <t>90 días</t>
  </si>
  <si>
    <t>32:34.3</t>
  </si>
  <si>
    <t>https://comunidad.comprasdominicana.gob.do/Public/Tendering/ContractDetailView/Index?UniqueIdentifier=DO1.PCCNTR.1432727&amp;AwardContractDetailId=388627</t>
  </si>
  <si>
    <t>DO1.RPL.3202017</t>
  </si>
  <si>
    <t>DO1.RANL.1232918</t>
  </si>
  <si>
    <t>DESARROLLO PROVINCIA-2022-00041</t>
  </si>
  <si>
    <t>Suplidora Rosalian, SRL</t>
  </si>
  <si>
    <t>10/6/22 10:37 AM</t>
  </si>
  <si>
    <t>11/2/22 8:48 AM</t>
  </si>
  <si>
    <t>27:31.4</t>
  </si>
  <si>
    <t>https://comunidad.comprasdominicana.gob.do/Public/Tendering/ContractDetailView/Index?UniqueIdentifier=DO1.PCCNTR.1432628&amp;AwardContractDetailId=388626</t>
  </si>
  <si>
    <t>Simbolo de moneda en la que se celabra el contrato (Ej: DOP, USD)</t>
  </si>
  <si>
    <t>DO1.RPL.3195513</t>
  </si>
  <si>
    <t>DO1.RANL.1231230</t>
  </si>
  <si>
    <t>DESARROLLO PROVINCIA-2022-00043</t>
  </si>
  <si>
    <t>Supligensa, SRL</t>
  </si>
  <si>
    <t>10/6/22 3:26 PM</t>
  </si>
  <si>
    <t>10/6/22 3:23 PM</t>
  </si>
  <si>
    <t>26:30.0</t>
  </si>
  <si>
    <t>https://comunidad.comprasdominicana.gob.do/Public/Tendering/ContractDetailView/Index?UniqueIdentifier=DO1.PCCNTR.1432728&amp;AwardContractDetailId=388628</t>
  </si>
  <si>
    <t>Valor contratado</t>
  </si>
  <si>
    <t>DO1.RPL.3195487</t>
  </si>
  <si>
    <t>DO1.RANL.1231289</t>
  </si>
  <si>
    <t>DESARROLLO PROVINCIA-2022-00040</t>
  </si>
  <si>
    <t>Ferretería &amp; Pinturas Larimar, SRL</t>
  </si>
  <si>
    <t>10/6/22 9:59 AM</t>
  </si>
  <si>
    <t>29:07.0</t>
  </si>
  <si>
    <t>https://comunidad.comprasdominicana.gob.do/Public/Tendering/ContractDetailView/Index?UniqueIdentifier=DO1.PCCNTR.1432627&amp;AwardContractDetailId=388625</t>
  </si>
  <si>
    <t>SANTO DOMINGO NORTE</t>
  </si>
  <si>
    <t>Descripción del método de pago del contrato</t>
  </si>
  <si>
    <t>DO1.RPL.3215103</t>
  </si>
  <si>
    <t>DO1.RANL.1238503</t>
  </si>
  <si>
    <t>PASP-2022-00129</t>
  </si>
  <si>
    <t>Tingley Business, SRL</t>
  </si>
  <si>
    <t>11/8/22 2:22 PM</t>
  </si>
  <si>
    <t>11/8/22 2:21 PM</t>
  </si>
  <si>
    <t>23:17.8</t>
  </si>
  <si>
    <t>https://comunidad.comprasdominicana.gob.do/Public/Tendering/ContractDetailView/Index?UniqueIdentifier=DO1.PCCNTR.1438916&amp;AwardContractDetailId=394303</t>
  </si>
  <si>
    <t>Descripción del plazo de pago de la facturación</t>
  </si>
  <si>
    <t>8/9/23 2:26 PM</t>
  </si>
  <si>
    <t>Fecha de la ultima modificación de la información del contrato</t>
  </si>
  <si>
    <t>URL del contrato en la página de contratación pública</t>
  </si>
  <si>
    <t>Descripción del estado del proceso de contratación</t>
  </si>
  <si>
    <t>Códificación de la modalidad de contratación</t>
  </si>
  <si>
    <t>Descripción de la modalidad de contratación (Ejemplo: Procesos de Excepción)</t>
  </si>
  <si>
    <t>Número de documento de identificación del proveedor</t>
  </si>
  <si>
    <t>Tipo de documento de identidad del proveedor</t>
  </si>
  <si>
    <t>Identidad de género del proveedor</t>
  </si>
  <si>
    <t>Tipo de persona (Ejemplo: Natural o Jurídica)</t>
  </si>
  <si>
    <t>Identificador si es MIPYME (Si o No)</t>
  </si>
  <si>
    <t>Clasificación empresarial de nivel 1</t>
  </si>
  <si>
    <t>Clasificación empresarial de nivel 2</t>
  </si>
  <si>
    <t>Nombre del municipio</t>
  </si>
  <si>
    <t>Nombre de la provincia</t>
  </si>
  <si>
    <t>Nombre de la región</t>
  </si>
  <si>
    <t>Nombre de la Macroregión</t>
  </si>
  <si>
    <t>Descripción de clasificación MICM</t>
  </si>
  <si>
    <t>Descripción del detalle de la excepción</t>
  </si>
  <si>
    <t>https://api.dgcp.gob.do/opendata/emergencia/articulos_procesos.csv</t>
  </si>
  <si>
    <t>Contiene información de los articulos relacionados en un proceso de contratación</t>
  </si>
  <si>
    <t>ID_ARTICULO</t>
  </si>
  <si>
    <t>SUBCLASE_UNSPSC</t>
  </si>
  <si>
    <t>DESCRIPCION_ARTICULO</t>
  </si>
  <si>
    <t>CUENTA_PRESUPUESTARIA</t>
  </si>
  <si>
    <t>CODIGO_UNIDAD_MEDIDA</t>
  </si>
  <si>
    <t>DESCRIPCION_UNIDAD_MEDIDA</t>
  </si>
  <si>
    <t>DESCRIPCION_USUARIO</t>
  </si>
  <si>
    <t>CANTIDAD</t>
  </si>
  <si>
    <t>PRECIO_UNITARIO_ESTIMADO</t>
  </si>
  <si>
    <t>PRECIO_TOTAL_ESTIMADO</t>
  </si>
  <si>
    <t xml:space="preserve">Código identificador del proceso de contratación
</t>
  </si>
  <si>
    <t>Cinta de vinilo</t>
  </si>
  <si>
    <t>2.3.9.9.05</t>
  </si>
  <si>
    <t>UD</t>
  </si>
  <si>
    <t>Unidad</t>
  </si>
  <si>
    <t>Tape de Goma</t>
  </si>
  <si>
    <t>6/4/24 2:08 AM</t>
  </si>
  <si>
    <t>Estado del Proceso</t>
  </si>
  <si>
    <t>Conectores estancos de cables</t>
  </si>
  <si>
    <t>2.3.9.6.01</t>
  </si>
  <si>
    <t>Terminal Prensaestopas ¾”</t>
  </si>
  <si>
    <t>47.2</t>
  </si>
  <si>
    <t>Identificador del articulo en el catalogo de articulos</t>
  </si>
  <si>
    <t>Removedores de pelusa</t>
  </si>
  <si>
    <t>Lanillas Microfibras ultra suave color azul</t>
  </si>
  <si>
    <t xml:space="preserve">Identificador de la subclase en el catálogo de la UNSPSC
</t>
  </si>
  <si>
    <t>Conectores de cables eléctricos</t>
  </si>
  <si>
    <t>Conector para varilla de Tierra</t>
  </si>
  <si>
    <t>106.2</t>
  </si>
  <si>
    <t>Descripción del articulo</t>
  </si>
  <si>
    <t>Enchufes</t>
  </si>
  <si>
    <t>2.3.6.3.04</t>
  </si>
  <si>
    <t>Tomacorriente Simple Para Extensión Macho 15ª</t>
  </si>
  <si>
    <t>424.8</t>
  </si>
  <si>
    <t>Código de cuenta presupuestaria</t>
  </si>
  <si>
    <t>Accesorios de cable</t>
  </si>
  <si>
    <t>Terminal de Ojo para cable #12</t>
  </si>
  <si>
    <t>8.26</t>
  </si>
  <si>
    <t>Abreviatura de la unidad de medida del articulo</t>
  </si>
  <si>
    <t>Conductor Eléctrico negro AWG10</t>
  </si>
  <si>
    <t>21.24</t>
  </si>
  <si>
    <t>Descripción de la unidad de medida del articulo</t>
  </si>
  <si>
    <t>Conductor Eléctrico verde, AWG # 10</t>
  </si>
  <si>
    <t>18.88</t>
  </si>
  <si>
    <t>Descripcion del producto</t>
  </si>
  <si>
    <t>Conector Liquid Tight Recto ¾”</t>
  </si>
  <si>
    <t>99.12</t>
  </si>
  <si>
    <t xml:space="preserve">Cantidad de articulos asociados al proceso de contratación
</t>
  </si>
  <si>
    <t xml:space="preserve">Valor de precio unitario estimado del articulo
</t>
  </si>
  <si>
    <t>Valor de precio total estimado del articulo</t>
  </si>
  <si>
    <t>https://api.dgcp.gob.do/opendata/emergencia/articulos_contratos.csv</t>
  </si>
  <si>
    <t>Contiene información de los articulos relacionados en un contrato</t>
  </si>
  <si>
    <t>Contains information on the items related to a contract</t>
  </si>
  <si>
    <t>ID_BUSINESS_ITEM</t>
  </si>
  <si>
    <t>ID_BUSINESS_ITEM_LINE</t>
  </si>
  <si>
    <t>DESCRIPCION_SUBCLASE</t>
  </si>
  <si>
    <t>ABR_UNIDAD_MEDIDA</t>
  </si>
  <si>
    <t>PRECIO_UNITARIO</t>
  </si>
  <si>
    <t>ITBIS</t>
  </si>
  <si>
    <t>OTROS_IMPUESTOS</t>
  </si>
  <si>
    <t>DESCUENTO</t>
  </si>
  <si>
    <t>MONTO_TOTAL</t>
  </si>
  <si>
    <t>911-2022-00154</t>
  </si>
  <si>
    <t>Santana Germán Supply Battery Solar, SRL</t>
  </si>
  <si>
    <t>11/24/22 9:36 AM</t>
  </si>
  <si>
    <t>Baterías recargables</t>
  </si>
  <si>
    <t>BATERIA AGM 100 AH 12VDC</t>
  </si>
  <si>
    <t>20459.15</t>
  </si>
  <si>
    <t>6/4/24 8:20 PM</t>
  </si>
  <si>
    <t>BATERIA AGM 200 AH 12VDC</t>
  </si>
  <si>
    <t>41500.6</t>
  </si>
  <si>
    <t>434746.51</t>
  </si>
  <si>
    <t>2850004.91</t>
  </si>
  <si>
    <t>911-2022-00178</t>
  </si>
  <si>
    <t>Tecnofijaciones de Dominicana, SRL</t>
  </si>
  <si>
    <t>4/18/23 5:18 PM</t>
  </si>
  <si>
    <t>Conductor Eléctrico negro AWG12</t>
  </si>
  <si>
    <t>15.34</t>
  </si>
  <si>
    <t>9.15</t>
  </si>
  <si>
    <t>Destornilladores</t>
  </si>
  <si>
    <t>JUEGO DE DESTORNILLADORES</t>
  </si>
  <si>
    <t>1132.8</t>
  </si>
  <si>
    <t>Pinzas de corte diagonal</t>
  </si>
  <si>
    <t>JUEGO DE PINZAS</t>
  </si>
  <si>
    <t>Pulidoras</t>
  </si>
  <si>
    <t>PULIDORA DE 4-1/2"</t>
  </si>
  <si>
    <t>2.6.5.7.01</t>
  </si>
  <si>
    <t>15594.88</t>
  </si>
  <si>
    <t>911-2023-00015</t>
  </si>
  <si>
    <t>Gilgami Group, SRL</t>
  </si>
  <si>
    <t>3/29/23 5:20 PM</t>
  </si>
  <si>
    <t>Tape de Vinil</t>
  </si>
  <si>
    <t>577.02</t>
  </si>
  <si>
    <t>400.42</t>
  </si>
  <si>
    <t>21622.68</t>
  </si>
  <si>
    <t>141748.68</t>
  </si>
  <si>
    <t>Fecha de Firma del Contrato</t>
  </si>
  <si>
    <t>Aceites de lubricación de relojes</t>
  </si>
  <si>
    <t>Grasa Dieléctrica Para terminales eléctricos</t>
  </si>
  <si>
    <t>2.3.7.1.05</t>
  </si>
  <si>
    <t>907.63</t>
  </si>
  <si>
    <t>816.87</t>
  </si>
  <si>
    <t>Cable desnudo de Cobre AWG-2</t>
  </si>
  <si>
    <t>230.1</t>
  </si>
  <si>
    <t>113.4</t>
  </si>
  <si>
    <t>26762.4</t>
  </si>
  <si>
    <t>Conductor Eléctrico AWG 8 Verde</t>
  </si>
  <si>
    <t>24.78</t>
  </si>
  <si>
    <t>Breakers de circuito</t>
  </si>
  <si>
    <t>Breaker Modular dos polos, 40 Amp</t>
  </si>
  <si>
    <t>377.6</t>
  </si>
  <si>
    <t>241.65</t>
  </si>
  <si>
    <t>434.97</t>
  </si>
  <si>
    <t>2851.47</t>
  </si>
  <si>
    <t>Identificador de la subclase en el catálogo de la UNSPSC</t>
  </si>
  <si>
    <t>Breaker Modular un polo, 20 Amp.</t>
  </si>
  <si>
    <t>220.66</t>
  </si>
  <si>
    <t>143.02</t>
  </si>
  <si>
    <t>3861.54</t>
  </si>
  <si>
    <t>25314.54</t>
  </si>
  <si>
    <t>Descripción de la subclase en el catálogo de la UNSPSC</t>
  </si>
  <si>
    <t>Breaker Modular un polo, 32 Amp</t>
  </si>
  <si>
    <t>330.4</t>
  </si>
  <si>
    <t>128.25</t>
  </si>
  <si>
    <t>15133.5</t>
  </si>
  <si>
    <t>Cable de cobre no eléctrico</t>
  </si>
  <si>
    <t>Coupling EMT ¾”</t>
  </si>
  <si>
    <t>64.9</t>
  </si>
  <si>
    <t>11.43</t>
  </si>
  <si>
    <t>82.3</t>
  </si>
  <si>
    <t>539.5</t>
  </si>
  <si>
    <t>Tuercas abrazaderas</t>
  </si>
  <si>
    <t>Abrazadera EMT ¾”</t>
  </si>
  <si>
    <t>2.3.6.3.06</t>
  </si>
  <si>
    <t>56.64</t>
  </si>
  <si>
    <t>2.28</t>
  </si>
  <si>
    <t>41.04</t>
  </si>
  <si>
    <t>269.04</t>
  </si>
  <si>
    <t>Cantidad de articulos asociados al contrato</t>
  </si>
  <si>
    <t>Brochas</t>
  </si>
  <si>
    <t>Brochas 1/2</t>
  </si>
  <si>
    <t>63.51</t>
  </si>
  <si>
    <t>22.95</t>
  </si>
  <si>
    <t>16.52</t>
  </si>
  <si>
    <t>108.32</t>
  </si>
  <si>
    <t>Tubería de plástico</t>
  </si>
  <si>
    <t>Tuberia Liquid Tight 2"</t>
  </si>
  <si>
    <t>2.3.9.8.02</t>
  </si>
  <si>
    <t>247.8</t>
  </si>
  <si>
    <t>211.65</t>
  </si>
  <si>
    <t>24974.7</t>
  </si>
  <si>
    <t>Valor de precio unitario estimado del articulo</t>
  </si>
  <si>
    <t>Valor de precio unitario del articulo</t>
  </si>
  <si>
    <t>Otros impuestos definidos para el articulo</t>
  </si>
  <si>
    <t>Descuentos asociados al articulo</t>
  </si>
  <si>
    <t>Corresponde a la cantidad de articulos por el precio estimado del articulo mas el ITBIS</t>
  </si>
  <si>
    <t>https://api.dgcp.gob.do/opendata/emergencia/proveedores.csv</t>
  </si>
  <si>
    <t xml:space="preserve">Contiene catalogo de información de proveedores de bienes y servicios		
</t>
  </si>
  <si>
    <t>CODE</t>
  </si>
  <si>
    <t>ID</t>
  </si>
  <si>
    <t>ESTADO_RPE</t>
  </si>
  <si>
    <t>FECHA_CREACION</t>
  </si>
  <si>
    <t>FECHA_REGISTRO</t>
  </si>
  <si>
    <t>NUMERO_REGISTRO_MERCANTIL</t>
  </si>
  <si>
    <t>FECHA_REGISTRO_MERCANTIL</t>
  </si>
  <si>
    <t>FECHA_VENCIMIENTO_CERTIFICACION_MICM</t>
  </si>
  <si>
    <t>PRODUCTOR_NACIONAL</t>
  </si>
  <si>
    <t>REGISTRO_INDUSTRIAL</t>
  </si>
  <si>
    <t>OCUPACION</t>
  </si>
  <si>
    <t>TELEFONO_COMERCIAL</t>
  </si>
  <si>
    <t>CELULAR_COMERCIAL</t>
  </si>
  <si>
    <t>CORREO_COMERCIAL</t>
  </si>
  <si>
    <t>CORREO_NOTIFICACIONES</t>
  </si>
  <si>
    <t>DIRECCION</t>
  </si>
  <si>
    <t>DISTRITO_MUNICIPAL</t>
  </si>
  <si>
    <t>PROVEE</t>
  </si>
  <si>
    <t>CELULAR_CONTACTO</t>
  </si>
  <si>
    <t>URL_CERTIFICACION_RPE</t>
  </si>
  <si>
    <t>ESTADO_COMENTARIO</t>
  </si>
  <si>
    <t>LUIS ENRIQUE FRIAS</t>
  </si>
  <si>
    <t>Cédula</t>
  </si>
  <si>
    <t>Persona Natural</t>
  </si>
  <si>
    <t>Persona Física</t>
  </si>
  <si>
    <t>3/25/2015 8:00</t>
  </si>
  <si>
    <t>TECNICO</t>
  </si>
  <si>
    <t>809-368-9602</t>
  </si>
  <si>
    <t>luisenrique1907@hotmail.com</t>
  </si>
  <si>
    <t>https://comunidad.comprasdominicana.gob.do/Public/Companies/SupplierSearchPublic/DownloadSupplierDocument?companyCode=700000011</t>
  </si>
  <si>
    <t>Persona física</t>
  </si>
  <si>
    <t>Apr 14 2024 10:13AM</t>
  </si>
  <si>
    <t>6/6/24 2:32 PM</t>
  </si>
  <si>
    <t>BRANDED MANAGEMENT AGENCY, SRL</t>
  </si>
  <si>
    <t>Desactualizado</t>
  </si>
  <si>
    <t>4/4/13 8:00 AM</t>
  </si>
  <si>
    <t>97011SD</t>
  </si>
  <si>
    <t>4/10/17 8:00 AM</t>
  </si>
  <si>
    <t>809-482-2872</t>
  </si>
  <si>
    <t>info@brandedma.com</t>
  </si>
  <si>
    <t>https://comunidad.comprasdominicana.gob.do/Public/Companies/SupplierSearchPublic/DownloadSupplierDocument?companyCode=700000037</t>
  </si>
  <si>
    <t>Apr 26 2024 8:00PM</t>
  </si>
  <si>
    <t>Constructora Wegar, SRL</t>
  </si>
  <si>
    <t>3/20/14 8:00 AM</t>
  </si>
  <si>
    <t>106242SD</t>
  </si>
  <si>
    <t>4/1/18 4:00 AM</t>
  </si>
  <si>
    <t>809-597-9010</t>
  </si>
  <si>
    <t>constructorawegar@gmail.com</t>
  </si>
  <si>
    <t>ing.alejandro_gh@hotmail.com</t>
  </si>
  <si>
    <t>Avenida Central Esq. 2W, Plaza Lianet, 3er. Piso Local 3-B, 32, Lucerna</t>
  </si>
  <si>
    <t>Obras,Servicios</t>
  </si>
  <si>
    <t>https://comunidad.comprasdominicana.gob.do/Public/Companies/SupplierSearchPublic/DownloadSupplierDocument?companyCode=700000086</t>
  </si>
  <si>
    <t>Centro Oriental de Diabetes y Endocrinología, SRL (CENODE)</t>
  </si>
  <si>
    <t>9/19/00 8:00 AM</t>
  </si>
  <si>
    <t>37316SD</t>
  </si>
  <si>
    <t>9/29/20 4:00 AM</t>
  </si>
  <si>
    <t>809-596-1335</t>
  </si>
  <si>
    <t>centroorientaldediabetes@hotmail.com</t>
  </si>
  <si>
    <t>Calle Presidente Estrella Ureña, 113, Los Mina</t>
  </si>
  <si>
    <t>https://comunidad.comprasdominicana.gob.do/Public/Companies/SupplierSearchPublic/DownloadSupplierDocument?companyCode=700000102</t>
  </si>
  <si>
    <t>LUCIA JOSEFINA PLACENCIA GONZALEZ</t>
  </si>
  <si>
    <t>COMUNICADORA SOCIAL</t>
  </si>
  <si>
    <t>829-473-0349</t>
  </si>
  <si>
    <t>luchyplacencia@gmail.com</t>
  </si>
  <si>
    <t>Consultoria,Servicios</t>
  </si>
  <si>
    <t>https://comunidad.comprasdominicana.gob.do/Public/Companies/SupplierSearchPublic/DownloadSupplierDocument?companyCode=700000177</t>
  </si>
  <si>
    <t>Clistenes Restituyo Germosen, CRG, SRL</t>
  </si>
  <si>
    <t>1/15/15 8:00 AM</t>
  </si>
  <si>
    <t>113722SD</t>
  </si>
  <si>
    <t>2/4/23 4:00 AM</t>
  </si>
  <si>
    <t>809-728-1170</t>
  </si>
  <si>
    <t>clistenesrestituyo@gmail.com</t>
  </si>
  <si>
    <t>clistenesrestituyo@yahoo.com</t>
  </si>
  <si>
    <t>Calle 2da., Manzana A, 03, Villa Faro</t>
  </si>
  <si>
    <t>Consultoria,Obras,Servicios</t>
  </si>
  <si>
    <t>https://comunidad.comprasdominicana.gob.do/Public/Companies/SupplierSearchPublic/DownloadSupplierDocument?companyCode=700009665</t>
  </si>
  <si>
    <t>Descripción del estado del RPE</t>
  </si>
  <si>
    <t>METRO TECH ENERGY, SRL (MTE)</t>
  </si>
  <si>
    <t>11/7/14 8:00 AM</t>
  </si>
  <si>
    <t>112583SD</t>
  </si>
  <si>
    <t>12/4/16 8:00 AM</t>
  </si>
  <si>
    <t>809-565-3921</t>
  </si>
  <si>
    <t>info@metrotechenergy.com</t>
  </si>
  <si>
    <t>https://comunidad.comprasdominicana.gob.do/Public/Companies/SupplierSearchPublic/DownloadSupplierDocument?companyCode=700009673</t>
  </si>
  <si>
    <t>MCS MEDIOS CREATIVOS, SRL</t>
  </si>
  <si>
    <t>1/20/15 8:00 AM</t>
  </si>
  <si>
    <t>114167SD</t>
  </si>
  <si>
    <t>2/8/17 8:00 AM</t>
  </si>
  <si>
    <t>829-514-4514</t>
  </si>
  <si>
    <t>tejeda.ovalles@gmail.com</t>
  </si>
  <si>
    <t>https://comunidad.comprasdominicana.gob.do/Public/Companies/SupplierSearchPublic/DownloadSupplierDocument?companyCode=700009681</t>
  </si>
  <si>
    <t>Tipo de persona (Ejempo: Natural o Jurídica)</t>
  </si>
  <si>
    <t>Rey Publicidad, SRL</t>
  </si>
  <si>
    <t>1/29/03 8:00 AM</t>
  </si>
  <si>
    <t>14225SD</t>
  </si>
  <si>
    <t>12/9/22 4:00 AM</t>
  </si>
  <si>
    <t>6/3/22 4:00 AM</t>
  </si>
  <si>
    <t>809-533-3619</t>
  </si>
  <si>
    <t>reypublicidad@hotmail.com</t>
  </si>
  <si>
    <t>Calle Peña Batlle, 164, Ensanche La Fé</t>
  </si>
  <si>
    <t>https://comunidad.comprasdominicana.gob.do/Public/Companies/SupplierSearchPublic/DownloadSupplierDocument?companyCode=700009814</t>
  </si>
  <si>
    <t>Forma Juridica</t>
  </si>
  <si>
    <t>Diseños y Construcciones Sanchez Ureña, SRL</t>
  </si>
  <si>
    <t>7/3/87 8:00 AM</t>
  </si>
  <si>
    <t>19177SD</t>
  </si>
  <si>
    <t>3/18/23 4:00 AM</t>
  </si>
  <si>
    <t>1/7/10 8:00 AM</t>
  </si>
  <si>
    <t>809-224-5834</t>
  </si>
  <si>
    <t>discsanchez@gmail.com</t>
  </si>
  <si>
    <t>josefinacamilo@gmail.com</t>
  </si>
  <si>
    <t>Calle Max Henriquez Ureña, Esq. Lopez de Vega, Edif. Plaza Tiffany , Piso 2, Apto 7, Centro de la Ciudad</t>
  </si>
  <si>
    <t>https://comunidad.comprasdominicana.gob.do/Public/Companies/SupplierSearchPublic/DownloadSupplierDocument?companyCode=700009822</t>
  </si>
  <si>
    <t>Fecha de Creación</t>
  </si>
  <si>
    <t>Prestadora de Servicios de Estancias Infantiles S S Madre Vieja Sur, SRL</t>
  </si>
  <si>
    <t>7/2/10 8:00 AM</t>
  </si>
  <si>
    <t>2121SC</t>
  </si>
  <si>
    <t>7/8/20 4:00 AM</t>
  </si>
  <si>
    <t>809-288-0309</t>
  </si>
  <si>
    <t>sandyrosario46@gmail.com</t>
  </si>
  <si>
    <t>estanciasinfantiles.mvs@gmail.com</t>
  </si>
  <si>
    <t>Calle Gregorio Luperon Esq. C/ G, Ens. Constitución,, 3, Madre Vieja Sur</t>
  </si>
  <si>
    <t>SAN CRISTÓBAL</t>
  </si>
  <si>
    <t>https://comunidad.comprasdominicana.gob.do/Public/Companies/SupplierSearchPublic/DownloadSupplierDocument?companyCode=700000193</t>
  </si>
  <si>
    <t>SUROESTE</t>
  </si>
  <si>
    <t>Fecha de registro del proveedor en el catálogo de proveedores</t>
  </si>
  <si>
    <t>CAMARA MINERA DEL PERU</t>
  </si>
  <si>
    <t>Clave Tributaria País Extranjero</t>
  </si>
  <si>
    <t>3/13/12 8:00 AM</t>
  </si>
  <si>
    <t>10/14/2014 17:14</t>
  </si>
  <si>
    <t>051-652-6449</t>
  </si>
  <si>
    <t>contador@camiper.com</t>
  </si>
  <si>
    <t>https://comunidad.comprasdominicana.gob.do/Public/Companies/SupplierSearchPublic/DownloadSupplierDocument?companyCode=700006448</t>
  </si>
  <si>
    <t>Numero de Registro Mercantil</t>
  </si>
  <si>
    <t>KAPLAN, INC</t>
  </si>
  <si>
    <t>11/29/84 8:00 AM</t>
  </si>
  <si>
    <t>809-472-1111</t>
  </si>
  <si>
    <t>chris.neumann@kaplan.com</t>
  </si>
  <si>
    <t>https://comunidad.comprasdominicana.gob.do/Public/Companies/SupplierSearchPublic/DownloadSupplierDocument?companyCode=700006463</t>
  </si>
  <si>
    <t>Fecha de registro mercantil del proveedor</t>
  </si>
  <si>
    <t>MR DO BRASIL INDUSTRIA MECANICA LTDA</t>
  </si>
  <si>
    <t>43.966.092/0001-71</t>
  </si>
  <si>
    <t>7/17/80 8:00 AM</t>
  </si>
  <si>
    <t>4/15/14 8:00 AM</t>
  </si>
  <si>
    <t>11-4785-2157</t>
  </si>
  <si>
    <t>c.silva@br.reinhausen.com; r.costa@br.reinhausen.com</t>
  </si>
  <si>
    <t>Servicios,Bienes</t>
  </si>
  <si>
    <t>https://comunidad.comprasdominicana.gob.do/Public/Companies/SupplierSearchPublic/DownloadSupplierDocument?companyCode=700006513</t>
  </si>
  <si>
    <t>CESAR MIGUEL VASQUEZ CAMACHO</t>
  </si>
  <si>
    <t>5/28/16 8:00 AM</t>
  </si>
  <si>
    <t>COMERCIANTE</t>
  </si>
  <si>
    <t>809-421-9091</t>
  </si>
  <si>
    <t>cesar.vasquez46@yahoo.com</t>
  </si>
  <si>
    <t>https://comunidad.comprasdominicana.gob.do/Public/Companies/SupplierSearchPublic/DownloadSupplierDocument?companyCode=700006539</t>
  </si>
  <si>
    <t>Fecha de Vencimiento de la certificación</t>
  </si>
  <si>
    <t>SUPMACON 4G, SRL</t>
  </si>
  <si>
    <t>3/7/14 8:00 AM</t>
  </si>
  <si>
    <t>4/30/2014 8:00</t>
  </si>
  <si>
    <t>105577SD</t>
  </si>
  <si>
    <t>3/7/18 8:00 AM</t>
  </si>
  <si>
    <t>2/23/16 8:00 AM</t>
  </si>
  <si>
    <t>849-289-6953</t>
  </si>
  <si>
    <t>supmacon@gmail.com</t>
  </si>
  <si>
    <t>https://comunidad.comprasdominicana.gob.do/Public/Companies/SupplierSearchPublic/DownloadSupplierDocument?companyCode=700006604</t>
  </si>
  <si>
    <t>PETER IVAN READ MARCANO</t>
  </si>
  <si>
    <t>3/28/2014 8:00</t>
  </si>
  <si>
    <t>3/29/17 4:00 AM</t>
  </si>
  <si>
    <t>809-916-4141</t>
  </si>
  <si>
    <t>peterreadm@yahoo.com</t>
  </si>
  <si>
    <t>Prolongación Ortega y Gasset Esq. El Vergel, Edificio Gil Roma XV, Apto. 4-A, 0, Naco</t>
  </si>
  <si>
    <t>https://comunidad.comprasdominicana.gob.do/Public/Companies/SupplierSearchPublic/DownloadSupplierDocument?companyCode=700006620</t>
  </si>
  <si>
    <t>Es productor Nacional?</t>
  </si>
  <si>
    <t>MAXIMO MOLA BRITO</t>
  </si>
  <si>
    <t>MECANICO</t>
  </si>
  <si>
    <t>809-775-4568</t>
  </si>
  <si>
    <t>juandone@hotmail.com</t>
  </si>
  <si>
    <t>https://comunidad.comprasdominicana.gob.do/Public/Companies/SupplierSearchPublic/DownloadSupplierDocument?companyCode=700009699</t>
  </si>
  <si>
    <t>Registro Industrial</t>
  </si>
  <si>
    <t>JUAN RAFAEL VIDAL BISONO</t>
  </si>
  <si>
    <t>829-219-6717</t>
  </si>
  <si>
    <t>hibysalmonte@hotmail.com</t>
  </si>
  <si>
    <t>https://comunidad.comprasdominicana.gob.do/Public/Companies/SupplierSearchPublic/DownloadSupplierDocument?companyCode=700009715</t>
  </si>
  <si>
    <t>Descripción de la ocupación del proveedor</t>
  </si>
  <si>
    <t>Candida Jocelyne Ramos Ovalle</t>
  </si>
  <si>
    <t>ABOGADO NOTARIO</t>
  </si>
  <si>
    <t>809-595-0051</t>
  </si>
  <si>
    <t>candidajramos@gmail.com</t>
  </si>
  <si>
    <t>Avenida España, 11, Sansouci</t>
  </si>
  <si>
    <t>https://comunidad.comprasdominicana.gob.do/Public/Companies/SupplierSearchPublic/DownloadSupplierDocument?companyCode=700009780</t>
  </si>
  <si>
    <t>Número telefónico de contacto del proveedor</t>
  </si>
  <si>
    <t>Numero de Teléfono comercial</t>
  </si>
  <si>
    <t>Correo electrónico comercial</t>
  </si>
  <si>
    <t>Correo electrónico para notificaciones</t>
  </si>
  <si>
    <t>Dirección del proveedor</t>
  </si>
  <si>
    <t>Nombre del Pais de origen del proveedor</t>
  </si>
  <si>
    <t>Distrito Municipal</t>
  </si>
  <si>
    <t>Proveedor de productos o servicios?</t>
  </si>
  <si>
    <t>Número de Teléfono de contacto</t>
  </si>
  <si>
    <t>Fecha de última modificación</t>
  </si>
  <si>
    <t xml:space="preserve">Opendata Emergency Budget Dominican Republic ( View dbo.vwDatosAbiertosPresupuestoEmergencias ) </t>
  </si>
  <si>
    <t>Origen</t>
  </si>
  <si>
    <t>Capitulo</t>
  </si>
  <si>
    <t>SubCapitulo</t>
  </si>
  <si>
    <t>UnidadEjecutora</t>
  </si>
  <si>
    <t>SubCuenta</t>
  </si>
  <si>
    <t>Concepto</t>
  </si>
  <si>
    <t>Auxiliar</t>
  </si>
  <si>
    <t>Seccion</t>
  </si>
  <si>
    <t>Funcion</t>
  </si>
  <si>
    <t>InstitucionReceptora</t>
  </si>
  <si>
    <t>GrupoFuente</t>
  </si>
  <si>
    <t>ValorPresupuestado</t>
  </si>
  <si>
    <t>---</t>
  </si>
  <si>
    <t>dbo.OrigenDatos</t>
  </si>
  <si>
    <t>Presupuesto Global Emergencias</t>
  </si>
  <si>
    <t>nombre de la emergencia</t>
  </si>
  <si>
    <t>MINISTERIO DE SALUD PÚBLICA Y ASISTENCIA SOCIAL</t>
  </si>
  <si>
    <t>Transferencias de capital a las instituciones descentralizadas y autónomas no financieras</t>
  </si>
  <si>
    <t>TRANSFERENCIAS DE CAPITAL</t>
  </si>
  <si>
    <t>Otras transferencias de capital a instituciones descentralizadas y autónomas no financieras</t>
  </si>
  <si>
    <t>TRANSFERENCIAS DE CAPITAL AL GOBIERNO GENERAL  NACIONAL</t>
  </si>
  <si>
    <t>Administración de Activos, Pasivos y Transferencias</t>
  </si>
  <si>
    <t>APOYO PRESUPUESTARIO CREDITO INTERNO (EMISION DE BONOS)</t>
  </si>
  <si>
    <t>Salud</t>
  </si>
  <si>
    <t>Planificación, gestión y supervisión de la salud</t>
  </si>
  <si>
    <t>CRÉDITO INTERNO</t>
  </si>
  <si>
    <t>359529300.00</t>
  </si>
  <si>
    <t>[dbo].[GastoXProgramasEmergencia]</t>
  </si>
  <si>
    <t>nombre del capítulo (Institución)</t>
  </si>
  <si>
    <t>PROGRAMA DE MEDICAMENTOS ESENCIALES</t>
  </si>
  <si>
    <t>Productos medicinales para uso humano</t>
  </si>
  <si>
    <t>MATERIALES Y SUMINISTROS</t>
  </si>
  <si>
    <t>PRODUCTOS FARMACÉUTICOS</t>
  </si>
  <si>
    <t>Provisión de Medicamentos, Insumos Sanitarios y Reactivos de Laboratorio</t>
  </si>
  <si>
    <t>123621700.00</t>
  </si>
  <si>
    <t>NOM_SUB_CAPITULO</t>
  </si>
  <si>
    <t>nombre del subcapítulo (Institución)</t>
  </si>
  <si>
    <t>Productos metálicos y sus derivados</t>
  </si>
  <si>
    <t>Herramientas menores</t>
  </si>
  <si>
    <t>PRODUCTOS DE MINERALES, METÁLICOS Y NO METÁLICOS</t>
  </si>
  <si>
    <t>Actividades comunes a los programas 11 y 14</t>
  </si>
  <si>
    <t>SERVICIOS ECONÓMICOS</t>
  </si>
  <si>
    <t>Agropecuaria, caza, pesca y silvicultura</t>
  </si>
  <si>
    <t>Agropecuaria</t>
  </si>
  <si>
    <t>65736.00</t>
  </si>
  <si>
    <t>nombre de la unidad ejecutora ejecutora (Institución ejecutora)</t>
  </si>
  <si>
    <t>Productos metálicos</t>
  </si>
  <si>
    <t>87862.00</t>
  </si>
  <si>
    <t>nombre de la subcuenta presupuestaria</t>
  </si>
  <si>
    <t>Combustibles y lubricantes</t>
  </si>
  <si>
    <t>Aceites y grasas</t>
  </si>
  <si>
    <t>COMBUSTIBLES, LUBRICANTES, PRODUCTOS QUÍMICOS Y CONEXOS</t>
  </si>
  <si>
    <t>24000.00</t>
  </si>
  <si>
    <t>nombre del concepto presupuestario</t>
  </si>
  <si>
    <t>Lubricantes</t>
  </si>
  <si>
    <t>6570.00</t>
  </si>
  <si>
    <t>nombre del auxiliar presupuestario</t>
  </si>
  <si>
    <t>MINISTERIO DE  INTERIOR Y POLICÍA</t>
  </si>
  <si>
    <t>Transferencias corrientes a gobiernos centrales municipales</t>
  </si>
  <si>
    <t>TRANSFERENCIAS CORRIENTES</t>
  </si>
  <si>
    <t>Otras transferencias corrientes a gobiernos centrales municipales</t>
  </si>
  <si>
    <t>TRANSFERENCIAS CORRIENTES A GOBIERNOS GENERALES LOCALES</t>
  </si>
  <si>
    <t>Administración de activos, pasivos y transferencias</t>
  </si>
  <si>
    <t>Administración general</t>
  </si>
  <si>
    <t>Transferencias a instituciones públicas incluidos los gobiernos locales</t>
  </si>
  <si>
    <t>1000000.00</t>
  </si>
  <si>
    <t>nombre de la cuenta presupuestaria</t>
  </si>
  <si>
    <t>nombre de la seccion presupuestaria</t>
  </si>
  <si>
    <t>PERIODO_IMPUTACION</t>
  </si>
  <si>
    <t>año de presupuesto</t>
  </si>
  <si>
    <t>NOM_PROGRAMA_ASISTENCIA</t>
  </si>
  <si>
    <t>nombre del programa presupuestario</t>
  </si>
  <si>
    <t>nombre de la finalidad presupuestaria</t>
  </si>
  <si>
    <t>Equipos de tecnología de la información y comunicación</t>
  </si>
  <si>
    <t>BIENES MUEBLES, INMUEBLES E INTANGIBLES</t>
  </si>
  <si>
    <t>MOBILIARIO Y EQUIPO</t>
  </si>
  <si>
    <t>5900000.00</t>
  </si>
  <si>
    <t>nombre del organismo financiador</t>
  </si>
  <si>
    <t>Equipos y aparatos audiovisuales</t>
  </si>
  <si>
    <t>Equipos y Aparatos Audiovisuales</t>
  </si>
  <si>
    <t>MOBILIARIO Y EQUIPO DE AUDIO, AUDIOVISUAL, RECREATIVO Y EDUCACIONAL</t>
  </si>
  <si>
    <t>985536.00</t>
  </si>
  <si>
    <t>función o sector del gobierno al que van dirigidos los recursos presupuestados</t>
  </si>
  <si>
    <t>Repuestos y accesorios menores</t>
  </si>
  <si>
    <t>Accesorios</t>
  </si>
  <si>
    <t>PRODUCTOS Y ÚTILES VARIOS</t>
  </si>
  <si>
    <t>Administración de contribuciones especiales</t>
  </si>
  <si>
    <t>142485.00</t>
  </si>
  <si>
    <t>nombre de la subfunción presupuestaria</t>
  </si>
  <si>
    <t>Ayudas y donaciones a personas</t>
  </si>
  <si>
    <t>Ayudas y donaciones ocasionales a hogares y personas</t>
  </si>
  <si>
    <t>TRANSFERENCIAS CORRIENTES AL SECTOR PRIVADO</t>
  </si>
  <si>
    <t>1000000000.00</t>
  </si>
  <si>
    <t>DES_INST_RECEPTORA</t>
  </si>
  <si>
    <t>nombre de la institución receptora</t>
  </si>
  <si>
    <t>Máquinas-herramientas</t>
  </si>
  <si>
    <t>MAQUINARIA, OTROS EQUIPOS Y HERRAMIENTAS</t>
  </si>
  <si>
    <t>573142.00</t>
  </si>
  <si>
    <t>DES_FUENTE</t>
  </si>
  <si>
    <t>nombre de la fuente de financiamiento</t>
  </si>
  <si>
    <t>Transferencias corrientes a instituciones descentralizadas y autónomas no financieras</t>
  </si>
  <si>
    <t>Otras transferencias corrientes a instituciones descentralizadas y autónomas no financieras</t>
  </si>
  <si>
    <t>TRANSFERENCIAS CORRIENTES AL  GOBIERNO GENERAL NACIONAL</t>
  </si>
  <si>
    <t>10000000.00</t>
  </si>
  <si>
    <t>TIP_GRUPO_FUENTE</t>
  </si>
  <si>
    <t>nvarchar(100)</t>
  </si>
  <si>
    <t>nombre del grupo de fuente de financiamiento</t>
  </si>
  <si>
    <t>VLR_GASTO</t>
  </si>
  <si>
    <t>decimal(32,2)</t>
  </si>
  <si>
    <t>valor total presupuesto vigente</t>
  </si>
  <si>
    <t>VLR_EJECUTADO</t>
  </si>
  <si>
    <t>valor total devengado</t>
  </si>
  <si>
    <t>These datasets are obtained from the metabase service (API) of the Ministry of Finance
Access to the service is not public
Translations are performed automatically with the GOOGLETRANSLATE() function of google spreadsheet</t>
  </si>
  <si>
    <t>global emergency budget</t>
  </si>
  <si>
    <t>SECCION</t>
  </si>
  <si>
    <t>CAPITULO</t>
  </si>
  <si>
    <t>SUBCAPITULO</t>
  </si>
  <si>
    <t>UE</t>
  </si>
  <si>
    <t>PROGRAMA</t>
  </si>
  <si>
    <t>PRODUCTO</t>
  </si>
  <si>
    <t>PROYECTO</t>
  </si>
  <si>
    <t>ACTIVIDAD_OBRA</t>
  </si>
  <si>
    <t>ORG_FINANCIADOR</t>
  </si>
  <si>
    <t>FUENTE</t>
  </si>
  <si>
    <t>FUENTE_ESPECIFICA</t>
  </si>
  <si>
    <t>FUNCION_FINALIDAD</t>
  </si>
  <si>
    <t>FUNCION_FUNCION</t>
  </si>
  <si>
    <t>FUNCION_SUBFUN</t>
  </si>
  <si>
    <t>CCP_TIPO</t>
  </si>
  <si>
    <t>CCP_CONCEPTO</t>
  </si>
  <si>
    <t>CCP_CUENTA</t>
  </si>
  <si>
    <t>CCP_SUBCUENTA</t>
  </si>
  <si>
    <t>CCP_AUXILIAR</t>
  </si>
  <si>
    <t>INST_RECEPTORA</t>
  </si>
  <si>
    <t>VLR_GASTO_DISP_NO_DEV</t>
  </si>
  <si>
    <t>VLR_GASTO_DEV</t>
  </si>
  <si>
    <t>VLR_GASTO_LIB</t>
  </si>
  <si>
    <t>Año / Periodo de Imputación</t>
  </si>
  <si>
    <t>1.1.1.1.1-Administración central</t>
  </si>
  <si>
    <t>0201-PRESIDENCIA DE LA REPÚBLICA</t>
  </si>
  <si>
    <t>0201.01-MINISTERIO ADMINISTRATIVO DE LA PRESIDENCIA</t>
  </si>
  <si>
    <t>0201.01.0001-SECRETARIADO ADMINISTRATIVO DE LA PRESIDENCIA</t>
  </si>
  <si>
    <t>01-Actividades centrales</t>
  </si>
  <si>
    <t>01.00-Acciones que no generan producción</t>
  </si>
  <si>
    <t>01.00.00-N/A</t>
  </si>
  <si>
    <t>01.00.00.0001-Dirección y Administración del Ministerio Administrativo de la Presidencia</t>
  </si>
  <si>
    <t>109-APOYO PRESUPUESTARIO CREDITO INTERNO (EMISION DE BONOS)</t>
  </si>
  <si>
    <t>50-CRÉDITO INTERNO</t>
  </si>
  <si>
    <t>5011-FONDO DE CALAMIDADES Y EMERGENCIAS PÚBLICAS</t>
  </si>
  <si>
    <t>1-SERVICIOS  GENERALES</t>
  </si>
  <si>
    <t>1.1-Administración general</t>
  </si>
  <si>
    <t>1.1.02-Gestión administrativa, financiera, fiscal, económica y planificación</t>
  </si>
  <si>
    <t>2-GASTOS</t>
  </si>
  <si>
    <t>2.3-MATERIALES Y SUMINISTROS</t>
  </si>
  <si>
    <t>2.3.1-ALIMENTOS Y PRODUCTOS AGROFORESTALES</t>
  </si>
  <si>
    <t>2.3.1.1-Alimentos y bebidas para personas</t>
  </si>
  <si>
    <t>2.3.1.1.01-Alimentos y bebidas para personas</t>
  </si>
  <si>
    <t>0000-NO APLICA</t>
  </si>
  <si>
    <t>NOmbre de la Sección</t>
  </si>
  <si>
    <t>2.3.1.4-Madera, corcho y sus manufacturas</t>
  </si>
  <si>
    <t>2.3.1.4.01-Madera, corcho y sus manufacturas</t>
  </si>
  <si>
    <t>120027366.36</t>
  </si>
  <si>
    <t>10066427.32</t>
  </si>
  <si>
    <t>109960939.04</t>
  </si>
  <si>
    <t>Nombre del capítulo</t>
  </si>
  <si>
    <t>2.3.6-PRODUCTOS DE MINERALES, METÁLICOS Y NO METÁLICOS</t>
  </si>
  <si>
    <t>2.3.6.3-Productos metálicos y sus derivados</t>
  </si>
  <si>
    <t>2.3.6.3.06-Productos metálicos</t>
  </si>
  <si>
    <t>45260559.64</t>
  </si>
  <si>
    <t>4319781.8</t>
  </si>
  <si>
    <t>40940777.84</t>
  </si>
  <si>
    <t>Nombre del subcapitulo</t>
  </si>
  <si>
    <t>98-Administración de contribuciones especiales</t>
  </si>
  <si>
    <t>98.00-Acciones que no generan producción</t>
  </si>
  <si>
    <t>98.00.00-N/A</t>
  </si>
  <si>
    <t>98.00.00.0000-Administración de Contribuciones Especiales</t>
  </si>
  <si>
    <t>4-SERVICIOS SOCIALES</t>
  </si>
  <si>
    <t>4.3-Actividades deportivas, recreativas, culturales y religiosas</t>
  </si>
  <si>
    <t>4.3.05-Servicios religiosos y otros servicios comunitarios religiosos</t>
  </si>
  <si>
    <t>2.5-TRANSFERENCIAS DE CAPITAL</t>
  </si>
  <si>
    <t>2.5.1-TRANSFERENCIAS DE CAPITAL AL SECTOR PRIVADO</t>
  </si>
  <si>
    <t>2.5.1.2-Transferencias de capital a asociaciones  privadas sin fines de lucro</t>
  </si>
  <si>
    <t>2.5.1.2.01-Transferencias de capital  a Asociaciones  Privadas sin Fines de Lucro</t>
  </si>
  <si>
    <t>9996-ORGANIZACION NO GUBERNAMENTAL EN EL AREA RELIGIOSA</t>
  </si>
  <si>
    <t>4874852.03</t>
  </si>
  <si>
    <t>Nombre de la Unidad Ejecutora</t>
  </si>
  <si>
    <t>99-Administración de activos, pasivos y transferencias</t>
  </si>
  <si>
    <t>99.00-Acciones que no generan producción</t>
  </si>
  <si>
    <t>99.00.00-N/A</t>
  </si>
  <si>
    <t>99.00.00.0000-Administración de Activos, Pasivos y Transferencias</t>
  </si>
  <si>
    <t>1.1.03-Transferencias a instituciones públicas incluidos los gobiernos locales</t>
  </si>
  <si>
    <t>2.4-TRANSFERENCIAS CORRIENTES</t>
  </si>
  <si>
    <t>2.4.3-TRANSFERENCIAS CORRIENTES A GOBIERNOS GENERALES LOCALES</t>
  </si>
  <si>
    <t>2.4.3.1-Transferencias corrientes a gobiernos centrales municipales</t>
  </si>
  <si>
    <t>2.4.3.1.02-Otras transferencias corrientes a gobiernos centrales municipales</t>
  </si>
  <si>
    <t>7255-JUNTA DE DISTRITO MUNICIPAL DE LAS GALERAS</t>
  </si>
  <si>
    <t>Programa de la linea presupuestal</t>
  </si>
  <si>
    <t>2.5.3-TRANSFERENCIAS DE CAPITAL A GOBIERNOS GENERALES LOCALES</t>
  </si>
  <si>
    <t>2.5.3.1-Transferencias de capital a gobiernos centrales municipales</t>
  </si>
  <si>
    <t>2.5.3.1.01-Transferencias de capital a gobiernos centrales municipales para proyectos de inversión</t>
  </si>
  <si>
    <t>7068-AYUNTAMIENTO MUNICIPAL DE LAS TERRENAS</t>
  </si>
  <si>
    <t>33534476.9</t>
  </si>
  <si>
    <t>0.04</t>
  </si>
  <si>
    <t>33534476.86</t>
  </si>
  <si>
    <t>Nombre del producto</t>
  </si>
  <si>
    <t>7161-JUNTA DE DISTRITO MUNICIPAL DE ARROYO BARRIL</t>
  </si>
  <si>
    <t>1829947.89</t>
  </si>
  <si>
    <t>1.3-Defensa nacional</t>
  </si>
  <si>
    <t>1.3.02-Defensa civil y gestión de riesgos de desastres</t>
  </si>
  <si>
    <t>2.4.2-TRANSFERENCIAS CORRIENTES AL  GOBIERNO GENERAL NACIONAL</t>
  </si>
  <si>
    <t>2.4.2.1-Aportaciones a instituciones del gobierno central</t>
  </si>
  <si>
    <t>2.4.2.1.02-Aportaciones corrientes al Poder Ejecutivo</t>
  </si>
  <si>
    <t>5109-DEFENSA CIVIL</t>
  </si>
  <si>
    <t>Nombre de la actividad</t>
  </si>
  <si>
    <t>2.5.2-TRANSFERENCIAS DE CAPITAL AL GOBIERNO GENERAL  NACIONAL</t>
  </si>
  <si>
    <t>2.5.2.1-Aportaciones de capital a instituciones del gobierno central</t>
  </si>
  <si>
    <t>2.5.2.1.02-Aportaciones de capital al Poder Ejecutivo</t>
  </si>
  <si>
    <t>Nombre del Organismo Financiador</t>
  </si>
  <si>
    <t>4.4-Educación</t>
  </si>
  <si>
    <t>4.4.04-Educación superior</t>
  </si>
  <si>
    <t>2.5.2.2-Transferencias de capital a las instituciones descentralizadas y autónomas no financieras</t>
  </si>
  <si>
    <t>2.5.2.2.01-Transferencias de capital a instituciones descentralizadas y autónomas no financieras para proyectos de inversión</t>
  </si>
  <si>
    <t>5128-UNIVERSIDAD AUTÓNOMA DE SANTO DOMINGO</t>
  </si>
  <si>
    <t>31510973.1</t>
  </si>
  <si>
    <t>Nombre de la Fuente de Financiacion</t>
  </si>
  <si>
    <t>22-Apoyo al desarrollo provincial</t>
  </si>
  <si>
    <t>22.02-Comunidades reciben los beneficios de la ejecución de proyectos sociales de infraestructura para su desarrollo integral</t>
  </si>
  <si>
    <t>22.02.00-N/A</t>
  </si>
  <si>
    <t>22.02.00.0001-Dirección y coordinación</t>
  </si>
  <si>
    <t>9060854.57</t>
  </si>
  <si>
    <t>131793785.43</t>
  </si>
  <si>
    <t>Nombre de la Fuente específica</t>
  </si>
  <si>
    <t>2.3.6.1-Productos de cemento, cal, asbesto, yeso y arcilla</t>
  </si>
  <si>
    <t>2.3.6.1.01-Productos de cemento</t>
  </si>
  <si>
    <t>Nombre de la Finalidad</t>
  </si>
  <si>
    <t>2.3.6.3.05-Productos de hojalata</t>
  </si>
  <si>
    <t>Nombre de la Funcion / Sector</t>
  </si>
  <si>
    <t>574864.73</t>
  </si>
  <si>
    <t>27650735.27</t>
  </si>
  <si>
    <t>Nombre de la Sub función</t>
  </si>
  <si>
    <t>2.6-BIENES MUEBLES, INMUEBLES E INTANGIBLES</t>
  </si>
  <si>
    <t>2.6.9-EDIFICIOS, ESTRUCTURAS, TIERRAS, TERRENOS Y OBJETOS DE VALOR</t>
  </si>
  <si>
    <t>2.6.9.6-Accesorios para edificaciones residenciales y no residenciales</t>
  </si>
  <si>
    <t>2.6.9.6.01-Accesorios para edificaciones residenciales y no residenciales</t>
  </si>
  <si>
    <t>2116794.56</t>
  </si>
  <si>
    <t>7883205.44</t>
  </si>
  <si>
    <t>Tipo de cuenta contable</t>
  </si>
  <si>
    <t>Concepto de la cuenta contable</t>
  </si>
  <si>
    <t>Nombre de la cuenta contable</t>
  </si>
  <si>
    <t>Nombre de la Sub Cuenta contable</t>
  </si>
  <si>
    <t>Auxiliar de la cuenta contable</t>
  </si>
  <si>
    <t>Institucion receptora</t>
  </si>
  <si>
    <t>Valor inicial</t>
  </si>
  <si>
    <t>Valor Aprobado / Modificado</t>
  </si>
  <si>
    <t>Valor disponible no devengado</t>
  </si>
  <si>
    <t>Valor Devengado</t>
  </si>
  <si>
    <t>Valor Liberado</t>
  </si>
  <si>
    <t>budget by Emergency</t>
  </si>
  <si>
    <t>MES_IMPUTACION</t>
  </si>
  <si>
    <t>CONCEPTO_AGRP_GASTO</t>
  </si>
  <si>
    <t>1.1.1.1.2-Instituciones públicas descentralizadas y autónomas no financieras</t>
  </si>
  <si>
    <t>5151-CONSEJO NACIONAL PARA LA NIÑEZ Y LA ADOLESCENCIA</t>
  </si>
  <si>
    <t>5151.01-CONSEJO NACIONAL PARA LA NIÑEZ Y LA ADOLESCENCIA</t>
  </si>
  <si>
    <t>5151.01.0001-CONSEJO NACIONAL PARA LA NIÑEZ Y LA ADOLESCENCIA</t>
  </si>
  <si>
    <t>15-Atención integral de niños, niñas y adolescentes</t>
  </si>
  <si>
    <t>15.02-Niños, niñas y adolescentes  con atención integral en los hogares de paso</t>
  </si>
  <si>
    <t>15.02.00-N/A</t>
  </si>
  <si>
    <t>15.02.00.0002-Servicios de atención integral residencial a niños, niñas y adolescentes en riesgo personal y social</t>
  </si>
  <si>
    <t>121-SALDOS DISPONIBLES DE PERIODOS ANTERIORES</t>
  </si>
  <si>
    <t>4.5-Protección social</t>
  </si>
  <si>
    <t>4.5.05-Familia e hijos</t>
  </si>
  <si>
    <t>012-Alimentos y Productos Agroforestales</t>
  </si>
  <si>
    <t>6780996.98</t>
  </si>
  <si>
    <t>1640064.33</t>
  </si>
  <si>
    <t>Mes de la Imputación</t>
  </si>
  <si>
    <t>3253487.92</t>
  </si>
  <si>
    <t>48853.13</t>
  </si>
  <si>
    <t>0202-MINISTERIO DE  INTERIOR Y POLICÍA</t>
  </si>
  <si>
    <t>0202.01-MINISTERIO DE INTERIOR Y POLICIA</t>
  </si>
  <si>
    <t>0202.01.0001-MINISTERIO DE INTERIOR Y POLICIA</t>
  </si>
  <si>
    <t>99.00.00.0000-N/A</t>
  </si>
  <si>
    <t>034-Transferencia Corriente al Sector Publico</t>
  </si>
  <si>
    <t>7003-AYUNTAMIENTO MUNICIPAL DE ARENOSO</t>
  </si>
  <si>
    <t>7009-AYUNTAMIENTO MUNICIPAL DE BAYAGUANA</t>
  </si>
  <si>
    <t>7012-AYUNTAMIENTO MUNICIPAL DE CABRERA</t>
  </si>
  <si>
    <t>7015-AYUNTAMIENTO MUNICIPAL DE CASTILLO</t>
  </si>
  <si>
    <t>7026-AYUNTAMIENTO MUNICIPAL DE EL FACTOR</t>
  </si>
  <si>
    <t>7029-AYUNTAMIENTO MUNICIPAL DE SANTA CRUZ DEL SEYBO</t>
  </si>
  <si>
    <t>7031-AYUNTAMIENTO MUNICIPAL DE EL VALLE</t>
  </si>
  <si>
    <t>7041-AYUNTAMIENTO MUNICIPAL DE GUAYMATE</t>
  </si>
  <si>
    <t>7043-AYUNTAMIENTO MUNICIPAL DE HATO MAYOR DEL REY</t>
  </si>
  <si>
    <t>Concepto agrupador del gasto</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</si>
</sst>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yyyy-mm-dd h:mm:ss"/>
    <numFmt numFmtId="165" formatCode="d.m.yy"/>
    <numFmt numFmtId="166" formatCode="d.m"/>
    <numFmt numFmtId="167" formatCode="d.m.yyyy"/>
    <numFmt numFmtId="168" formatCode="yyyy-mm-dd"/>
    <numFmt numFmtId="169" formatCode="d/m/yyyy h:mm"/>
    <numFmt numFmtId="170" formatCode="yyyy.m"/>
    <numFmt numFmtId="171" formatCode="yyyy.mm"/>
  </numFmts>
  <fonts count="34">
    <font>
      <sz val="10.0"/>
      <color rgb="FF000000"/>
      <name val="Arial"/>
      <scheme val="minor"/>
    </font>
    <font>
      <b/>
      <sz val="15.0"/>
      <color theme="1"/>
      <name val="Arial"/>
    </font>
    <font>
      <color theme="1"/>
      <name val="Arial"/>
    </font>
    <font>
      <b/>
      <color theme="1"/>
      <name val="Arial"/>
    </font>
    <font>
      <b/>
      <color theme="1"/>
      <name val="Az_ea_font"/>
    </font>
    <font>
      <b/>
      <u/>
      <color rgb="FF0000FF"/>
      <name val="Az_ea_font"/>
    </font>
    <font>
      <u/>
      <color rgb="FF0000FF"/>
      <name val="Az_ea_font"/>
    </font>
    <font>
      <u/>
      <color rgb="FF0000FF"/>
      <name val="Arial"/>
    </font>
    <font>
      <color rgb="FF292827"/>
      <name val="Az_ea_font"/>
    </font>
    <font>
      <b/>
      <sz val="14.0"/>
      <color theme="1"/>
      <name val="Arial"/>
    </font>
    <font>
      <b/>
      <sz val="12.0"/>
      <color theme="1"/>
      <name val="Arial"/>
    </font>
    <font/>
    <font>
      <i/>
      <color theme="1"/>
      <name val="Arial"/>
    </font>
    <font>
      <i/>
      <sz val="9.0"/>
      <color theme="1"/>
      <name val="Arial"/>
    </font>
    <font>
      <i/>
      <sz val="8.0"/>
      <color theme="1"/>
      <name val="Arial"/>
    </font>
    <font>
      <sz val="8.0"/>
      <color theme="1"/>
      <name val="Arial"/>
    </font>
    <font>
      <b/>
      <sz val="18.0"/>
      <color theme="1"/>
      <name val="Arial"/>
    </font>
    <font>
      <sz val="11.0"/>
      <color rgb="FF000000"/>
      <name val="Calibri"/>
    </font>
    <font>
      <sz val="12.0"/>
      <color theme="1"/>
      <name val="Arial"/>
    </font>
    <font>
      <b/>
      <i/>
      <sz val="14.0"/>
      <color theme="1"/>
      <name val="Arial"/>
    </font>
    <font>
      <color rgb="FF000000"/>
      <name val="Arial"/>
    </font>
    <font>
      <sz val="11.0"/>
      <color theme="1"/>
      <name val="Calibri"/>
    </font>
    <font>
      <u/>
      <color rgb="FF0000FF"/>
    </font>
    <font>
      <u/>
      <sz val="15.0"/>
      <color rgb="FF0000FF"/>
      <name val="Arial"/>
    </font>
    <font>
      <b/>
      <u/>
      <sz val="12.0"/>
      <color rgb="FF0000FF"/>
    </font>
    <font>
      <u/>
      <sz val="12.0"/>
      <color rgb="FF0000FF"/>
    </font>
    <font>
      <b/>
      <sz val="12.0"/>
      <color rgb="FF000000"/>
      <name val="Arial"/>
    </font>
    <font>
      <b/>
      <sz val="11.0"/>
      <color rgb="FF000000"/>
      <name val="&quot;Aptos Narrow&quot;"/>
    </font>
    <font>
      <sz val="11.0"/>
      <color rgb="FF000000"/>
      <name val="&quot;Aptos Narrow&quot;"/>
    </font>
    <font>
      <u/>
      <sz val="11.0"/>
      <color rgb="FF000000"/>
      <name val="&quot;Aptos Narrow&quot;"/>
    </font>
    <font>
      <u/>
      <sz val="11.0"/>
      <color rgb="FF000000"/>
      <name val="&quot;Aptos Narrow&quot;"/>
    </font>
    <font>
      <u/>
      <color rgb="FF0000FF"/>
    </font>
    <font>
      <sz val="11.0"/>
      <color rgb="FF000000"/>
      <name val="Arial"/>
    </font>
    <font>
      <u/>
      <sz val="11.0"/>
      <color rgb="FF000000"/>
      <name val="&quot;Aptos Narrow&quot;"/>
    </font>
  </fonts>
  <fills count="9">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FF9900"/>
        <bgColor rgb="FFFF9900"/>
      </patternFill>
    </fill>
    <fill>
      <patternFill patternType="solid">
        <fgColor rgb="FFF9CB9C"/>
        <bgColor rgb="FFF9CB9C"/>
      </patternFill>
    </fill>
    <fill>
      <patternFill patternType="solid">
        <fgColor rgb="FFC9DAF8"/>
        <bgColor rgb="FFC9DAF8"/>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shrinkToFit="0" wrapText="1"/>
    </xf>
    <xf borderId="0" fillId="0" fontId="2" numFmtId="0" xfId="0" applyAlignment="1" applyFont="1">
      <alignment horizontal="left" shrinkToFit="0" wrapText="1"/>
    </xf>
    <xf borderId="0" fillId="0" fontId="2" numFmtId="0" xfId="0" applyAlignment="1" applyFont="1">
      <alignment shrinkToFit="0" wrapText="1"/>
    </xf>
    <xf borderId="0" fillId="3" fontId="3" numFmtId="0" xfId="0" applyFill="1" applyFont="1"/>
    <xf borderId="1" fillId="3" fontId="3" numFmtId="0" xfId="0" applyBorder="1" applyFont="1"/>
    <xf borderId="1" fillId="3" fontId="3" numFmtId="0" xfId="0" applyAlignment="1" applyBorder="1" applyFont="1">
      <alignment shrinkToFit="0" wrapText="1"/>
    </xf>
    <xf borderId="0" fillId="0" fontId="2" numFmtId="0" xfId="0" applyFont="1"/>
    <xf borderId="0" fillId="4" fontId="4" numFmtId="0" xfId="0" applyAlignment="1" applyFill="1" applyFont="1">
      <alignment shrinkToFit="0" vertical="center" wrapText="1"/>
    </xf>
    <xf borderId="1" fillId="4" fontId="5" numFmtId="0" xfId="0" applyAlignment="1" applyBorder="1" applyFont="1">
      <alignment shrinkToFit="0" wrapText="0"/>
    </xf>
    <xf borderId="1" fillId="4" fontId="6" numFmtId="0" xfId="0" applyAlignment="1" applyBorder="1" applyFont="1">
      <alignment shrinkToFit="0" wrapText="1"/>
    </xf>
    <xf borderId="1" fillId="4" fontId="7" numFmtId="0" xfId="0" applyAlignment="1" applyBorder="1" applyFont="1">
      <alignment shrinkToFit="0" vertical="bottom" wrapText="1"/>
    </xf>
    <xf borderId="0" fillId="4" fontId="8" numFmtId="0" xfId="0" applyAlignment="1" applyFont="1">
      <alignment shrinkToFit="0" wrapText="0"/>
    </xf>
    <xf borderId="0" fillId="4" fontId="8" numFmtId="0" xfId="0" applyAlignment="1" applyFont="1">
      <alignment horizontal="center" shrinkToFit="0" wrapText="0"/>
    </xf>
    <xf borderId="1" fillId="4" fontId="2" numFmtId="0" xfId="0" applyAlignment="1" applyBorder="1" applyFont="1">
      <alignment shrinkToFit="0" vertical="bottom" wrapText="1"/>
    </xf>
    <xf borderId="0" fillId="4" fontId="8" numFmtId="0" xfId="0" applyFont="1"/>
    <xf borderId="0" fillId="3" fontId="9" numFmtId="0" xfId="0" applyAlignment="1" applyFont="1">
      <alignment horizontal="center"/>
    </xf>
    <xf borderId="0" fillId="5" fontId="10" numFmtId="0" xfId="0" applyAlignment="1" applyFill="1" applyFont="1">
      <alignment horizontal="center" vertical="center"/>
    </xf>
    <xf borderId="2" fillId="5" fontId="10" numFmtId="0" xfId="0" applyAlignment="1" applyBorder="1" applyFont="1">
      <alignment horizontal="center" vertical="center"/>
    </xf>
    <xf borderId="3" fillId="0" fontId="11" numFmtId="0" xfId="0" applyBorder="1" applyFont="1"/>
    <xf borderId="3" fillId="5" fontId="10" numFmtId="0" xfId="0" applyAlignment="1" applyBorder="1" applyFont="1">
      <alignment horizontal="center" vertical="center"/>
    </xf>
    <xf borderId="4" fillId="0" fontId="11" numFmtId="0" xfId="0" applyBorder="1" applyFont="1"/>
    <xf borderId="0" fillId="0" fontId="2" numFmtId="0" xfId="0" applyAlignment="1" applyFont="1">
      <alignment horizontal="center" vertical="center"/>
    </xf>
    <xf borderId="0" fillId="0" fontId="10" numFmtId="0" xfId="0" applyAlignment="1" applyFont="1">
      <alignment horizontal="left" vertical="center"/>
    </xf>
    <xf borderId="0" fillId="3" fontId="3" numFmtId="0" xfId="0" applyAlignment="1" applyFont="1">
      <alignment horizontal="center"/>
    </xf>
    <xf borderId="1" fillId="3" fontId="3" numFmtId="0" xfId="0" applyAlignment="1" applyBorder="1" applyFont="1">
      <alignment horizontal="center"/>
    </xf>
    <xf borderId="1" fillId="3" fontId="3" numFmtId="0" xfId="0" applyAlignment="1" applyBorder="1" applyFont="1">
      <alignment horizontal="center" shrinkToFit="0" wrapText="1"/>
    </xf>
    <xf borderId="1" fillId="6" fontId="3" numFmtId="0" xfId="0" applyAlignment="1" applyBorder="1" applyFill="1" applyFont="1">
      <alignment horizontal="left" shrinkToFit="0" wrapText="1"/>
    </xf>
    <xf borderId="1" fillId="3" fontId="2" numFmtId="0" xfId="0" applyBorder="1" applyFont="1"/>
    <xf borderId="1" fillId="0" fontId="2" numFmtId="0" xfId="0" applyBorder="1" applyFont="1"/>
    <xf borderId="1" fillId="0" fontId="2" numFmtId="0" xfId="0" applyAlignment="1" applyBorder="1" applyFont="1">
      <alignment shrinkToFit="0" wrapText="1"/>
    </xf>
    <xf borderId="1" fillId="0" fontId="2" numFmtId="0" xfId="0" applyAlignment="1" applyBorder="1" applyFont="1">
      <alignment horizontal="left" shrinkToFit="0" wrapText="1"/>
    </xf>
    <xf borderId="1" fillId="0" fontId="2" numFmtId="164" xfId="0" applyBorder="1" applyFont="1" applyNumberFormat="1"/>
    <xf borderId="0" fillId="5" fontId="10" numFmtId="0" xfId="0" applyAlignment="1" applyFont="1">
      <alignment horizontal="center" shrinkToFit="0" vertical="center" wrapText="1"/>
    </xf>
    <xf borderId="3" fillId="5" fontId="10" numFmtId="0" xfId="0" applyAlignment="1" applyBorder="1" applyFont="1">
      <alignment horizontal="center" shrinkToFit="0" vertical="center" wrapText="1"/>
    </xf>
    <xf borderId="1" fillId="0" fontId="2" numFmtId="0" xfId="0" applyAlignment="1" applyBorder="1" applyFont="1">
      <alignment horizontal="left"/>
    </xf>
    <xf borderId="1" fillId="0" fontId="2" numFmtId="164" xfId="0" applyAlignment="1" applyBorder="1" applyFont="1" applyNumberFormat="1">
      <alignment horizontal="left"/>
    </xf>
    <xf borderId="2" fillId="3" fontId="9" numFmtId="0" xfId="0" applyAlignment="1" applyBorder="1" applyFont="1">
      <alignment horizontal="center"/>
    </xf>
    <xf borderId="0" fillId="0" fontId="2" numFmtId="164" xfId="0" applyAlignment="1" applyFont="1" applyNumberFormat="1">
      <alignment horizontal="center" vertical="center"/>
    </xf>
    <xf borderId="0" fillId="6" fontId="2" numFmtId="0" xfId="0" applyFont="1"/>
    <xf borderId="0" fillId="0" fontId="2" numFmtId="164" xfId="0" applyFont="1" applyNumberFormat="1"/>
    <xf borderId="0" fillId="0" fontId="12" numFmtId="0" xfId="0" applyAlignment="1" applyFont="1">
      <alignment vertical="top"/>
    </xf>
    <xf borderId="0" fillId="0" fontId="13" numFmtId="0" xfId="0" applyAlignment="1" applyFont="1">
      <alignment vertical="top"/>
    </xf>
    <xf borderId="1" fillId="0" fontId="2" numFmtId="164" xfId="0" applyAlignment="1" applyBorder="1" applyFont="1" applyNumberFormat="1">
      <alignment horizontal="left" shrinkToFit="0" wrapText="1"/>
    </xf>
    <xf borderId="0" fillId="0" fontId="2" numFmtId="3" xfId="0" applyAlignment="1" applyFont="1" applyNumberFormat="1">
      <alignment horizontal="center" vertical="center"/>
    </xf>
    <xf borderId="1" fillId="3" fontId="3" numFmtId="3" xfId="0" applyBorder="1" applyFont="1" applyNumberFormat="1"/>
    <xf borderId="0" fillId="0" fontId="14" numFmtId="0" xfId="0" applyAlignment="1" applyFont="1">
      <alignment vertical="top"/>
    </xf>
    <xf borderId="1" fillId="0" fontId="2" numFmtId="3" xfId="0" applyBorder="1" applyFont="1" applyNumberFormat="1"/>
    <xf borderId="1" fillId="0" fontId="2" numFmtId="3" xfId="0" applyAlignment="1" applyBorder="1" applyFont="1" applyNumberFormat="1">
      <alignment horizontal="left" shrinkToFit="0" wrapText="1"/>
    </xf>
    <xf borderId="1" fillId="3" fontId="2" numFmtId="0" xfId="0" applyAlignment="1" applyBorder="1" applyFont="1">
      <alignment shrinkToFit="0" wrapText="1"/>
    </xf>
    <xf borderId="0" fillId="0" fontId="2" numFmtId="165" xfId="0" applyAlignment="1" applyFont="1" applyNumberFormat="1">
      <alignment horizontal="center" vertical="center"/>
    </xf>
    <xf borderId="1" fillId="0" fontId="2" numFmtId="165" xfId="0" applyBorder="1" applyFont="1" applyNumberFormat="1"/>
    <xf borderId="1" fillId="0" fontId="2" numFmtId="165" xfId="0" applyAlignment="1" applyBorder="1" applyFont="1" applyNumberFormat="1">
      <alignment horizontal="left" shrinkToFit="0" wrapText="1"/>
    </xf>
    <xf borderId="0" fillId="0" fontId="2" numFmtId="0" xfId="0" applyAlignment="1" applyFont="1">
      <alignment vertical="top"/>
    </xf>
    <xf borderId="0" fillId="0" fontId="15" numFmtId="0" xfId="0" applyAlignment="1" applyFont="1">
      <alignment vertical="top"/>
    </xf>
    <xf borderId="0" fillId="0" fontId="2" numFmtId="0" xfId="0" applyAlignment="1" applyFont="1">
      <alignment horizontal="left" shrinkToFit="0" vertical="center" wrapText="1"/>
    </xf>
    <xf borderId="1" fillId="4" fontId="4" numFmtId="0" xfId="0" applyAlignment="1" applyBorder="1" applyFont="1">
      <alignment shrinkToFit="0" wrapText="1"/>
    </xf>
    <xf borderId="0" fillId="3" fontId="16" numFmtId="0" xfId="0" applyAlignment="1" applyFont="1">
      <alignment horizontal="center" shrinkToFit="0" wrapText="1"/>
    </xf>
    <xf borderId="0" fillId="5" fontId="9" numFmtId="0" xfId="0" applyAlignment="1" applyFont="1">
      <alignment horizontal="center" shrinkToFit="0" vertical="center" wrapText="1"/>
    </xf>
    <xf borderId="0" fillId="5" fontId="9" numFmtId="0" xfId="0" applyAlignment="1" applyFont="1">
      <alignment horizontal="center" vertical="center"/>
    </xf>
    <xf borderId="0" fillId="3" fontId="3" numFmtId="0" xfId="0" applyAlignment="1" applyFont="1">
      <alignment shrinkToFit="0" wrapText="1"/>
    </xf>
    <xf borderId="1" fillId="3" fontId="3" numFmtId="0" xfId="0" applyAlignment="1" applyBorder="1" applyFont="1">
      <alignment horizontal="left" shrinkToFit="0" wrapText="1"/>
    </xf>
    <xf borderId="1" fillId="3" fontId="3"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1" fillId="0" fontId="17" numFmtId="0" xfId="0" applyAlignment="1" applyBorder="1" applyFont="1">
      <alignment horizontal="left" shrinkToFit="0" vertical="center" wrapText="1"/>
    </xf>
    <xf borderId="1" fillId="0" fontId="2" numFmtId="166" xfId="0" applyAlignment="1" applyBorder="1" applyFont="1" applyNumberFormat="1">
      <alignment horizontal="left" shrinkToFit="0" wrapText="1"/>
    </xf>
    <xf borderId="1" fillId="0" fontId="2" numFmtId="167" xfId="0" applyAlignment="1" applyBorder="1" applyFont="1" applyNumberFormat="1">
      <alignment horizontal="left" shrinkToFit="0" wrapText="1"/>
    </xf>
    <xf borderId="0" fillId="0" fontId="18" numFmtId="0" xfId="0" applyAlignment="1" applyFont="1">
      <alignment horizontal="center"/>
    </xf>
    <xf borderId="0" fillId="0" fontId="18" numFmtId="0" xfId="0" applyAlignment="1" applyFont="1">
      <alignment shrinkToFit="0" wrapText="1"/>
    </xf>
    <xf borderId="0" fillId="0" fontId="10" numFmtId="0" xfId="0" applyAlignment="1" applyFont="1">
      <alignment horizontal="center"/>
    </xf>
    <xf borderId="2" fillId="3" fontId="19" numFmtId="0" xfId="0" applyAlignment="1" applyBorder="1" applyFont="1">
      <alignment horizontal="center"/>
    </xf>
    <xf borderId="1" fillId="7" fontId="10" numFmtId="0" xfId="0" applyAlignment="1" applyBorder="1" applyFill="1" applyFont="1">
      <alignment horizontal="center"/>
    </xf>
    <xf borderId="1" fillId="8" fontId="10" numFmtId="0" xfId="0" applyAlignment="1" applyBorder="1" applyFill="1" applyFont="1">
      <alignment horizontal="center" shrinkToFit="0" wrapText="1"/>
    </xf>
    <xf borderId="1" fillId="8" fontId="10" numFmtId="0" xfId="0" applyAlignment="1" applyBorder="1" applyFont="1">
      <alignment horizontal="center"/>
    </xf>
    <xf borderId="1" fillId="3" fontId="9" numFmtId="0" xfId="0" applyAlignment="1" applyBorder="1" applyFont="1">
      <alignment horizontal="center"/>
    </xf>
    <xf borderId="1" fillId="3" fontId="9" numFmtId="0" xfId="0" applyAlignment="1" applyBorder="1" applyFont="1">
      <alignment horizontal="center" shrinkToFit="0" wrapText="1"/>
    </xf>
    <xf borderId="1" fillId="0" fontId="2" numFmtId="0" xfId="0" applyAlignment="1" applyBorder="1" applyFont="1">
      <alignment horizontal="center"/>
    </xf>
    <xf borderId="1" fillId="0" fontId="2" numFmtId="0" xfId="0" applyAlignment="1" applyBorder="1" applyFont="1">
      <alignment horizontal="center" shrinkToFit="0" wrapText="1"/>
    </xf>
    <xf borderId="2" fillId="0" fontId="17" numFmtId="0" xfId="0" applyAlignment="1" applyBorder="1" applyFont="1">
      <alignment horizontal="left" vertical="bottom"/>
    </xf>
    <xf borderId="1" fillId="0" fontId="17" numFmtId="0" xfId="0" applyAlignment="1" applyBorder="1" applyFont="1">
      <alignment shrinkToFit="0" vertical="bottom" wrapText="1"/>
    </xf>
    <xf borderId="5" fillId="0" fontId="17" numFmtId="0" xfId="0" applyAlignment="1" applyBorder="1" applyFont="1">
      <alignment horizontal="left" shrinkToFit="0" vertical="bottom" wrapText="1"/>
    </xf>
    <xf borderId="5" fillId="0" fontId="17" numFmtId="0" xfId="0" applyAlignment="1" applyBorder="1" applyFont="1">
      <alignment horizontal="left" vertical="bottom"/>
    </xf>
    <xf borderId="1" fillId="4" fontId="20" numFmtId="0" xfId="0" applyAlignment="1" applyBorder="1" applyFont="1">
      <alignment horizontal="center"/>
    </xf>
    <xf borderId="6" fillId="0" fontId="17" numFmtId="0" xfId="0" applyAlignment="1" applyBorder="1" applyFont="1">
      <alignment horizontal="left" vertical="bottom"/>
    </xf>
    <xf borderId="1" fillId="0" fontId="17" numFmtId="0" xfId="0" applyAlignment="1" applyBorder="1" applyFont="1">
      <alignment horizontal="left" vertical="bottom"/>
    </xf>
    <xf borderId="7" fillId="0" fontId="17" numFmtId="0" xfId="0" applyAlignment="1" applyBorder="1" applyFont="1">
      <alignment horizontal="left" vertical="bottom"/>
    </xf>
    <xf quotePrefix="1" borderId="1" fillId="0" fontId="2" numFmtId="0" xfId="0" applyBorder="1" applyFont="1"/>
    <xf borderId="0" fillId="0" fontId="2" numFmtId="0" xfId="0" applyAlignment="1" applyFont="1">
      <alignment horizontal="center"/>
    </xf>
    <xf borderId="0" fillId="0" fontId="2" numFmtId="0" xfId="0" applyAlignment="1" applyFont="1">
      <alignment vertical="bottom"/>
    </xf>
    <xf borderId="8" fillId="0" fontId="2" numFmtId="0" xfId="0" applyAlignment="1" applyBorder="1" applyFont="1">
      <alignment vertical="bottom"/>
    </xf>
    <xf borderId="9" fillId="0" fontId="2" numFmtId="0" xfId="0" applyAlignment="1" applyBorder="1" applyFont="1">
      <alignment vertical="bottom"/>
    </xf>
    <xf borderId="8" fillId="3" fontId="19" numFmtId="0" xfId="0" applyAlignment="1" applyBorder="1" applyFont="1">
      <alignment horizontal="center" shrinkToFit="0" vertical="bottom" wrapText="1"/>
    </xf>
    <xf borderId="8" fillId="0" fontId="11" numFmtId="0" xfId="0" applyBorder="1" applyFont="1"/>
    <xf borderId="10" fillId="0" fontId="11" numFmtId="0" xfId="0" applyBorder="1" applyFont="1"/>
    <xf borderId="10" fillId="0" fontId="2" numFmtId="0" xfId="0" applyAlignment="1" applyBorder="1" applyFont="1">
      <alignment vertical="bottom"/>
    </xf>
    <xf borderId="8" fillId="2" fontId="19" numFmtId="0" xfId="0" applyAlignment="1" applyBorder="1" applyFont="1">
      <alignment horizontal="center" shrinkToFit="0" vertical="bottom" wrapText="1"/>
    </xf>
    <xf borderId="10" fillId="7" fontId="10" numFmtId="0" xfId="0" applyAlignment="1" applyBorder="1" applyFont="1">
      <alignment horizontal="center" vertical="bottom"/>
    </xf>
    <xf borderId="10" fillId="8" fontId="10" numFmtId="0" xfId="0" applyAlignment="1" applyBorder="1" applyFont="1">
      <alignment horizontal="center" shrinkToFit="0" vertical="bottom" wrapText="1"/>
    </xf>
    <xf borderId="10" fillId="8" fontId="10" numFmtId="0" xfId="0" applyAlignment="1" applyBorder="1" applyFont="1">
      <alignment horizontal="center" vertical="bottom"/>
    </xf>
    <xf borderId="10" fillId="3" fontId="9" numFmtId="0" xfId="0" applyAlignment="1" applyBorder="1" applyFont="1">
      <alignment shrinkToFit="0" vertical="bottom" wrapText="1"/>
    </xf>
    <xf quotePrefix="1" borderId="10" fillId="0" fontId="2" numFmtId="0" xfId="0" applyAlignment="1" applyBorder="1" applyFont="1">
      <alignment horizontal="center" vertical="bottom"/>
    </xf>
    <xf quotePrefix="1" borderId="10" fillId="0" fontId="2" numFmtId="0" xfId="0" applyAlignment="1" applyBorder="1" applyFont="1">
      <alignment horizontal="center" shrinkToFit="0" vertical="bottom" wrapText="1"/>
    </xf>
    <xf borderId="10" fillId="0" fontId="2" numFmtId="0" xfId="0" applyAlignment="1" applyBorder="1" applyFont="1">
      <alignment shrinkToFit="0" vertical="bottom" wrapText="1"/>
    </xf>
    <xf borderId="10" fillId="0" fontId="21" numFmtId="0" xfId="0" applyAlignment="1" applyBorder="1" applyFont="1">
      <alignment vertical="bottom"/>
    </xf>
    <xf borderId="10" fillId="0" fontId="21" numFmtId="0" xfId="0" applyAlignment="1" applyBorder="1" applyFont="1">
      <alignment shrinkToFit="0" vertical="bottom" wrapText="1"/>
    </xf>
    <xf borderId="10" fillId="0" fontId="2" numFmtId="165" xfId="0" applyAlignment="1" applyBorder="1" applyFont="1" applyNumberFormat="1">
      <alignment vertical="bottom"/>
    </xf>
    <xf borderId="0" fillId="0" fontId="2" numFmtId="168" xfId="0" applyFont="1" applyNumberFormat="1"/>
    <xf borderId="10" fillId="0" fontId="2" numFmtId="167" xfId="0" applyAlignment="1" applyBorder="1" applyFont="1" applyNumberFormat="1">
      <alignment shrinkToFit="0" vertical="bottom" wrapText="1"/>
    </xf>
    <xf borderId="10" fillId="0" fontId="2" numFmtId="165" xfId="0" applyAlignment="1" applyBorder="1" applyFont="1" applyNumberFormat="1">
      <alignment shrinkToFit="0" vertical="bottom" wrapText="1"/>
    </xf>
    <xf borderId="10" fillId="0" fontId="2" numFmtId="0" xfId="0" applyAlignment="1" applyBorder="1" applyFont="1">
      <alignment horizontal="center" shrinkToFit="0" vertical="bottom" wrapText="1"/>
    </xf>
    <xf borderId="10" fillId="4" fontId="2" numFmtId="0" xfId="0" applyAlignment="1" applyBorder="1" applyFont="1">
      <alignment horizontal="center" vertical="bottom"/>
    </xf>
    <xf borderId="10" fillId="0" fontId="2" numFmtId="168" xfId="0" applyAlignment="1" applyBorder="1" applyFont="1" applyNumberFormat="1">
      <alignment shrinkToFit="0" vertical="bottom" wrapText="1"/>
    </xf>
    <xf borderId="2" fillId="2" fontId="19" numFmtId="0" xfId="0" applyAlignment="1" applyBorder="1" applyFont="1">
      <alignment horizontal="center" shrinkToFit="0" vertical="center" wrapText="1"/>
    </xf>
    <xf borderId="1" fillId="0" fontId="17" numFmtId="0" xfId="0" applyAlignment="1" applyBorder="1" applyFont="1">
      <alignment vertical="bottom"/>
    </xf>
    <xf borderId="0" fillId="0" fontId="2" numFmtId="165" xfId="0" applyFont="1" applyNumberFormat="1"/>
    <xf borderId="0" fillId="4" fontId="20" numFmtId="0" xfId="0" applyAlignment="1" applyFont="1">
      <alignment horizontal="left"/>
    </xf>
    <xf borderId="1" fillId="0" fontId="22" numFmtId="0" xfId="0" applyAlignment="1" applyBorder="1" applyFont="1">
      <alignment horizontal="left" shrinkToFit="0" wrapText="1"/>
    </xf>
    <xf quotePrefix="1" borderId="1" fillId="0" fontId="2" numFmtId="0" xfId="0" applyAlignment="1" applyBorder="1" applyFont="1">
      <alignment shrinkToFit="0" wrapText="1"/>
    </xf>
    <xf borderId="1" fillId="0" fontId="2" numFmtId="168" xfId="0" applyAlignment="1" applyBorder="1" applyFont="1" applyNumberFormat="1">
      <alignment horizontal="left" shrinkToFit="0" wrapText="1"/>
    </xf>
    <xf borderId="0" fillId="0" fontId="1" numFmtId="0" xfId="0" applyAlignment="1" applyFont="1">
      <alignment shrinkToFit="0" vertical="bottom" wrapText="0"/>
    </xf>
    <xf borderId="0" fillId="0" fontId="23" numFmtId="0" xfId="0" applyAlignment="1" applyFont="1">
      <alignment vertical="bottom"/>
    </xf>
    <xf quotePrefix="1" borderId="1" fillId="0" fontId="2" numFmtId="0" xfId="0" applyAlignment="1" applyBorder="1" applyFont="1">
      <alignment horizontal="center" shrinkToFit="0" vertical="bottom" wrapText="1"/>
    </xf>
    <xf borderId="1" fillId="0" fontId="21" numFmtId="0" xfId="0" applyAlignment="1" applyBorder="1" applyFont="1">
      <alignment shrinkToFit="0" vertical="bottom" wrapText="1"/>
    </xf>
    <xf borderId="1" fillId="0" fontId="2" numFmtId="0" xfId="0" applyAlignment="1" applyBorder="1" applyFont="1">
      <alignment shrinkToFit="0" vertical="bottom" wrapText="1"/>
    </xf>
    <xf borderId="1" fillId="0" fontId="2" numFmtId="0" xfId="0" applyAlignment="1" applyBorder="1" applyFont="1">
      <alignment horizontal="center" shrinkToFit="0" vertical="bottom" wrapText="1"/>
    </xf>
    <xf borderId="0" fillId="0" fontId="2" numFmtId="3" xfId="0" applyFont="1" applyNumberFormat="1"/>
    <xf borderId="1" fillId="0" fontId="2" numFmtId="0" xfId="0" applyAlignment="1" applyBorder="1" applyFont="1">
      <alignment vertical="bottom"/>
    </xf>
    <xf borderId="0" fillId="0" fontId="1" numFmtId="0" xfId="0" applyFont="1"/>
    <xf borderId="0" fillId="0" fontId="10" numFmtId="0" xfId="0" applyFont="1"/>
    <xf borderId="0" fillId="0" fontId="3" numFmtId="0" xfId="0" applyFont="1"/>
    <xf borderId="1" fillId="0" fontId="2" numFmtId="166" xfId="0" applyBorder="1" applyFont="1" applyNumberFormat="1"/>
    <xf borderId="1" fillId="0" fontId="2" numFmtId="167" xfId="0" applyBorder="1" applyFont="1" applyNumberFormat="1"/>
    <xf borderId="0" fillId="0" fontId="24" numFmtId="0" xfId="0" applyFont="1"/>
    <xf borderId="0" fillId="0" fontId="25" numFmtId="0" xfId="0" applyFont="1"/>
    <xf borderId="0" fillId="0" fontId="26" numFmtId="0" xfId="0" applyAlignment="1" applyFont="1">
      <alignment horizontal="left" shrinkToFit="0" vertical="bottom" wrapText="0"/>
    </xf>
    <xf borderId="0" fillId="0" fontId="26" numFmtId="0" xfId="0" applyAlignment="1" applyFont="1">
      <alignment horizontal="left" shrinkToFit="0" vertical="bottom" wrapText="1"/>
    </xf>
    <xf borderId="1" fillId="3" fontId="27" numFmtId="0" xfId="0" applyAlignment="1" applyBorder="1" applyFont="1">
      <alignment shrinkToFit="0" vertical="bottom" wrapText="0"/>
    </xf>
    <xf borderId="0" fillId="0" fontId="28" numFmtId="0" xfId="0" applyAlignment="1" applyFont="1">
      <alignment shrinkToFit="0" vertical="bottom" wrapText="0"/>
    </xf>
    <xf borderId="1" fillId="0" fontId="28" numFmtId="0" xfId="0" applyAlignment="1" applyBorder="1" applyFont="1">
      <alignment shrinkToFit="0" vertical="bottom" wrapText="0"/>
    </xf>
    <xf borderId="1" fillId="0" fontId="28" numFmtId="0" xfId="0" applyAlignment="1" applyBorder="1" applyFont="1">
      <alignment horizontal="left" shrinkToFit="0" vertical="bottom" wrapText="1"/>
    </xf>
    <xf borderId="1" fillId="0" fontId="28" numFmtId="0" xfId="0" applyAlignment="1" applyBorder="1" applyFont="1">
      <alignment horizontal="right" shrinkToFit="0" vertical="bottom" wrapText="0"/>
    </xf>
    <xf borderId="1" fillId="0" fontId="28" numFmtId="169" xfId="0" applyAlignment="1" applyBorder="1" applyFont="1" applyNumberFormat="1">
      <alignment horizontal="right" shrinkToFit="0" vertical="bottom" wrapText="0"/>
    </xf>
    <xf borderId="1" fillId="0" fontId="29" numFmtId="0" xfId="0" applyAlignment="1" applyBorder="1" applyFont="1">
      <alignment shrinkToFit="0" vertical="bottom" wrapText="0"/>
    </xf>
    <xf borderId="0" fillId="0" fontId="28" numFmtId="0" xfId="0" applyAlignment="1" applyFont="1">
      <alignment horizontal="right" shrinkToFit="0" vertical="bottom" wrapText="0"/>
    </xf>
    <xf borderId="1" fillId="0" fontId="28" numFmtId="169" xfId="0" applyAlignment="1" applyBorder="1" applyFont="1" applyNumberFormat="1">
      <alignment horizontal="left" shrinkToFit="0" vertical="bottom" wrapText="1"/>
    </xf>
    <xf borderId="1" fillId="0" fontId="30" numFmtId="0" xfId="0" applyAlignment="1" applyBorder="1" applyFont="1">
      <alignment horizontal="left" shrinkToFit="0" vertical="bottom" wrapText="1"/>
    </xf>
    <xf borderId="1" fillId="0" fontId="28" numFmtId="0" xfId="0" applyAlignment="1" applyBorder="1" applyFont="1">
      <alignment horizontal="left" shrinkToFit="0" vertical="bottom" wrapText="0"/>
    </xf>
    <xf borderId="0" fillId="0" fontId="31" numFmtId="0" xfId="0" applyFont="1"/>
    <xf borderId="1" fillId="0" fontId="28" numFmtId="0" xfId="0" applyAlignment="1" applyBorder="1" applyFont="1">
      <alignment horizontal="center" shrinkToFit="0" vertical="bottom" wrapText="0"/>
    </xf>
    <xf borderId="1" fillId="0" fontId="17" numFmtId="0" xfId="0" applyAlignment="1" applyBorder="1" applyFont="1">
      <alignment shrinkToFit="0" vertical="bottom" wrapText="0"/>
    </xf>
    <xf borderId="8" fillId="0" fontId="2" numFmtId="0" xfId="0" applyAlignment="1" applyBorder="1" applyFont="1">
      <alignment horizontal="left" shrinkToFit="0" wrapText="1"/>
    </xf>
    <xf borderId="7" fillId="3" fontId="3" numFmtId="0" xfId="0" applyAlignment="1" applyBorder="1" applyFont="1">
      <alignment horizontal="center"/>
    </xf>
    <xf borderId="1" fillId="0" fontId="28" numFmtId="3" xfId="0" applyAlignment="1" applyBorder="1" applyFont="1" applyNumberFormat="1">
      <alignment horizontal="right" shrinkToFit="0" vertical="bottom" wrapText="0"/>
    </xf>
    <xf borderId="1" fillId="0" fontId="28" numFmtId="166" xfId="0" applyAlignment="1" applyBorder="1" applyFont="1" applyNumberFormat="1">
      <alignment horizontal="right" shrinkToFit="0" vertical="bottom" wrapText="0"/>
    </xf>
    <xf borderId="1" fillId="0" fontId="28" numFmtId="170" xfId="0" applyAlignment="1" applyBorder="1" applyFont="1" applyNumberFormat="1">
      <alignment horizontal="right" shrinkToFit="0" vertical="bottom" wrapText="0"/>
    </xf>
    <xf borderId="1" fillId="0" fontId="28" numFmtId="171" xfId="0" applyAlignment="1" applyBorder="1" applyFont="1" applyNumberFormat="1">
      <alignment horizontal="right" shrinkToFit="0" vertical="bottom" wrapText="0"/>
    </xf>
    <xf borderId="2" fillId="0" fontId="28" numFmtId="0" xfId="0" applyAlignment="1" applyBorder="1" applyFont="1">
      <alignment shrinkToFit="0" vertical="bottom" wrapText="0"/>
    </xf>
    <xf borderId="11" fillId="0" fontId="32" numFmtId="0" xfId="0" applyAlignment="1" applyBorder="1" applyFont="1">
      <alignment horizontal="left" shrinkToFit="0" vertical="bottom" wrapText="0"/>
    </xf>
    <xf borderId="1" fillId="0" fontId="32" numFmtId="0" xfId="0" applyAlignment="1" applyBorder="1" applyFont="1">
      <alignment horizontal="left" shrinkToFit="0" vertical="bottom" wrapText="0"/>
    </xf>
    <xf borderId="1" fillId="0" fontId="28" numFmtId="3" xfId="0" applyAlignment="1" applyBorder="1" applyFont="1" applyNumberFormat="1">
      <alignment shrinkToFit="0" vertical="bottom" wrapText="0"/>
    </xf>
    <xf borderId="1" fillId="0" fontId="33" numFmtId="0" xfId="0" applyAlignment="1" applyBorder="1" applyFont="1">
      <alignment horizontal="left" shrinkToFit="0" vertical="bottom" wrapText="0"/>
    </xf>
    <xf borderId="0" fillId="0" fontId="1"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customschemas.google.com/relationships/workbookmetadata" Target="metadata"/><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apainversionesanalytics.blob.core.windows.net/sourceraw/DOM/SNIP/BID_BASE_CIA_END_MIP/CSV/2024/05/24/BID_Base_Cla_end_mip.csv" TargetMode="External"/><Relationship Id="rId2" Type="http://schemas.openxmlformats.org/officeDocument/2006/relationships/hyperlink" Target="https://mapainversionesanalytics.blob.core.windows.net/sourceraw/DOM/SNIP/BID_BASE_CLA_INSTITUCIONES_SNIP_MIP/CSV/2024/05/24/BID_Base_Cla_Instituciones_snip_mip.csv" TargetMode="External"/><Relationship Id="rId3" Type="http://schemas.openxmlformats.org/officeDocument/2006/relationships/hyperlink" Target="https://mapainversionesanalytics.blob.core.windows.net/sourceraw/DOM/SNIP/BID_BASE_CRONOGRAMAS_PROYECTO_FISICO_MIP/CSV/2024/05/24/BID_Base_cronogramas_proyecto_fisico_mip.csv" TargetMode="External"/><Relationship Id="rId4" Type="http://schemas.openxmlformats.org/officeDocument/2006/relationships/hyperlink" Target="https://mapainversionesanalytics.blob.core.windows.net/sourceraw/DOM/SNIP/BID_BASE_FASES_MIP/CSV/2024/05/24/BID_Base_Fases_mip.csv" TargetMode="External"/><Relationship Id="rId9" Type="http://schemas.openxmlformats.org/officeDocument/2006/relationships/drawing" Target="../drawings/drawing1.xml"/><Relationship Id="rId5" Type="http://schemas.openxmlformats.org/officeDocument/2006/relationships/hyperlink" Target="https://mapainversionesanalytics.blob.core.windows.net/sourceraw/DOM/SNIP/BID_BASE_FICHAS_PROYECTOS_MIP/CSV/2024/05/24/BID_Base_Fichas_Proyectos_mip.csv" TargetMode="External"/><Relationship Id="rId6" Type="http://schemas.openxmlformats.org/officeDocument/2006/relationships/hyperlink" Target="https://mapainversionesanalytics.blob.core.windows.net/sourceraw/DOM/SNIP/BID_BASE_PRESUPUESTO_MIP/CSV/2024/05/24/BID_Base_presupuesto_mip.csv" TargetMode="External"/><Relationship Id="rId7" Type="http://schemas.openxmlformats.org/officeDocument/2006/relationships/hyperlink" Target="https://mapainversionesanalytics.blob.core.windows.net/sourceraw/DOM/SNIP/BID_BASE_PROEJE_FISICA_MIP/CSV/2024/05/24/BID_Base_proeje_fisica_mip.csv" TargetMode="External"/><Relationship Id="rId8" Type="http://schemas.openxmlformats.org/officeDocument/2006/relationships/hyperlink" Target="https://mapainversionesanalytics.blob.core.windows.net/sourceraw/DOM/SNIP/BID_BASE_UBICACIONES_GEOGRAFICAS_MIP/CSV/2024/05/24/BID_Base_ubicaciones_geograficas_mip.csv"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mapainversionesanalytics.blob.core.windows.net/sourceraw/DOM/HACIENDA/PARTIDAS_DE_GASTO/CSV/2024/05/01/mh_partidas_de_gasto.csv" TargetMode="External"/><Relationship Id="rId2" Type="http://schemas.openxmlformats.org/officeDocument/2006/relationships/hyperlink" Target="https://mapainversionesanalytics.blob.core.windows.net/sourceraw/DOM/HACIENDA/PROCESOS_DE_COMPRA/CSV/2024/05/01/mh_procesos.csv" TargetMode="External"/><Relationship Id="rId3" Type="http://schemas.openxmlformats.org/officeDocument/2006/relationships/hyperlink" Target="https://mapainversionesanalytics.blob.core.windows.net/sourceraw/DOM/HACIENDA/CONTRATOS_DE_COMPRA/CSV/2024/05/01/mh_contratos.csv"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mapainversiones.economia.gob.do/Proyecto/PerfilProyecto/4432"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atosabiertos.dgcp.gob.do/opendata/tablas" TargetMode="External"/><Relationship Id="rId2" Type="http://schemas.openxmlformats.org/officeDocument/2006/relationships/hyperlink" Target="https://comunidad.comprasdominicana.gob.do//Public/Tendering/OpportunityDetail/Index?noticeUID=DO1.NTC.1280931"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atosabiertos.dgcp.gob.do/opendata/tablas" TargetMode="External"/><Relationship Id="rId2" Type="http://schemas.openxmlformats.org/officeDocument/2006/relationships/hyperlink" Target="https://comunidad.comprasdominicana.gob.do/Public/Tendering/ContractDetailView/Index?UniqueIdentifier=DO1.PCCNTR.1473506&amp;AwardContractDetailId=415729"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comunidad.comprasdominicana.gob.do/Public/Tendering/ContractDetailView/Index?UniqueIdentifier=DO1.PCCNTR.1432302&amp;AwardContractDetailId=394277" TargetMode="External"/><Relationship Id="rId42" Type="http://schemas.openxmlformats.org/officeDocument/2006/relationships/hyperlink" Target="https://comunidad.comprasdominicana.gob.do/Public/Tendering/ContractDetailView/Index?UniqueIdentifier=DO1.PCCNTR.1432205&amp;AwardContractDetailId=394288" TargetMode="External"/><Relationship Id="rId41" Type="http://schemas.openxmlformats.org/officeDocument/2006/relationships/hyperlink" Target="https://comunidad.comprasdominicana.gob.do//Public/Tendering/OpportunityDetail/Index?noticeUID=DO1.NTC.1133101" TargetMode="External"/><Relationship Id="rId44" Type="http://schemas.openxmlformats.org/officeDocument/2006/relationships/hyperlink" Target="https://comunidad.comprasdominicana.gob.do/Public/Tendering/ContractDetailView/Index?UniqueIdentifier=DO1.PCCNTR.1432308&amp;AwardContractDetailId=394283" TargetMode="External"/><Relationship Id="rId43" Type="http://schemas.openxmlformats.org/officeDocument/2006/relationships/hyperlink" Target="https://comunidad.comprasdominicana.gob.do//Public/Tendering/OpportunityDetail/Index?noticeUID=DO1.NTC.1133101" TargetMode="External"/><Relationship Id="rId46" Type="http://schemas.openxmlformats.org/officeDocument/2006/relationships/hyperlink" Target="https://comunidad.comprasdominicana.gob.do/Public/Tendering/ContractDetailView/Index?UniqueIdentifier=DO1.PCCNTR.1432306&amp;AwardContractDetailId=394281" TargetMode="External"/><Relationship Id="rId45" Type="http://schemas.openxmlformats.org/officeDocument/2006/relationships/hyperlink" Target="https://comunidad.comprasdominicana.gob.do//Public/Tendering/OpportunityDetail/Index?noticeUID=DO1.NTC.1133101" TargetMode="External"/><Relationship Id="rId106" Type="http://schemas.openxmlformats.org/officeDocument/2006/relationships/drawing" Target="../drawings/drawing9.xml"/><Relationship Id="rId105" Type="http://schemas.openxmlformats.org/officeDocument/2006/relationships/hyperlink" Target="https://comunidad.comprasdominicana.gob.do/Public/Companies/SupplierSearchPublic/DownloadSupplierDocument?companyCode=700000011" TargetMode="External"/><Relationship Id="rId104" Type="http://schemas.openxmlformats.org/officeDocument/2006/relationships/hyperlink" Target="https://comunidad.comprasdominicana.gob.do/Public/Companies/SupplierSearchPublic/DownloadSupplierDocument?companyCode=700009780" TargetMode="External"/><Relationship Id="rId48" Type="http://schemas.openxmlformats.org/officeDocument/2006/relationships/hyperlink" Target="https://comunidad.comprasdominicana.gob.do/Public/Tendering/ContractDetailView/Index?UniqueIdentifier=DO1.PCCNTR.1438214&amp;AwardContractDetailId=391026" TargetMode="External"/><Relationship Id="rId47" Type="http://schemas.openxmlformats.org/officeDocument/2006/relationships/hyperlink" Target="https://comunidad.comprasdominicana.gob.do//Public/Tendering/OpportunityDetail/Index?noticeUID=DO1.NTC.1133101" TargetMode="External"/><Relationship Id="rId49" Type="http://schemas.openxmlformats.org/officeDocument/2006/relationships/hyperlink" Target="https://comunidad.comprasdominicana.gob.do//Public/Tendering/OpportunityDetail/Index?noticeUID=DO1.NTC.1136639" TargetMode="External"/><Relationship Id="rId103" Type="http://schemas.openxmlformats.org/officeDocument/2006/relationships/hyperlink" Target="https://comunidad.comprasdominicana.gob.do/Public/Companies/SupplierSearchPublic/DownloadSupplierDocument?companyCode=700009715" TargetMode="External"/><Relationship Id="rId102" Type="http://schemas.openxmlformats.org/officeDocument/2006/relationships/hyperlink" Target="https://comunidad.comprasdominicana.gob.do/Public/Companies/SupplierSearchPublic/DownloadSupplierDocument?companyCode=700009699" TargetMode="External"/><Relationship Id="rId101" Type="http://schemas.openxmlformats.org/officeDocument/2006/relationships/hyperlink" Target="https://comunidad.comprasdominicana.gob.do/Public/Companies/SupplierSearchPublic/DownloadSupplierDocument?companyCode=700006620" TargetMode="External"/><Relationship Id="rId100" Type="http://schemas.openxmlformats.org/officeDocument/2006/relationships/hyperlink" Target="https://comunidad.comprasdominicana.gob.do/Public/Companies/SupplierSearchPublic/DownloadSupplierDocument?companyCode=700006604" TargetMode="External"/><Relationship Id="rId31" Type="http://schemas.openxmlformats.org/officeDocument/2006/relationships/hyperlink" Target="https://comunidad.comprasdominicana.gob.do//Public/Tendering/OpportunityDetail/Index?noticeUID=DO1.NTC.1133101" TargetMode="External"/><Relationship Id="rId30" Type="http://schemas.openxmlformats.org/officeDocument/2006/relationships/hyperlink" Target="https://comunidad.comprasdominicana.gob.do/Public/Tendering/ContractDetailView/Index?UniqueIdentifier=DO1.PCCNTR.1432203&amp;AwardContractDetailId=394287" TargetMode="External"/><Relationship Id="rId33" Type="http://schemas.openxmlformats.org/officeDocument/2006/relationships/hyperlink" Target="https://comunidad.comprasdominicana.gob.do//Public/Tendering/OpportunityDetail/Index?noticeUID=DO1.NTC.1133101" TargetMode="External"/><Relationship Id="rId32" Type="http://schemas.openxmlformats.org/officeDocument/2006/relationships/hyperlink" Target="https://comunidad.comprasdominicana.gob.do/Public/Tendering/ContractDetailView/Index?UniqueIdentifier=DO1.PCCNTR.1432301&amp;AwardContractDetailId=394276" TargetMode="External"/><Relationship Id="rId35" Type="http://schemas.openxmlformats.org/officeDocument/2006/relationships/hyperlink" Target="https://comunidad.comprasdominicana.gob.do//Public/Tendering/OpportunityDetail/Index?noticeUID=DO1.NTC.1133101" TargetMode="External"/><Relationship Id="rId34" Type="http://schemas.openxmlformats.org/officeDocument/2006/relationships/hyperlink" Target="https://comunidad.comprasdominicana.gob.do/Public/Tendering/ContractDetailView/Index?UniqueIdentifier=DO1.PCCNTR.1432202&amp;AwardContractDetailId=394286" TargetMode="External"/><Relationship Id="rId37" Type="http://schemas.openxmlformats.org/officeDocument/2006/relationships/hyperlink" Target="https://comunidad.comprasdominicana.gob.do//Public/Tendering/OpportunityDetail/Index?noticeUID=DO1.NTC.1133101" TargetMode="External"/><Relationship Id="rId36" Type="http://schemas.openxmlformats.org/officeDocument/2006/relationships/hyperlink" Target="https://comunidad.comprasdominicana.gob.do/Public/Tendering/ContractDetailView/Index?UniqueIdentifier=DO1.PCCNTR.1432206&amp;AwardContractDetailId=394289" TargetMode="External"/><Relationship Id="rId39" Type="http://schemas.openxmlformats.org/officeDocument/2006/relationships/hyperlink" Target="https://comunidad.comprasdominicana.gob.do//Public/Tendering/OpportunityDetail/Index?noticeUID=DO1.NTC.1133101" TargetMode="External"/><Relationship Id="rId38" Type="http://schemas.openxmlformats.org/officeDocument/2006/relationships/hyperlink" Target="https://comunidad.comprasdominicana.gob.do/Public/Tendering/ContractDetailView/Index?UniqueIdentifier=DO1.PCCNTR.1432303&amp;AwardContractDetailId=394278" TargetMode="External"/><Relationship Id="rId20" Type="http://schemas.openxmlformats.org/officeDocument/2006/relationships/hyperlink" Target="https://comunidad.comprasdominicana.gob.do//Public/Tendering/OpportunityDetail/Index?noticeUID=DO1.NTC.1143530" TargetMode="External"/><Relationship Id="rId22" Type="http://schemas.openxmlformats.org/officeDocument/2006/relationships/hyperlink" Target="https://comunidad.comprasdominicana.gob.do//Public/Tendering/OpportunityDetail/Index?noticeUID=DO1.NTC.1138323" TargetMode="External"/><Relationship Id="rId21" Type="http://schemas.openxmlformats.org/officeDocument/2006/relationships/hyperlink" Target="https://comunidad.comprasdominicana.gob.do//Public/Tendering/OpportunityDetail/Index?noticeUID=DO1.NTC.1145122" TargetMode="External"/><Relationship Id="rId24" Type="http://schemas.openxmlformats.org/officeDocument/2006/relationships/hyperlink" Target="https://comunidad.comprasdominicana.gob.do//Public/Tendering/OpportunityDetail/Index?noticeUID=DO1.NTC.1143848" TargetMode="External"/><Relationship Id="rId23" Type="http://schemas.openxmlformats.org/officeDocument/2006/relationships/hyperlink" Target="https://comunidad.comprasdominicana.gob.do//Public/Tendering/OpportunityDetail/Index?noticeUID=DO1.NTC.1145242" TargetMode="External"/><Relationship Id="rId26" Type="http://schemas.openxmlformats.org/officeDocument/2006/relationships/hyperlink" Target="https://comunidad.comprasdominicana.gob.do//Public/Tendering/OpportunityDetail/Index?noticeUID=DO1.NTC.1144707" TargetMode="External"/><Relationship Id="rId25" Type="http://schemas.openxmlformats.org/officeDocument/2006/relationships/hyperlink" Target="https://comunidad.comprasdominicana.gob.do//Public/Tendering/OpportunityDetail/Index?noticeUID=DO1.NTC.1136258" TargetMode="External"/><Relationship Id="rId28" Type="http://schemas.openxmlformats.org/officeDocument/2006/relationships/hyperlink" Target="https://comunidad.comprasdominicana.gob.do//Public/Tendering/OpportunityDetail/Index?noticeUID=DO1.NTC.1104243" TargetMode="External"/><Relationship Id="rId27" Type="http://schemas.openxmlformats.org/officeDocument/2006/relationships/hyperlink" Target="https://comunidad.comprasdominicana.gob.do//Public/Tendering/OpportunityDetail/Index?noticeUID=DO1.NTC.1143756" TargetMode="External"/><Relationship Id="rId29" Type="http://schemas.openxmlformats.org/officeDocument/2006/relationships/hyperlink" Target="https://api.dgcp.gob.do/opendata/emergencia/contratos.csv" TargetMode="External"/><Relationship Id="rId95" Type="http://schemas.openxmlformats.org/officeDocument/2006/relationships/hyperlink" Target="https://comunidad.comprasdominicana.gob.do/Public/Companies/SupplierSearchPublic/DownloadSupplierDocument?companyCode=700000193" TargetMode="External"/><Relationship Id="rId94" Type="http://schemas.openxmlformats.org/officeDocument/2006/relationships/hyperlink" Target="https://comunidad.comprasdominicana.gob.do/Public/Companies/SupplierSearchPublic/DownloadSupplierDocument?companyCode=700009822" TargetMode="External"/><Relationship Id="rId97" Type="http://schemas.openxmlformats.org/officeDocument/2006/relationships/hyperlink" Target="https://comunidad.comprasdominicana.gob.do/Public/Companies/SupplierSearchPublic/DownloadSupplierDocument?companyCode=700006463" TargetMode="External"/><Relationship Id="rId96" Type="http://schemas.openxmlformats.org/officeDocument/2006/relationships/hyperlink" Target="https://comunidad.comprasdominicana.gob.do/Public/Companies/SupplierSearchPublic/DownloadSupplierDocument?companyCode=700006448" TargetMode="External"/><Relationship Id="rId11" Type="http://schemas.openxmlformats.org/officeDocument/2006/relationships/hyperlink" Target="https://comunidad.comprasdominicana.gob.do//Public/Tendering/OpportunityDetail/Index?noticeUID=DO1.NTC.1142636" TargetMode="External"/><Relationship Id="rId99" Type="http://schemas.openxmlformats.org/officeDocument/2006/relationships/hyperlink" Target="https://comunidad.comprasdominicana.gob.do/Public/Companies/SupplierSearchPublic/DownloadSupplierDocument?companyCode=700006539" TargetMode="External"/><Relationship Id="rId10" Type="http://schemas.openxmlformats.org/officeDocument/2006/relationships/hyperlink" Target="https://comunidad.comprasdominicana.gob.do//Public/Tendering/OpportunityDetail/Index?noticeUID=DO1.NTC.1142942" TargetMode="External"/><Relationship Id="rId98" Type="http://schemas.openxmlformats.org/officeDocument/2006/relationships/hyperlink" Target="https://comunidad.comprasdominicana.gob.do/Public/Companies/SupplierSearchPublic/DownloadSupplierDocument?companyCode=700006513" TargetMode="External"/><Relationship Id="rId13" Type="http://schemas.openxmlformats.org/officeDocument/2006/relationships/hyperlink" Target="https://comunidad.comprasdominicana.gob.do//Public/Tendering/OpportunityDetail/Index?noticeUID=DO1.NTC.1143968" TargetMode="External"/><Relationship Id="rId12" Type="http://schemas.openxmlformats.org/officeDocument/2006/relationships/hyperlink" Target="https://comunidad.comprasdominicana.gob.do//Public/Tendering/OpportunityDetail/Index?noticeUID=DO1.NTC.1142737" TargetMode="External"/><Relationship Id="rId91" Type="http://schemas.openxmlformats.org/officeDocument/2006/relationships/hyperlink" Target="https://comunidad.comprasdominicana.gob.do/Public/Companies/SupplierSearchPublic/DownloadSupplierDocument?companyCode=700009673" TargetMode="External"/><Relationship Id="rId90" Type="http://schemas.openxmlformats.org/officeDocument/2006/relationships/hyperlink" Target="https://comunidad.comprasdominicana.gob.do/Public/Companies/SupplierSearchPublic/DownloadSupplierDocument?companyCode=700009665" TargetMode="External"/><Relationship Id="rId93" Type="http://schemas.openxmlformats.org/officeDocument/2006/relationships/hyperlink" Target="https://comunidad.comprasdominicana.gob.do/Public/Companies/SupplierSearchPublic/DownloadSupplierDocument?companyCode=700009814" TargetMode="External"/><Relationship Id="rId92" Type="http://schemas.openxmlformats.org/officeDocument/2006/relationships/hyperlink" Target="https://comunidad.comprasdominicana.gob.do/Public/Companies/SupplierSearchPublic/DownloadSupplierDocument?companyCode=700009681" TargetMode="External"/><Relationship Id="rId15" Type="http://schemas.openxmlformats.org/officeDocument/2006/relationships/hyperlink" Target="https://comunidad.comprasdominicana.gob.do//Public/Tendering/OpportunityDetail/Index?noticeUID=DO1.NTC.1144414" TargetMode="External"/><Relationship Id="rId14" Type="http://schemas.openxmlformats.org/officeDocument/2006/relationships/hyperlink" Target="https://comunidad.comprasdominicana.gob.do//Public/Tendering/OpportunityDetail/Index?noticeUID=DO1.NTC.1144304" TargetMode="External"/><Relationship Id="rId17" Type="http://schemas.openxmlformats.org/officeDocument/2006/relationships/hyperlink" Target="https://comunidad.comprasdominicana.gob.do//Public/Tendering/OpportunityDetail/Index?noticeUID=DO1.NTC.1139855" TargetMode="External"/><Relationship Id="rId16" Type="http://schemas.openxmlformats.org/officeDocument/2006/relationships/hyperlink" Target="https://comunidad.comprasdominicana.gob.do//Public/Tendering/OpportunityDetail/Index?noticeUID=DO1.NTC.1138563" TargetMode="External"/><Relationship Id="rId19" Type="http://schemas.openxmlformats.org/officeDocument/2006/relationships/hyperlink" Target="https://comunidad.comprasdominicana.gob.do//Public/Tendering/OpportunityDetail/Index?noticeUID=DO1.NTC.1143365" TargetMode="External"/><Relationship Id="rId18" Type="http://schemas.openxmlformats.org/officeDocument/2006/relationships/hyperlink" Target="https://comunidad.comprasdominicana.gob.do//Public/Tendering/OpportunityDetail/Index?noticeUID=DO1.NTC.1134644" TargetMode="External"/><Relationship Id="rId84" Type="http://schemas.openxmlformats.org/officeDocument/2006/relationships/hyperlink" Target="https://api.dgcp.gob.do/opendata/emergencia/proveedores.csv" TargetMode="External"/><Relationship Id="rId83" Type="http://schemas.openxmlformats.org/officeDocument/2006/relationships/hyperlink" Target="https://api.dgcp.gob.do/opendata/emergencia/articulos_contratos.csv" TargetMode="External"/><Relationship Id="rId86" Type="http://schemas.openxmlformats.org/officeDocument/2006/relationships/hyperlink" Target="https://comunidad.comprasdominicana.gob.do/Public/Companies/SupplierSearchPublic/DownloadSupplierDocument?companyCode=700000037" TargetMode="External"/><Relationship Id="rId85" Type="http://schemas.openxmlformats.org/officeDocument/2006/relationships/hyperlink" Target="https://comunidad.comprasdominicana.gob.do/Public/Companies/SupplierSearchPublic/DownloadSupplierDocument?companyCode=700000011" TargetMode="External"/><Relationship Id="rId88" Type="http://schemas.openxmlformats.org/officeDocument/2006/relationships/hyperlink" Target="https://comunidad.comprasdominicana.gob.do/Public/Companies/SupplierSearchPublic/DownloadSupplierDocument?companyCode=700000102" TargetMode="External"/><Relationship Id="rId87" Type="http://schemas.openxmlformats.org/officeDocument/2006/relationships/hyperlink" Target="https://comunidad.comprasdominicana.gob.do/Public/Companies/SupplierSearchPublic/DownloadSupplierDocument?companyCode=700000086" TargetMode="External"/><Relationship Id="rId89" Type="http://schemas.openxmlformats.org/officeDocument/2006/relationships/hyperlink" Target="https://comunidad.comprasdominicana.gob.do/Public/Companies/SupplierSearchPublic/DownloadSupplierDocument?companyCode=700000177" TargetMode="External"/><Relationship Id="rId80" Type="http://schemas.openxmlformats.org/officeDocument/2006/relationships/hyperlink" Target="https://comunidad.comprasdominicana.gob.do/Public/Tendering/ContractDetailView/Index?UniqueIdentifier=DO1.PCCNTR.1432203&amp;AwardContractDetailId=394287" TargetMode="External"/><Relationship Id="rId82" Type="http://schemas.openxmlformats.org/officeDocument/2006/relationships/hyperlink" Target="https://api.dgcp.gob.do/opendata/emergencia/articulos_procesos.csv" TargetMode="External"/><Relationship Id="rId81" Type="http://schemas.openxmlformats.org/officeDocument/2006/relationships/hyperlink" Target="https://comunidad.comprasdominicana.gob.do//Public/Tendering/OpportunityDetail/Index?noticeUID=DO1.NTC.1133101" TargetMode="External"/><Relationship Id="rId1" Type="http://schemas.openxmlformats.org/officeDocument/2006/relationships/hyperlink" Target="https://api.dgcp.gob.do/opendata/emergencia" TargetMode="External"/><Relationship Id="rId2" Type="http://schemas.openxmlformats.org/officeDocument/2006/relationships/hyperlink" Target="https://api.dgcp.gob.do/opendata/emergencia/procesos.csv" TargetMode="External"/><Relationship Id="rId3" Type="http://schemas.openxmlformats.org/officeDocument/2006/relationships/hyperlink" Target="https://comunidad.comprasdominicana.gob.do//Public/Tendering/OpportunityDetail/Index?noticeUID=DO1.NTC.1104243" TargetMode="External"/><Relationship Id="rId4" Type="http://schemas.openxmlformats.org/officeDocument/2006/relationships/hyperlink" Target="https://comunidad.comprasdominicana.gob.do//Public/Tendering/OpportunityDetail/Index?noticeUID=DO1.NTC.1138247" TargetMode="External"/><Relationship Id="rId9" Type="http://schemas.openxmlformats.org/officeDocument/2006/relationships/hyperlink" Target="https://comunidad.comprasdominicana.gob.do//Public/Tendering/OpportunityDetail/Index?noticeUID=DO1.NTC.1142164" TargetMode="External"/><Relationship Id="rId5" Type="http://schemas.openxmlformats.org/officeDocument/2006/relationships/hyperlink" Target="https://comunidad.comprasdominicana.gob.do//Public/Tendering/OpportunityDetail/Index?noticeUID=DO1.NTC.1137859" TargetMode="External"/><Relationship Id="rId6" Type="http://schemas.openxmlformats.org/officeDocument/2006/relationships/hyperlink" Target="https://comunidad.comprasdominicana.gob.do//Public/Tendering/OpportunityDetail/Index?noticeUID=DO1.NTC.1143964" TargetMode="External"/><Relationship Id="rId7" Type="http://schemas.openxmlformats.org/officeDocument/2006/relationships/hyperlink" Target="https://comunidad.comprasdominicana.gob.do//Public/Tendering/OpportunityDetail/Index?noticeUID=DO1.NTC.1138712" TargetMode="External"/><Relationship Id="rId8" Type="http://schemas.openxmlformats.org/officeDocument/2006/relationships/hyperlink" Target="https://comunidad.comprasdominicana.gob.do//Public/Tendering/OpportunityDetail/Index?noticeUID=DO1.NTC.1143457" TargetMode="External"/><Relationship Id="rId73" Type="http://schemas.openxmlformats.org/officeDocument/2006/relationships/hyperlink" Target="https://comunidad.comprasdominicana.gob.do//Public/Tendering/OpportunityDetail/Index?noticeUID=DO1.NTC.1136258" TargetMode="External"/><Relationship Id="rId72" Type="http://schemas.openxmlformats.org/officeDocument/2006/relationships/hyperlink" Target="https://comunidad.comprasdominicana.gob.do/Public/Tendering/ContractDetailView/Index?UniqueIdentifier=DO1.PCCNTR.1432628&amp;AwardContractDetailId=388626" TargetMode="External"/><Relationship Id="rId75" Type="http://schemas.openxmlformats.org/officeDocument/2006/relationships/hyperlink" Target="https://comunidad.comprasdominicana.gob.do//Public/Tendering/OpportunityDetail/Index?noticeUID=DO1.NTC.1136258" TargetMode="External"/><Relationship Id="rId74" Type="http://schemas.openxmlformats.org/officeDocument/2006/relationships/hyperlink" Target="https://comunidad.comprasdominicana.gob.do/Public/Tendering/ContractDetailView/Index?UniqueIdentifier=DO1.PCCNTR.1432728&amp;AwardContractDetailId=388628" TargetMode="External"/><Relationship Id="rId77" Type="http://schemas.openxmlformats.org/officeDocument/2006/relationships/hyperlink" Target="https://comunidad.comprasdominicana.gob.do//Public/Tendering/OpportunityDetail/Index?noticeUID=DO1.NTC.1136258" TargetMode="External"/><Relationship Id="rId76" Type="http://schemas.openxmlformats.org/officeDocument/2006/relationships/hyperlink" Target="https://comunidad.comprasdominicana.gob.do/Public/Tendering/ContractDetailView/Index?UniqueIdentifier=DO1.PCCNTR.1432627&amp;AwardContractDetailId=388625" TargetMode="External"/><Relationship Id="rId79" Type="http://schemas.openxmlformats.org/officeDocument/2006/relationships/hyperlink" Target="https://comunidad.comprasdominicana.gob.do//Public/Tendering/OpportunityDetail/Index?noticeUID=DO1.NTC.1133101" TargetMode="External"/><Relationship Id="rId78" Type="http://schemas.openxmlformats.org/officeDocument/2006/relationships/hyperlink" Target="https://comunidad.comprasdominicana.gob.do/Public/Tendering/ContractDetailView/Index?UniqueIdentifier=DO1.PCCNTR.1438916&amp;AwardContractDetailId=394303" TargetMode="External"/><Relationship Id="rId71" Type="http://schemas.openxmlformats.org/officeDocument/2006/relationships/hyperlink" Target="https://comunidad.comprasdominicana.gob.do//Public/Tendering/OpportunityDetail/Index?noticeUID=DO1.NTC.1136258" TargetMode="External"/><Relationship Id="rId70" Type="http://schemas.openxmlformats.org/officeDocument/2006/relationships/hyperlink" Target="https://comunidad.comprasdominicana.gob.do/Public/Tendering/ContractDetailView/Index?UniqueIdentifier=DO1.PCCNTR.1432727&amp;AwardContractDetailId=388627" TargetMode="External"/><Relationship Id="rId62" Type="http://schemas.openxmlformats.org/officeDocument/2006/relationships/hyperlink" Target="https://comunidad.comprasdominicana.gob.do/Public/Tendering/ContractDetailView/Index?UniqueIdentifier=DO1.PCCNTR.1432310&amp;AwardContractDetailId=394285" TargetMode="External"/><Relationship Id="rId61" Type="http://schemas.openxmlformats.org/officeDocument/2006/relationships/hyperlink" Target="https://comunidad.comprasdominicana.gob.do//Public/Tendering/OpportunityDetail/Index?noticeUID=DO1.NTC.1133101" TargetMode="External"/><Relationship Id="rId64" Type="http://schemas.openxmlformats.org/officeDocument/2006/relationships/hyperlink" Target="https://comunidad.comprasdominicana.gob.do/Public/Tendering/ContractDetailView/Index?UniqueIdentifier=DO1.PCCNTR.1432305&amp;AwardContractDetailId=394280" TargetMode="External"/><Relationship Id="rId63" Type="http://schemas.openxmlformats.org/officeDocument/2006/relationships/hyperlink" Target="https://comunidad.comprasdominicana.gob.do//Public/Tendering/OpportunityDetail/Index?noticeUID=DO1.NTC.1133101" TargetMode="External"/><Relationship Id="rId66" Type="http://schemas.openxmlformats.org/officeDocument/2006/relationships/hyperlink" Target="https://comunidad.comprasdominicana.gob.do/Public/Tendering/ContractDetailView/Index?UniqueIdentifier=DO1.PCCNTR.1432401&amp;AwardContractDetailId=394290" TargetMode="External"/><Relationship Id="rId65" Type="http://schemas.openxmlformats.org/officeDocument/2006/relationships/hyperlink" Target="https://comunidad.comprasdominicana.gob.do//Public/Tendering/OpportunityDetail/Index?noticeUID=DO1.NTC.1133101" TargetMode="External"/><Relationship Id="rId68" Type="http://schemas.openxmlformats.org/officeDocument/2006/relationships/hyperlink" Target="https://comunidad.comprasdominicana.gob.do/Public/Tendering/ContractDetailView/Index?UniqueIdentifier=DO1.PCCNTR.1426156&amp;AwardContractDetailId=386388" TargetMode="External"/><Relationship Id="rId67" Type="http://schemas.openxmlformats.org/officeDocument/2006/relationships/hyperlink" Target="https://comunidad.comprasdominicana.gob.do//Public/Tendering/OpportunityDetail/Index?noticeUID=DO1.NTC.1133101" TargetMode="External"/><Relationship Id="rId60" Type="http://schemas.openxmlformats.org/officeDocument/2006/relationships/hyperlink" Target="https://comunidad.comprasdominicana.gob.do/Public/Tendering/ContractDetailView/Index?UniqueIdentifier=DO1.PCCNTR.1432408&amp;AwardContractDetailId=394293" TargetMode="External"/><Relationship Id="rId69" Type="http://schemas.openxmlformats.org/officeDocument/2006/relationships/hyperlink" Target="https://comunidad.comprasdominicana.gob.do//Public/Tendering/OpportunityDetail/Index?noticeUID=DO1.NTC.1132427" TargetMode="External"/><Relationship Id="rId51" Type="http://schemas.openxmlformats.org/officeDocument/2006/relationships/hyperlink" Target="https://comunidad.comprasdominicana.gob.do//Public/Tendering/OpportunityDetail/Index?noticeUID=DO1.NTC.1133101" TargetMode="External"/><Relationship Id="rId50" Type="http://schemas.openxmlformats.org/officeDocument/2006/relationships/hyperlink" Target="https://comunidad.comprasdominicana.gob.do/Public/Tendering/ContractDetailView/Index?UniqueIdentifier=DO1.PCCNTR.1432304&amp;AwardContractDetailId=394279" TargetMode="External"/><Relationship Id="rId53" Type="http://schemas.openxmlformats.org/officeDocument/2006/relationships/hyperlink" Target="https://comunidad.comprasdominicana.gob.do//Public/Tendering/OpportunityDetail/Index?noticeUID=DO1.NTC.1133101" TargetMode="External"/><Relationship Id="rId52" Type="http://schemas.openxmlformats.org/officeDocument/2006/relationships/hyperlink" Target="https://comunidad.comprasdominicana.gob.do/Public/Tendering/ContractDetailView/Index?UniqueIdentifier=DO1.PCCNTR.1432307&amp;AwardContractDetailId=394282" TargetMode="External"/><Relationship Id="rId55" Type="http://schemas.openxmlformats.org/officeDocument/2006/relationships/hyperlink" Target="https://comunidad.comprasdominicana.gob.do//Public/Tendering/OpportunityDetail/Index?noticeUID=DO1.NTC.1133101" TargetMode="External"/><Relationship Id="rId54" Type="http://schemas.openxmlformats.org/officeDocument/2006/relationships/hyperlink" Target="https://comunidad.comprasdominicana.gob.do/Public/Tendering/ContractDetailView/Index?UniqueIdentifier=DO1.PCCNTR.1432309&amp;AwardContractDetailId=394284" TargetMode="External"/><Relationship Id="rId57" Type="http://schemas.openxmlformats.org/officeDocument/2006/relationships/hyperlink" Target="https://comunidad.comprasdominicana.gob.do//Public/Tendering/OpportunityDetail/Index?noticeUID=DO1.NTC.1133101" TargetMode="External"/><Relationship Id="rId56" Type="http://schemas.openxmlformats.org/officeDocument/2006/relationships/hyperlink" Target="https://comunidad.comprasdominicana.gob.do/Public/Tendering/ContractDetailView/Index?UniqueIdentifier=DO1.PCCNTR.1432404&amp;AwardContractDetailId=394291" TargetMode="External"/><Relationship Id="rId59" Type="http://schemas.openxmlformats.org/officeDocument/2006/relationships/hyperlink" Target="https://comunidad.comprasdominicana.gob.do//Public/Tendering/OpportunityDetail/Index?noticeUID=DO1.NTC.1133101" TargetMode="External"/><Relationship Id="rId58" Type="http://schemas.openxmlformats.org/officeDocument/2006/relationships/hyperlink" Target="https://comunidad.comprasdominicana.gob.do/Public/Tendering/ContractDetailView/Index?UniqueIdentifier=DO1.PCCNTR.1432406&amp;AwardContractDetailId=3942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showGridLines="0" workbookViewId="0"/>
  </sheetViews>
  <sheetFormatPr customHeight="1" defaultColWidth="12.63" defaultRowHeight="15.0"/>
  <cols>
    <col customWidth="1" min="1" max="1" width="34.0"/>
    <col customWidth="1" min="2" max="2" width="35.63"/>
    <col customWidth="1" min="3" max="3" width="62.75"/>
    <col customWidth="1" min="4" max="4" width="72.13"/>
    <col customWidth="1" min="5" max="7" width="12.38"/>
    <col customWidth="1" min="8" max="8" width="43.63"/>
    <col customWidth="1" min="9" max="9" width="33.38"/>
    <col customWidth="1" min="10" max="10" width="30.88"/>
    <col customWidth="1" min="11" max="11" width="43.0"/>
  </cols>
  <sheetData>
    <row r="1" ht="15.75" customHeight="1">
      <c r="A1" s="1" t="s">
        <v>0</v>
      </c>
      <c r="C1" s="2"/>
      <c r="D1" s="2"/>
      <c r="H1" s="3"/>
      <c r="I1" s="4"/>
    </row>
    <row r="2" ht="15.75" customHeight="1">
      <c r="A2" s="5" t="s">
        <v>1</v>
      </c>
      <c r="B2" s="6" t="s">
        <v>2</v>
      </c>
      <c r="C2" s="7" t="s">
        <v>3</v>
      </c>
      <c r="D2" s="7" t="s">
        <v>4</v>
      </c>
      <c r="E2" s="8"/>
      <c r="H2" s="3"/>
      <c r="I2" s="4"/>
    </row>
    <row r="3" ht="15.75" customHeight="1">
      <c r="A3" s="9" t="s">
        <v>5</v>
      </c>
      <c r="B3" s="10" t="s">
        <v>6</v>
      </c>
      <c r="C3" s="11" t="s">
        <v>7</v>
      </c>
      <c r="D3" s="12" t="s">
        <v>8</v>
      </c>
      <c r="E3" s="13"/>
      <c r="F3" s="13"/>
      <c r="G3" s="13"/>
      <c r="H3" s="13" t="s">
        <v>9</v>
      </c>
      <c r="I3" s="14"/>
    </row>
    <row r="4" ht="15.75" customHeight="1">
      <c r="B4" s="10" t="s">
        <v>10</v>
      </c>
      <c r="C4" s="11" t="s">
        <v>11</v>
      </c>
      <c r="D4" s="15" t="s">
        <v>12</v>
      </c>
      <c r="E4" s="13"/>
      <c r="F4" s="13"/>
      <c r="G4" s="13"/>
      <c r="H4" s="13"/>
      <c r="I4" s="13" t="s">
        <v>9</v>
      </c>
      <c r="J4" s="14"/>
    </row>
    <row r="5" ht="15.75" customHeight="1">
      <c r="B5" s="10" t="s">
        <v>13</v>
      </c>
      <c r="C5" s="11" t="s">
        <v>14</v>
      </c>
      <c r="D5" s="15" t="s">
        <v>15</v>
      </c>
      <c r="E5" s="13"/>
      <c r="F5" s="13"/>
      <c r="G5" s="13"/>
      <c r="H5" s="13"/>
      <c r="I5" s="13" t="s">
        <v>9</v>
      </c>
      <c r="J5" s="14"/>
    </row>
    <row r="6" ht="15.75" customHeight="1">
      <c r="B6" s="10" t="s">
        <v>16</v>
      </c>
      <c r="C6" s="11" t="s">
        <v>17</v>
      </c>
      <c r="D6" s="15" t="s">
        <v>18</v>
      </c>
      <c r="E6" s="13"/>
      <c r="F6" s="13"/>
      <c r="G6" s="13"/>
      <c r="H6" s="13"/>
      <c r="I6" s="13" t="s">
        <v>9</v>
      </c>
      <c r="J6" s="14"/>
    </row>
    <row r="7" ht="15.75" customHeight="1">
      <c r="B7" s="10" t="s">
        <v>19</v>
      </c>
      <c r="C7" s="11" t="s">
        <v>20</v>
      </c>
      <c r="D7" s="15" t="s">
        <v>21</v>
      </c>
      <c r="E7" s="13"/>
      <c r="F7" s="13"/>
      <c r="G7" s="13"/>
      <c r="H7" s="13"/>
      <c r="I7" s="13" t="s">
        <v>9</v>
      </c>
      <c r="J7" s="14"/>
    </row>
    <row r="8" ht="15.75" customHeight="1">
      <c r="B8" s="10" t="s">
        <v>22</v>
      </c>
      <c r="C8" s="11" t="s">
        <v>23</v>
      </c>
      <c r="D8" s="15" t="s">
        <v>24</v>
      </c>
      <c r="E8" s="13"/>
      <c r="F8" s="13"/>
      <c r="G8" s="13"/>
      <c r="H8" s="13"/>
      <c r="I8" s="13" t="s">
        <v>9</v>
      </c>
      <c r="J8" s="14"/>
    </row>
    <row r="9" ht="15.75" customHeight="1">
      <c r="B9" s="10" t="s">
        <v>25</v>
      </c>
      <c r="C9" s="11" t="s">
        <v>26</v>
      </c>
      <c r="D9" s="12" t="s">
        <v>27</v>
      </c>
      <c r="E9" s="13"/>
      <c r="F9" s="13"/>
      <c r="G9" s="13"/>
      <c r="H9" s="13"/>
      <c r="I9" s="13" t="s">
        <v>9</v>
      </c>
      <c r="J9" s="14"/>
    </row>
    <row r="10" ht="15.75" customHeight="1">
      <c r="B10" s="10" t="s">
        <v>28</v>
      </c>
      <c r="C10" s="11" t="s">
        <v>29</v>
      </c>
      <c r="D10" s="12" t="s">
        <v>30</v>
      </c>
      <c r="H10" s="3"/>
      <c r="I10" s="4"/>
    </row>
    <row r="11" ht="15.75" customHeight="1">
      <c r="B11" s="16"/>
      <c r="C11" s="4"/>
      <c r="D11" s="4"/>
      <c r="H11" s="3"/>
      <c r="I11" s="4"/>
    </row>
    <row r="12" ht="15.75" customHeight="1">
      <c r="A12" s="8"/>
      <c r="B12" s="8"/>
      <c r="C12" s="4"/>
      <c r="D12" s="4"/>
      <c r="H12" s="3"/>
      <c r="I12" s="4"/>
    </row>
    <row r="13" ht="15.75" customHeight="1">
      <c r="A13" s="8"/>
      <c r="B13" s="8"/>
      <c r="C13" s="4"/>
      <c r="D13" s="4"/>
      <c r="H13" s="3"/>
      <c r="I13" s="4"/>
    </row>
    <row r="14" ht="15.75" customHeight="1">
      <c r="A14" s="8"/>
      <c r="B14" s="8" t="s">
        <v>31</v>
      </c>
      <c r="C14" s="4"/>
      <c r="D14" s="4"/>
      <c r="H14" s="3"/>
      <c r="I14" s="4"/>
    </row>
    <row r="15" ht="15.75" customHeight="1">
      <c r="A15" s="17"/>
      <c r="B15" s="17" t="s">
        <v>32</v>
      </c>
    </row>
    <row r="16" ht="33.75" customHeight="1">
      <c r="A16" s="18"/>
      <c r="B16" s="19"/>
      <c r="C16" s="20"/>
      <c r="D16" s="20"/>
      <c r="E16" s="20"/>
      <c r="F16" s="20"/>
      <c r="G16" s="20"/>
      <c r="H16" s="21"/>
      <c r="I16" s="20"/>
      <c r="J16" s="22"/>
      <c r="K16" s="23"/>
      <c r="L16" s="23"/>
      <c r="M16" s="24" t="s">
        <v>33</v>
      </c>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row>
    <row r="17" ht="15.75" customHeight="1">
      <c r="A17" s="25"/>
      <c r="B17" s="26" t="s">
        <v>34</v>
      </c>
      <c r="C17" s="27" t="s">
        <v>35</v>
      </c>
      <c r="D17" s="27" t="s">
        <v>36</v>
      </c>
      <c r="E17" s="26" t="s">
        <v>37</v>
      </c>
      <c r="F17" s="26" t="s">
        <v>38</v>
      </c>
      <c r="G17" s="26" t="s">
        <v>39</v>
      </c>
      <c r="H17" s="28" t="s">
        <v>40</v>
      </c>
      <c r="I17" s="28" t="s">
        <v>41</v>
      </c>
      <c r="J17" s="28" t="s">
        <v>42</v>
      </c>
      <c r="M17" s="29" t="s">
        <v>43</v>
      </c>
      <c r="N17" s="29" t="s">
        <v>44</v>
      </c>
      <c r="O17" s="29" t="s">
        <v>45</v>
      </c>
      <c r="P17" s="29" t="s">
        <v>46</v>
      </c>
      <c r="Q17" s="29" t="s">
        <v>47</v>
      </c>
      <c r="R17" s="29" t="s">
        <v>48</v>
      </c>
      <c r="S17" s="29" t="s">
        <v>49</v>
      </c>
      <c r="T17" s="29" t="s">
        <v>50</v>
      </c>
      <c r="U17" s="29" t="s">
        <v>51</v>
      </c>
      <c r="V17" s="29" t="s">
        <v>52</v>
      </c>
      <c r="W17" s="29" t="s">
        <v>53</v>
      </c>
      <c r="X17" s="29" t="s">
        <v>54</v>
      </c>
      <c r="Y17" s="29" t="s">
        <v>55</v>
      </c>
      <c r="Z17" s="29" t="s">
        <v>56</v>
      </c>
      <c r="AA17" s="29" t="s">
        <v>57</v>
      </c>
      <c r="AB17" s="29" t="s">
        <v>58</v>
      </c>
      <c r="AC17" s="29" t="s">
        <v>59</v>
      </c>
    </row>
    <row r="18" ht="15.75" customHeight="1">
      <c r="A18" s="8"/>
      <c r="B18" s="30" t="s">
        <v>43</v>
      </c>
      <c r="C18" s="31" t="s">
        <v>60</v>
      </c>
      <c r="D18" s="31">
        <v>4.0</v>
      </c>
      <c r="E18" s="30">
        <v>10.0</v>
      </c>
      <c r="F18" s="30">
        <v>0.0</v>
      </c>
      <c r="G18" s="30" t="s">
        <v>61</v>
      </c>
      <c r="H18" s="32">
        <v>5.0</v>
      </c>
      <c r="I18" s="31" t="s">
        <v>62</v>
      </c>
      <c r="J18" s="31" t="str">
        <f>IFERROR(__xludf.DUMMYFUNCTION("IF(ISBLANK(I18), """", GOOGLETRANSLATE(I18, ""es"", ""en""))"),"Entity Identification")</f>
        <v>Entity Identification</v>
      </c>
      <c r="M18" s="30">
        <v>0.0</v>
      </c>
      <c r="N18" s="30">
        <v>0.0</v>
      </c>
      <c r="O18" s="30">
        <v>0.0</v>
      </c>
      <c r="P18" s="30">
        <v>0.0</v>
      </c>
      <c r="Q18" s="30">
        <v>0.0</v>
      </c>
      <c r="R18" s="30" t="s">
        <v>63</v>
      </c>
      <c r="S18" s="30">
        <v>1.0</v>
      </c>
      <c r="T18" s="30" t="s">
        <v>64</v>
      </c>
      <c r="U18" s="30" t="s">
        <v>65</v>
      </c>
      <c r="V18" s="30" t="s">
        <v>66</v>
      </c>
      <c r="W18" s="30" t="s">
        <v>67</v>
      </c>
      <c r="X18" s="30" t="s">
        <v>68</v>
      </c>
      <c r="Y18" s="30">
        <v>0.0</v>
      </c>
      <c r="Z18" s="30">
        <v>1.0</v>
      </c>
      <c r="AA18" s="33">
        <v>42157.123611111114</v>
      </c>
      <c r="AB18" s="30">
        <v>1.0</v>
      </c>
      <c r="AC18" s="33">
        <v>42157.123611111114</v>
      </c>
    </row>
    <row r="19" ht="15.75" customHeight="1">
      <c r="A19" s="8"/>
      <c r="B19" s="30" t="s">
        <v>44</v>
      </c>
      <c r="C19" s="31" t="s">
        <v>60</v>
      </c>
      <c r="D19" s="31">
        <v>4.0</v>
      </c>
      <c r="E19" s="30">
        <v>10.0</v>
      </c>
      <c r="F19" s="30">
        <v>0.0</v>
      </c>
      <c r="G19" s="30" t="s">
        <v>61</v>
      </c>
      <c r="H19" s="32">
        <v>1.0</v>
      </c>
      <c r="I19" s="31" t="s">
        <v>69</v>
      </c>
      <c r="J19" s="31" t="str">
        <f>IFERROR(__xludf.DUMMYFUNCTION("IF(ISBLANK(I19), """", GOOGLETRANSLATE(I19, ""es"", ""en""))"),"Executing Unit Code")</f>
        <v>Executing Unit Code</v>
      </c>
      <c r="M19" s="30">
        <v>1.0</v>
      </c>
      <c r="N19" s="30">
        <v>1.0</v>
      </c>
      <c r="O19" s="30">
        <v>1.0</v>
      </c>
      <c r="P19" s="30">
        <v>1.0</v>
      </c>
      <c r="Q19" s="30">
        <v>99.0</v>
      </c>
      <c r="R19" s="30" t="s">
        <v>70</v>
      </c>
      <c r="S19" s="30">
        <v>4.0</v>
      </c>
      <c r="T19" s="30" t="s">
        <v>71</v>
      </c>
      <c r="U19" s="30" t="s">
        <v>72</v>
      </c>
      <c r="V19" s="30" t="s">
        <v>66</v>
      </c>
      <c r="W19" s="30" t="s">
        <v>67</v>
      </c>
      <c r="X19" s="30" t="s">
        <v>68</v>
      </c>
      <c r="Y19" s="30">
        <v>0.0</v>
      </c>
      <c r="Z19" s="30">
        <v>1.0</v>
      </c>
      <c r="AA19" s="33">
        <v>42157.12222222222</v>
      </c>
      <c r="AB19" s="30">
        <v>1.0</v>
      </c>
      <c r="AC19" s="33">
        <v>42157.12222222222</v>
      </c>
    </row>
    <row r="20" ht="15.75" customHeight="1">
      <c r="A20" s="8"/>
      <c r="B20" s="30" t="s">
        <v>45</v>
      </c>
      <c r="C20" s="31" t="s">
        <v>60</v>
      </c>
      <c r="D20" s="31">
        <v>4.0</v>
      </c>
      <c r="E20" s="30">
        <v>10.0</v>
      </c>
      <c r="F20" s="30">
        <v>0.0</v>
      </c>
      <c r="G20" s="30" t="s">
        <v>61</v>
      </c>
      <c r="H20" s="32">
        <v>1.0</v>
      </c>
      <c r="I20" s="31" t="s">
        <v>73</v>
      </c>
      <c r="J20" s="31" t="str">
        <f>IFERROR(__xludf.DUMMYFUNCTION("IF(ISBLANK(I20), """", GOOGLETRANSLATE(I20, ""es"", ""en""))"),"General objective code")</f>
        <v>General objective code</v>
      </c>
      <c r="M20" s="30">
        <v>2.0</v>
      </c>
      <c r="N20" s="30">
        <v>1.0</v>
      </c>
      <c r="O20" s="30">
        <v>1.0</v>
      </c>
      <c r="P20" s="30">
        <v>1.0</v>
      </c>
      <c r="Q20" s="30">
        <v>1.0</v>
      </c>
      <c r="R20" s="30" t="s">
        <v>74</v>
      </c>
      <c r="S20" s="30">
        <v>4.0</v>
      </c>
      <c r="T20" s="30" t="s">
        <v>71</v>
      </c>
      <c r="U20" s="30" t="s">
        <v>75</v>
      </c>
      <c r="V20" s="30" t="s">
        <v>66</v>
      </c>
      <c r="W20" s="30" t="s">
        <v>67</v>
      </c>
      <c r="X20" s="30" t="s">
        <v>68</v>
      </c>
      <c r="Y20" s="30">
        <v>0.0</v>
      </c>
      <c r="Z20" s="30">
        <v>1.0</v>
      </c>
      <c r="AA20" s="33">
        <v>42157.12222222222</v>
      </c>
      <c r="AB20" s="30">
        <v>1.0</v>
      </c>
      <c r="AC20" s="33">
        <v>42157.12222222222</v>
      </c>
    </row>
    <row r="21" ht="15.75" customHeight="1">
      <c r="A21" s="8"/>
      <c r="B21" s="30" t="s">
        <v>46</v>
      </c>
      <c r="C21" s="31" t="s">
        <v>60</v>
      </c>
      <c r="D21" s="31">
        <v>4.0</v>
      </c>
      <c r="E21" s="30">
        <v>10.0</v>
      </c>
      <c r="F21" s="30">
        <v>0.0</v>
      </c>
      <c r="G21" s="30" t="s">
        <v>61</v>
      </c>
      <c r="H21" s="32">
        <v>1.0</v>
      </c>
      <c r="I21" s="31" t="s">
        <v>76</v>
      </c>
      <c r="J21" s="31" t="str">
        <f>IFERROR(__xludf.DUMMYFUNCTION("IF(ISBLANK(I21), """", GOOGLETRANSLATE(I21, ""es"", ""en""))"),"Specific Objective Code")</f>
        <v>Specific Objective Code</v>
      </c>
      <c r="M21" s="30">
        <v>3.0</v>
      </c>
      <c r="N21" s="30">
        <v>1.0</v>
      </c>
      <c r="O21" s="30">
        <v>1.0</v>
      </c>
      <c r="P21" s="30">
        <v>1.0</v>
      </c>
      <c r="Q21" s="30">
        <v>2.0</v>
      </c>
      <c r="R21" s="30" t="s">
        <v>77</v>
      </c>
      <c r="S21" s="30">
        <v>4.0</v>
      </c>
      <c r="T21" s="30" t="s">
        <v>71</v>
      </c>
      <c r="U21" s="30" t="s">
        <v>78</v>
      </c>
      <c r="V21" s="30" t="s">
        <v>66</v>
      </c>
      <c r="W21" s="30" t="s">
        <v>67</v>
      </c>
      <c r="X21" s="30" t="s">
        <v>68</v>
      </c>
      <c r="Y21" s="30">
        <v>0.0</v>
      </c>
      <c r="Z21" s="30">
        <v>1.0</v>
      </c>
      <c r="AA21" s="33">
        <v>42157.12222222222</v>
      </c>
      <c r="AB21" s="30">
        <v>1.0</v>
      </c>
      <c r="AC21" s="33">
        <v>42157.12222222222</v>
      </c>
    </row>
    <row r="22" ht="15.75" customHeight="1">
      <c r="A22" s="8"/>
      <c r="B22" s="30" t="s">
        <v>47</v>
      </c>
      <c r="C22" s="31" t="s">
        <v>60</v>
      </c>
      <c r="D22" s="31">
        <v>4.0</v>
      </c>
      <c r="E22" s="30">
        <v>10.0</v>
      </c>
      <c r="F22" s="30">
        <v>0.0</v>
      </c>
      <c r="G22" s="30" t="s">
        <v>61</v>
      </c>
      <c r="H22" s="32">
        <v>4.0</v>
      </c>
      <c r="I22" s="31" t="s">
        <v>79</v>
      </c>
      <c r="J22" s="31" t="str">
        <f>IFERROR(__xludf.DUMMYFUNCTION("IF(ISBLANK(I22), """", GOOGLETRANSLATE(I22, ""es"", ""en""))"),"Line Code ")</f>
        <v>Line Code </v>
      </c>
      <c r="M22" s="30">
        <v>4.0</v>
      </c>
      <c r="N22" s="30">
        <v>1.0</v>
      </c>
      <c r="O22" s="30">
        <v>1.0</v>
      </c>
      <c r="P22" s="30">
        <v>1.0</v>
      </c>
      <c r="Q22" s="30">
        <v>3.0</v>
      </c>
      <c r="R22" s="30" t="s">
        <v>80</v>
      </c>
      <c r="S22" s="30">
        <v>4.0</v>
      </c>
      <c r="T22" s="30" t="s">
        <v>71</v>
      </c>
      <c r="U22" s="30" t="s">
        <v>81</v>
      </c>
      <c r="V22" s="30" t="s">
        <v>66</v>
      </c>
      <c r="W22" s="30" t="s">
        <v>67</v>
      </c>
      <c r="X22" s="30" t="s">
        <v>68</v>
      </c>
      <c r="Y22" s="30">
        <v>0.0</v>
      </c>
      <c r="Z22" s="30">
        <v>1.0</v>
      </c>
      <c r="AA22" s="33">
        <v>42157.12222222222</v>
      </c>
      <c r="AB22" s="30">
        <v>1.0</v>
      </c>
      <c r="AC22" s="33">
        <v>42157.12222222222</v>
      </c>
    </row>
    <row r="23" ht="15.75" customHeight="1">
      <c r="A23" s="8"/>
      <c r="B23" s="30" t="s">
        <v>48</v>
      </c>
      <c r="C23" s="31" t="s">
        <v>82</v>
      </c>
      <c r="D23" s="31">
        <v>21.0</v>
      </c>
      <c r="E23" s="30"/>
      <c r="F23" s="30"/>
      <c r="G23" s="30" t="s">
        <v>61</v>
      </c>
      <c r="H23" s="32" t="s">
        <v>83</v>
      </c>
      <c r="I23" s="31" t="s">
        <v>84</v>
      </c>
      <c r="J23" s="31" t="str">
        <f>IFERROR(__xludf.DUMMYFUNCTION("IF(ISBLANK(I23), """", GOOGLETRANSLATE(I23, ""es"", ""en""))"),"Entity Code ")</f>
        <v>Entity Code </v>
      </c>
      <c r="M23" s="30">
        <v>5.0</v>
      </c>
      <c r="N23" s="30">
        <v>1.0</v>
      </c>
      <c r="O23" s="30">
        <v>1.0</v>
      </c>
      <c r="P23" s="30">
        <v>1.0</v>
      </c>
      <c r="Q23" s="30">
        <v>4.0</v>
      </c>
      <c r="R23" s="30" t="s">
        <v>83</v>
      </c>
      <c r="S23" s="30">
        <v>4.0</v>
      </c>
      <c r="T23" s="30" t="s">
        <v>71</v>
      </c>
      <c r="U23" s="30" t="s">
        <v>85</v>
      </c>
      <c r="V23" s="30" t="s">
        <v>66</v>
      </c>
      <c r="W23" s="30" t="s">
        <v>67</v>
      </c>
      <c r="X23" s="30" t="s">
        <v>68</v>
      </c>
      <c r="Y23" s="30">
        <v>0.0</v>
      </c>
      <c r="Z23" s="30">
        <v>1.0</v>
      </c>
      <c r="AA23" s="33">
        <v>42157.12222222222</v>
      </c>
      <c r="AB23" s="30">
        <v>1.0</v>
      </c>
      <c r="AC23" s="33">
        <v>42157.12222222222</v>
      </c>
    </row>
    <row r="24" ht="15.75" customHeight="1">
      <c r="A24" s="8"/>
      <c r="B24" s="30" t="s">
        <v>49</v>
      </c>
      <c r="C24" s="31" t="s">
        <v>60</v>
      </c>
      <c r="D24" s="31">
        <v>4.0</v>
      </c>
      <c r="E24" s="30">
        <v>10.0</v>
      </c>
      <c r="F24" s="30">
        <v>0.0</v>
      </c>
      <c r="G24" s="30" t="s">
        <v>61</v>
      </c>
      <c r="H24" s="32">
        <v>4.0</v>
      </c>
      <c r="I24" s="31" t="s">
        <v>86</v>
      </c>
      <c r="J24" s="31" t="str">
        <f>IFERROR(__xludf.DUMMYFUNCTION("IF(ISBLANK(I24), """", GOOGLETRANSLATE(I24, ""es"", ""en""))"),"Level Code ")</f>
        <v>Level Code </v>
      </c>
      <c r="M24" s="30">
        <v>6.0</v>
      </c>
      <c r="N24" s="30">
        <v>1.0</v>
      </c>
      <c r="O24" s="30">
        <v>1.0</v>
      </c>
      <c r="P24" s="30">
        <v>1.0</v>
      </c>
      <c r="Q24" s="30">
        <v>5.0</v>
      </c>
      <c r="R24" s="30" t="s">
        <v>87</v>
      </c>
      <c r="S24" s="30">
        <v>4.0</v>
      </c>
      <c r="T24" s="30" t="s">
        <v>71</v>
      </c>
      <c r="U24" s="30" t="s">
        <v>88</v>
      </c>
      <c r="V24" s="30" t="s">
        <v>66</v>
      </c>
      <c r="W24" s="30" t="s">
        <v>67</v>
      </c>
      <c r="X24" s="30" t="s">
        <v>68</v>
      </c>
      <c r="Y24" s="30">
        <v>0.0</v>
      </c>
      <c r="Z24" s="30">
        <v>1.0</v>
      </c>
      <c r="AA24" s="33">
        <v>42157.12222222222</v>
      </c>
      <c r="AB24" s="30">
        <v>1.0</v>
      </c>
      <c r="AC24" s="33">
        <v>42157.12222222222</v>
      </c>
    </row>
    <row r="25" ht="15.75" customHeight="1">
      <c r="A25" s="8"/>
      <c r="B25" s="30" t="s">
        <v>50</v>
      </c>
      <c r="C25" s="31" t="s">
        <v>82</v>
      </c>
      <c r="D25" s="31">
        <v>60.0</v>
      </c>
      <c r="E25" s="30"/>
      <c r="F25" s="30"/>
      <c r="G25" s="30" t="s">
        <v>61</v>
      </c>
      <c r="H25" s="32" t="s">
        <v>71</v>
      </c>
      <c r="I25" s="31" t="s">
        <v>89</v>
      </c>
      <c r="J25" s="31" t="str">
        <f>IFERROR(__xludf.DUMMYFUNCTION("IF(ISBLANK(I25), """", GOOGLETRANSLATE(I25, ""es"", ""en""))"),"Text Level")</f>
        <v>Text Level</v>
      </c>
      <c r="M25" s="30">
        <v>7.0</v>
      </c>
      <c r="N25" s="30">
        <v>1.0</v>
      </c>
      <c r="O25" s="30">
        <v>1.0</v>
      </c>
      <c r="P25" s="30">
        <v>1.0</v>
      </c>
      <c r="Q25" s="30">
        <v>6.0</v>
      </c>
      <c r="R25" s="30" t="s">
        <v>90</v>
      </c>
      <c r="S25" s="30">
        <v>4.0</v>
      </c>
      <c r="T25" s="30" t="s">
        <v>71</v>
      </c>
      <c r="U25" s="30" t="s">
        <v>91</v>
      </c>
      <c r="V25" s="30" t="s">
        <v>66</v>
      </c>
      <c r="W25" s="30" t="s">
        <v>67</v>
      </c>
      <c r="X25" s="30" t="s">
        <v>68</v>
      </c>
      <c r="Y25" s="30">
        <v>0.0</v>
      </c>
      <c r="Z25" s="30">
        <v>1.0</v>
      </c>
      <c r="AA25" s="33">
        <v>42157.12222222222</v>
      </c>
      <c r="AB25" s="30">
        <v>1.0</v>
      </c>
      <c r="AC25" s="33">
        <v>42157.12222222222</v>
      </c>
    </row>
    <row r="26" ht="15.75" customHeight="1">
      <c r="A26" s="8"/>
      <c r="B26" s="30" t="s">
        <v>51</v>
      </c>
      <c r="C26" s="31" t="s">
        <v>82</v>
      </c>
      <c r="D26" s="31">
        <v>2048.0</v>
      </c>
      <c r="E26" s="30"/>
      <c r="F26" s="30"/>
      <c r="G26" s="30" t="s">
        <v>61</v>
      </c>
      <c r="H26" s="32" t="s">
        <v>85</v>
      </c>
      <c r="I26" s="31" t="s">
        <v>92</v>
      </c>
      <c r="J26" s="31" t="str">
        <f>IFERROR(__xludf.DUMMYFUNCTION("IF(ISBLANK(I26), """", GOOGLETRANSLATE(I26, ""es"", ""en""))"),"Entity Description")</f>
        <v>Entity Description</v>
      </c>
      <c r="M26" s="30">
        <v>8.0</v>
      </c>
      <c r="N26" s="30">
        <v>1.0</v>
      </c>
      <c r="O26" s="30">
        <v>1.0</v>
      </c>
      <c r="P26" s="30">
        <v>1.0</v>
      </c>
      <c r="Q26" s="30">
        <v>7.0</v>
      </c>
      <c r="R26" s="30" t="s">
        <v>93</v>
      </c>
      <c r="S26" s="30">
        <v>4.0</v>
      </c>
      <c r="T26" s="30" t="s">
        <v>71</v>
      </c>
      <c r="U26" s="30" t="s">
        <v>94</v>
      </c>
      <c r="V26" s="30" t="s">
        <v>66</v>
      </c>
      <c r="W26" s="30" t="s">
        <v>67</v>
      </c>
      <c r="X26" s="30" t="s">
        <v>68</v>
      </c>
      <c r="Y26" s="30">
        <v>0.0</v>
      </c>
      <c r="Z26" s="30">
        <v>1.0</v>
      </c>
      <c r="AA26" s="33">
        <v>42157.12222222222</v>
      </c>
      <c r="AB26" s="30">
        <v>1.0</v>
      </c>
      <c r="AC26" s="33">
        <v>42157.12222222222</v>
      </c>
    </row>
    <row r="27" ht="15.75" customHeight="1">
      <c r="A27" s="8"/>
      <c r="B27" s="30" t="s">
        <v>52</v>
      </c>
      <c r="C27" s="31" t="s">
        <v>82</v>
      </c>
      <c r="D27" s="31">
        <v>1.0</v>
      </c>
      <c r="E27" s="30"/>
      <c r="F27" s="30"/>
      <c r="G27" s="30" t="s">
        <v>61</v>
      </c>
      <c r="H27" s="32" t="s">
        <v>66</v>
      </c>
      <c r="I27" s="31" t="s">
        <v>95</v>
      </c>
      <c r="J27" s="31" t="str">
        <f>IFERROR(__xludf.DUMMYFUNCTION("IF(ISBLANK(I27), """", GOOGLETRANSLATE(I27, ""es"", ""en""))"),"Active Registration Indicator Code (S) is YES")</f>
        <v>Active Registration Indicator Code (S) is YES</v>
      </c>
      <c r="M27" s="30">
        <v>9.0</v>
      </c>
      <c r="N27" s="30">
        <v>1.0</v>
      </c>
      <c r="O27" s="30">
        <v>1.0</v>
      </c>
      <c r="P27" s="30">
        <v>1.0</v>
      </c>
      <c r="Q27" s="30">
        <v>8.0</v>
      </c>
      <c r="R27" s="30" t="s">
        <v>96</v>
      </c>
      <c r="S27" s="30">
        <v>4.0</v>
      </c>
      <c r="T27" s="30" t="s">
        <v>71</v>
      </c>
      <c r="U27" s="30" t="s">
        <v>97</v>
      </c>
      <c r="V27" s="30" t="s">
        <v>66</v>
      </c>
      <c r="W27" s="30" t="s">
        <v>67</v>
      </c>
      <c r="X27" s="30" t="s">
        <v>68</v>
      </c>
      <c r="Y27" s="30">
        <v>0.0</v>
      </c>
      <c r="Z27" s="30">
        <v>1.0</v>
      </c>
      <c r="AA27" s="33">
        <v>42157.12222222222</v>
      </c>
      <c r="AB27" s="30">
        <v>1.0</v>
      </c>
      <c r="AC27" s="33">
        <v>42157.12222222222</v>
      </c>
    </row>
    <row r="28" ht="15.75" customHeight="1">
      <c r="A28" s="8"/>
      <c r="B28" s="30" t="s">
        <v>53</v>
      </c>
      <c r="C28" s="31" t="s">
        <v>82</v>
      </c>
      <c r="D28" s="31">
        <v>13.0</v>
      </c>
      <c r="E28" s="30"/>
      <c r="F28" s="30"/>
      <c r="G28" s="30" t="s">
        <v>61</v>
      </c>
      <c r="H28" s="32" t="s">
        <v>67</v>
      </c>
      <c r="I28" s="31" t="s">
        <v>98</v>
      </c>
      <c r="J28" s="31" t="str">
        <f>IFERROR(__xludf.DUMMYFUNCTION("IF(ISBLANK(I28), """", GOOGLETRANSLATE(I28, ""es"", ""en""))"),"Active Record Indicator Text (YES) is YES")</f>
        <v>Active Record Indicator Text (YES) is YES</v>
      </c>
    </row>
    <row r="29" ht="15.75" customHeight="1">
      <c r="A29" s="8"/>
      <c r="B29" s="30" t="s">
        <v>54</v>
      </c>
      <c r="C29" s="31" t="s">
        <v>82</v>
      </c>
      <c r="D29" s="31">
        <v>32.0</v>
      </c>
      <c r="E29" s="30"/>
      <c r="F29" s="30"/>
      <c r="G29" s="30" t="s">
        <v>61</v>
      </c>
      <c r="H29" s="32" t="s">
        <v>68</v>
      </c>
      <c r="I29" s="31" t="s">
        <v>99</v>
      </c>
      <c r="J29" s="31" t="str">
        <f>IFERROR(__xludf.DUMMYFUNCTION("IF(ISBLANK(I29), """", GOOGLETRANSLATE(I29, ""es"", ""en""))"),"Registration status")</f>
        <v>Registration status</v>
      </c>
    </row>
    <row r="30" ht="15.75" customHeight="1">
      <c r="A30" s="8"/>
      <c r="B30" s="30" t="s">
        <v>55</v>
      </c>
      <c r="C30" s="31" t="s">
        <v>60</v>
      </c>
      <c r="D30" s="31">
        <v>4.0</v>
      </c>
      <c r="E30" s="30">
        <v>10.0</v>
      </c>
      <c r="F30" s="30">
        <v>0.0</v>
      </c>
      <c r="G30" s="30" t="s">
        <v>100</v>
      </c>
      <c r="H30" s="32">
        <v>0.0</v>
      </c>
      <c r="I30" s="31"/>
      <c r="J30" s="31" t="str">
        <f>IFERROR(__xludf.DUMMYFUNCTION("IF(ISBLANK(I30), """", GOOGLETRANSLATE(I30, ""es"", ""en""))"),"")</f>
        <v/>
      </c>
    </row>
    <row r="31" ht="15.75" customHeight="1">
      <c r="A31" s="8"/>
      <c r="B31" s="30" t="s">
        <v>56</v>
      </c>
      <c r="C31" s="31" t="s">
        <v>60</v>
      </c>
      <c r="D31" s="31">
        <v>4.0</v>
      </c>
      <c r="E31" s="30">
        <v>10.0</v>
      </c>
      <c r="F31" s="30">
        <v>0.0</v>
      </c>
      <c r="G31" s="30" t="s">
        <v>61</v>
      </c>
      <c r="H31" s="32">
        <v>1.0</v>
      </c>
      <c r="I31" s="31" t="s">
        <v>101</v>
      </c>
      <c r="J31" s="31" t="str">
        <f>IFERROR(__xludf.DUMMYFUNCTION("IF(ISBLANK(I31), """", GOOGLETRANSLATE(I31, ""es"", ""en""))"),"User who inserted the record, Fields used by the institution for internal use")</f>
        <v>User who inserted the record, Fields used by the institution for internal use</v>
      </c>
    </row>
    <row r="32" ht="15.75" customHeight="1">
      <c r="A32" s="8"/>
      <c r="B32" s="30" t="s">
        <v>57</v>
      </c>
      <c r="C32" s="31" t="s">
        <v>102</v>
      </c>
      <c r="D32" s="31">
        <v>4.0</v>
      </c>
      <c r="E32" s="30"/>
      <c r="F32" s="30"/>
      <c r="G32" s="30" t="s">
        <v>61</v>
      </c>
      <c r="H32" s="32">
        <v>42157.12222222222</v>
      </c>
      <c r="I32" s="31" t="s">
        <v>103</v>
      </c>
      <c r="J32" s="31" t="str">
        <f>IFERROR(__xludf.DUMMYFUNCTION("IF(ISBLANK(I32), """", GOOGLETRANSLATE(I32, ""es"", ""en""))"),"Insertion date, Fields used by the institution for internal use")</f>
        <v>Insertion date, Fields used by the institution for internal use</v>
      </c>
    </row>
    <row r="33" ht="15.75" customHeight="1">
      <c r="A33" s="8"/>
      <c r="B33" s="30" t="s">
        <v>58</v>
      </c>
      <c r="C33" s="31" t="s">
        <v>60</v>
      </c>
      <c r="D33" s="31">
        <v>4.0</v>
      </c>
      <c r="E33" s="30">
        <v>10.0</v>
      </c>
      <c r="F33" s="30">
        <v>0.0</v>
      </c>
      <c r="G33" s="30" t="s">
        <v>100</v>
      </c>
      <c r="H33" s="32">
        <v>1.0</v>
      </c>
      <c r="I33" s="31" t="s">
        <v>104</v>
      </c>
      <c r="J33" s="31" t="str">
        <f>IFERROR(__xludf.DUMMYFUNCTION("IF(ISBLANK(I33), """", GOOGLETRANSLATE(I33, ""es"", ""en""))"),"Update User Callsign")</f>
        <v>Update User Callsign</v>
      </c>
    </row>
    <row r="34" ht="15.75" customHeight="1">
      <c r="A34" s="8"/>
      <c r="B34" s="30" t="s">
        <v>59</v>
      </c>
      <c r="C34" s="31" t="s">
        <v>102</v>
      </c>
      <c r="D34" s="31">
        <v>4.0</v>
      </c>
      <c r="E34" s="30"/>
      <c r="F34" s="30"/>
      <c r="G34" s="30" t="s">
        <v>100</v>
      </c>
      <c r="H34" s="32">
        <v>42157.12222222222</v>
      </c>
      <c r="I34" s="31" t="s">
        <v>105</v>
      </c>
      <c r="J34" s="31" t="str">
        <f>IFERROR(__xludf.DUMMYFUNCTION("IF(ISBLANK(I34), """", GOOGLETRANSLATE(I34, ""es"", ""en""))"),"Update date")</f>
        <v>Update date</v>
      </c>
    </row>
    <row r="35" ht="15.75" customHeight="1">
      <c r="C35" s="4"/>
      <c r="D35" s="4"/>
      <c r="H35" s="3"/>
      <c r="I35" s="4"/>
    </row>
    <row r="36" ht="15.75" customHeight="1">
      <c r="C36" s="4"/>
      <c r="D36" s="4"/>
      <c r="H36" s="3"/>
      <c r="I36" s="4"/>
    </row>
    <row r="37" ht="15.75" customHeight="1">
      <c r="C37" s="4"/>
      <c r="D37" s="4"/>
      <c r="H37" s="3"/>
      <c r="I37" s="4"/>
    </row>
    <row r="38" ht="15.75" customHeight="1">
      <c r="C38" s="4"/>
      <c r="D38" s="4"/>
      <c r="H38" s="3"/>
      <c r="I38" s="4"/>
    </row>
    <row r="39" ht="15.75" customHeight="1">
      <c r="C39" s="4"/>
      <c r="D39" s="4"/>
      <c r="H39" s="3"/>
      <c r="I39" s="4"/>
    </row>
    <row r="40" ht="15.75" customHeight="1">
      <c r="A40" s="17"/>
      <c r="B40" s="17" t="s">
        <v>106</v>
      </c>
    </row>
    <row r="41" ht="33.75" customHeight="1">
      <c r="A41" s="34"/>
      <c r="B41" s="35" t="s">
        <v>107</v>
      </c>
      <c r="C41" s="20"/>
      <c r="D41" s="20"/>
      <c r="E41" s="20"/>
      <c r="F41" s="20"/>
      <c r="G41" s="22"/>
      <c r="H41" s="35" t="str">
        <f>IFERROR(__xludf.DUMMYFUNCTION("IF(ISBLANK(B41), """", GOOGLETRANSLATE(B41, ""es"", ""en""))"),"Information about government institutions and their associated characteristics or attributes.")</f>
        <v>Information about government institutions and their associated characteristics or attributes.</v>
      </c>
      <c r="I41" s="20"/>
      <c r="J41" s="22"/>
      <c r="K41" s="23"/>
      <c r="L41" s="23"/>
      <c r="M41" s="24" t="s">
        <v>33</v>
      </c>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row>
    <row r="42" ht="15.75" customHeight="1">
      <c r="A42" s="25"/>
      <c r="B42" s="26" t="s">
        <v>34</v>
      </c>
      <c r="C42" s="27" t="s">
        <v>35</v>
      </c>
      <c r="D42" s="27" t="s">
        <v>36</v>
      </c>
      <c r="E42" s="26" t="s">
        <v>37</v>
      </c>
      <c r="F42" s="26" t="s">
        <v>38</v>
      </c>
      <c r="G42" s="26" t="s">
        <v>39</v>
      </c>
      <c r="H42" s="28" t="s">
        <v>40</v>
      </c>
      <c r="I42" s="28" t="s">
        <v>41</v>
      </c>
      <c r="J42" s="28" t="s">
        <v>42</v>
      </c>
      <c r="M42" s="29" t="s">
        <v>108</v>
      </c>
      <c r="N42" s="29" t="s">
        <v>109</v>
      </c>
      <c r="O42" s="29" t="s">
        <v>110</v>
      </c>
      <c r="P42" s="29" t="s">
        <v>111</v>
      </c>
      <c r="Q42" s="29" t="s">
        <v>112</v>
      </c>
      <c r="R42" s="29" t="s">
        <v>113</v>
      </c>
      <c r="S42" s="29" t="s">
        <v>114</v>
      </c>
      <c r="T42" s="29" t="s">
        <v>52</v>
      </c>
      <c r="U42" s="29" t="s">
        <v>53</v>
      </c>
      <c r="V42" s="29" t="s">
        <v>115</v>
      </c>
      <c r="W42" s="29" t="s">
        <v>116</v>
      </c>
      <c r="X42" s="29" t="s">
        <v>117</v>
      </c>
      <c r="Y42" s="29" t="s">
        <v>54</v>
      </c>
      <c r="Z42" s="29" t="s">
        <v>55</v>
      </c>
      <c r="AA42" s="29" t="s">
        <v>56</v>
      </c>
      <c r="AB42" s="29" t="s">
        <v>57</v>
      </c>
      <c r="AC42" s="29" t="s">
        <v>58</v>
      </c>
      <c r="AD42" s="29" t="s">
        <v>59</v>
      </c>
    </row>
    <row r="43" ht="15.75" customHeight="1">
      <c r="A43" s="8"/>
      <c r="B43" s="30" t="s">
        <v>108</v>
      </c>
      <c r="C43" s="31" t="s">
        <v>60</v>
      </c>
      <c r="D43" s="31">
        <v>4.0</v>
      </c>
      <c r="E43" s="30">
        <v>10.0</v>
      </c>
      <c r="F43" s="30">
        <v>0.0</v>
      </c>
      <c r="G43" s="31" t="s">
        <v>61</v>
      </c>
      <c r="H43" s="32">
        <v>20.0</v>
      </c>
      <c r="I43" s="31" t="s">
        <v>118</v>
      </c>
      <c r="J43" s="31" t="str">
        <f>IFERROR(__xludf.DUMMYFUNCTION("IF(ISBLANK(I43), """", GOOGLETRANSLATE(I43, ""es"", ""en""))"),"State Institution Identifier")</f>
        <v>State Institution Identifier</v>
      </c>
      <c r="M43" s="30">
        <v>3.0</v>
      </c>
      <c r="N43" s="30" t="s">
        <v>119</v>
      </c>
      <c r="O43" s="30" t="s">
        <v>120</v>
      </c>
      <c r="P43" s="30">
        <v>2.0</v>
      </c>
      <c r="Q43" s="30" t="s">
        <v>121</v>
      </c>
      <c r="R43" s="30" t="s">
        <v>66</v>
      </c>
      <c r="S43" s="30" t="s">
        <v>122</v>
      </c>
      <c r="T43" s="30" t="s">
        <v>66</v>
      </c>
      <c r="U43" s="30" t="s">
        <v>67</v>
      </c>
      <c r="V43" s="30">
        <v>201.0</v>
      </c>
      <c r="W43" s="30">
        <v>2.0</v>
      </c>
      <c r="X43" s="30">
        <v>1.0</v>
      </c>
      <c r="Y43" s="30" t="s">
        <v>68</v>
      </c>
      <c r="Z43" s="30">
        <v>0.0</v>
      </c>
      <c r="AA43" s="30">
        <v>1.0</v>
      </c>
      <c r="AB43" s="33">
        <v>42489.08819444444</v>
      </c>
      <c r="AC43" s="30">
        <v>22.0</v>
      </c>
      <c r="AD43" s="33">
        <v>42489.08819444444</v>
      </c>
    </row>
    <row r="44" ht="15.75" customHeight="1">
      <c r="A44" s="8"/>
      <c r="B44" s="30" t="s">
        <v>109</v>
      </c>
      <c r="C44" s="31" t="s">
        <v>82</v>
      </c>
      <c r="D44" s="31">
        <v>120.0</v>
      </c>
      <c r="E44" s="30"/>
      <c r="F44" s="30"/>
      <c r="G44" s="31" t="s">
        <v>100</v>
      </c>
      <c r="H44" s="36" t="s">
        <v>123</v>
      </c>
      <c r="I44" s="31" t="s">
        <v>124</v>
      </c>
      <c r="J44" s="31" t="str">
        <f>IFERROR(__xludf.DUMMYFUNCTION("IF(ISBLANK(I44), """", GOOGLETRANSLATE(I44, ""es"", ""en""))"),"Description of the state institution. An institution is understood as any type of social organization, whether public or private, created with the purpose of fulfilling an objective within the community and whose operation is oriented to norms and structu"&amp;"res within which each member It has a mission or work to fulfill to achieve the proposed goals in a general way.")</f>
        <v>Description of the state institution. An institution is understood as any type of social organization, whether public or private, created with the purpose of fulfilling an objective within the community and whose operation is oriented to norms and structures within which each member It has a mission or work to fulfill to achieve the proposed goals in a general way.</v>
      </c>
      <c r="M44" s="30">
        <v>14.0</v>
      </c>
      <c r="N44" s="30" t="s">
        <v>125</v>
      </c>
      <c r="O44" s="30" t="s">
        <v>126</v>
      </c>
      <c r="P44" s="30">
        <v>3.0</v>
      </c>
      <c r="Q44" s="30" t="s">
        <v>127</v>
      </c>
      <c r="R44" s="30" t="s">
        <v>66</v>
      </c>
      <c r="S44" s="30" t="s">
        <v>122</v>
      </c>
      <c r="T44" s="30" t="s">
        <v>66</v>
      </c>
      <c r="U44" s="30" t="s">
        <v>67</v>
      </c>
      <c r="V44" s="30">
        <v>202.0</v>
      </c>
      <c r="W44" s="30">
        <v>1.0</v>
      </c>
      <c r="X44" s="30">
        <v>1.0</v>
      </c>
      <c r="Y44" s="30" t="s">
        <v>68</v>
      </c>
      <c r="Z44" s="30">
        <v>0.0</v>
      </c>
      <c r="AA44" s="30">
        <v>1.0</v>
      </c>
      <c r="AB44" s="33">
        <v>42489.08819444444</v>
      </c>
      <c r="AC44" s="30">
        <v>43.0</v>
      </c>
      <c r="AD44" s="33">
        <v>43138.625</v>
      </c>
    </row>
    <row r="45" ht="15.75" customHeight="1">
      <c r="A45" s="8"/>
      <c r="B45" s="30" t="s">
        <v>110</v>
      </c>
      <c r="C45" s="31" t="s">
        <v>82</v>
      </c>
      <c r="D45" s="31">
        <v>30.0</v>
      </c>
      <c r="E45" s="30"/>
      <c r="F45" s="30"/>
      <c r="G45" s="31" t="s">
        <v>100</v>
      </c>
      <c r="H45" s="36" t="s">
        <v>128</v>
      </c>
      <c r="I45" s="31" t="s">
        <v>129</v>
      </c>
      <c r="J45" s="31" t="str">
        <f>IFERROR(__xludf.DUMMYFUNCTION("IF(ISBLANK(I45), """", GOOGLETRANSLATE(I45, ""es"", ""en""))"),"Acronyms of the state institution")</f>
        <v>Acronyms of the state institution</v>
      </c>
      <c r="M45" s="30">
        <v>20.0</v>
      </c>
      <c r="N45" s="30" t="s">
        <v>123</v>
      </c>
      <c r="O45" s="30" t="s">
        <v>128</v>
      </c>
      <c r="P45" s="30">
        <v>3.0</v>
      </c>
      <c r="Q45" s="30" t="s">
        <v>127</v>
      </c>
      <c r="R45" s="30" t="s">
        <v>66</v>
      </c>
      <c r="S45" s="30" t="s">
        <v>122</v>
      </c>
      <c r="T45" s="30" t="s">
        <v>66</v>
      </c>
      <c r="U45" s="30" t="s">
        <v>67</v>
      </c>
      <c r="V45" s="30">
        <v>203.0</v>
      </c>
      <c r="W45" s="30">
        <v>1.0</v>
      </c>
      <c r="X45" s="30">
        <v>1.0</v>
      </c>
      <c r="Y45" s="30" t="s">
        <v>68</v>
      </c>
      <c r="Z45" s="30">
        <v>0.0</v>
      </c>
      <c r="AA45" s="30">
        <v>1.0</v>
      </c>
      <c r="AB45" s="33">
        <v>42489.08819444444</v>
      </c>
      <c r="AC45" s="30">
        <v>1.0</v>
      </c>
      <c r="AD45" s="33">
        <v>42489.08819444444</v>
      </c>
    </row>
    <row r="46" ht="15.75" customHeight="1">
      <c r="A46" s="8"/>
      <c r="B46" s="30" t="s">
        <v>111</v>
      </c>
      <c r="C46" s="31" t="s">
        <v>60</v>
      </c>
      <c r="D46" s="31">
        <v>4.0</v>
      </c>
      <c r="E46" s="30">
        <v>10.0</v>
      </c>
      <c r="F46" s="30">
        <v>0.0</v>
      </c>
      <c r="G46" s="31" t="s">
        <v>61</v>
      </c>
      <c r="H46" s="36">
        <v>3.0</v>
      </c>
      <c r="I46" s="31" t="s">
        <v>130</v>
      </c>
      <c r="J46" s="31" t="str">
        <f>IFERROR(__xludf.DUMMYFUNCTION("IF(ISBLANK(I46), """", GOOGLETRANSLATE(I46, ""es"", ""en""))"),"Division identifier")</f>
        <v>Division identifier</v>
      </c>
      <c r="M46" s="30">
        <v>25.0</v>
      </c>
      <c r="N46" s="30" t="s">
        <v>131</v>
      </c>
      <c r="O46" s="30" t="s">
        <v>132</v>
      </c>
      <c r="P46" s="30">
        <v>3.0</v>
      </c>
      <c r="Q46" s="30" t="s">
        <v>127</v>
      </c>
      <c r="R46" s="30" t="s">
        <v>66</v>
      </c>
      <c r="S46" s="30" t="s">
        <v>122</v>
      </c>
      <c r="T46" s="30" t="s">
        <v>66</v>
      </c>
      <c r="U46" s="30" t="s">
        <v>67</v>
      </c>
      <c r="V46" s="30">
        <v>205.0</v>
      </c>
      <c r="W46" s="30">
        <v>1.0</v>
      </c>
      <c r="X46" s="30">
        <v>1.0</v>
      </c>
      <c r="Y46" s="30" t="s">
        <v>68</v>
      </c>
      <c r="Z46" s="30">
        <v>0.0</v>
      </c>
      <c r="AA46" s="30">
        <v>1.0</v>
      </c>
      <c r="AB46" s="33">
        <v>42489.08819444444</v>
      </c>
      <c r="AC46" s="30">
        <v>1.0</v>
      </c>
      <c r="AD46" s="33">
        <v>42489.08819444444</v>
      </c>
    </row>
    <row r="47" ht="15.75" customHeight="1">
      <c r="A47" s="8"/>
      <c r="B47" s="30" t="s">
        <v>112</v>
      </c>
      <c r="C47" s="31" t="s">
        <v>82</v>
      </c>
      <c r="D47" s="31">
        <v>120.0</v>
      </c>
      <c r="E47" s="30"/>
      <c r="F47" s="30"/>
      <c r="G47" s="31" t="s">
        <v>100</v>
      </c>
      <c r="H47" s="36" t="s">
        <v>127</v>
      </c>
      <c r="I47" s="31" t="s">
        <v>133</v>
      </c>
      <c r="J47" s="31" t="str">
        <f>IFERROR(__xludf.DUMMYFUNCTION("IF(ISBLANK(I47), """", GOOGLETRANSLATE(I47, ""es"", ""en""))"),"Division of the institution")</f>
        <v>Division of the institution</v>
      </c>
      <c r="M47" s="30">
        <v>26.0</v>
      </c>
      <c r="N47" s="30" t="s">
        <v>134</v>
      </c>
      <c r="O47" s="30" t="s">
        <v>135</v>
      </c>
      <c r="P47" s="30">
        <v>4.0</v>
      </c>
      <c r="Q47" s="30" t="s">
        <v>136</v>
      </c>
      <c r="R47" s="30" t="s">
        <v>66</v>
      </c>
      <c r="S47" s="30" t="s">
        <v>122</v>
      </c>
      <c r="T47" s="30" t="s">
        <v>66</v>
      </c>
      <c r="U47" s="30" t="s">
        <v>67</v>
      </c>
      <c r="V47" s="30">
        <v>205.0</v>
      </c>
      <c r="W47" s="30">
        <v>1.0</v>
      </c>
      <c r="X47" s="30">
        <v>2.0</v>
      </c>
      <c r="Y47" s="30" t="s">
        <v>68</v>
      </c>
      <c r="Z47" s="30">
        <v>0.0</v>
      </c>
      <c r="AA47" s="30">
        <v>1.0</v>
      </c>
      <c r="AB47" s="33">
        <v>42489.08819444444</v>
      </c>
      <c r="AC47" s="30">
        <v>1.0</v>
      </c>
      <c r="AD47" s="33">
        <v>42489.08819444444</v>
      </c>
    </row>
    <row r="48" ht="15.75" customHeight="1">
      <c r="A48" s="8"/>
      <c r="B48" s="30" t="s">
        <v>113</v>
      </c>
      <c r="C48" s="31" t="s">
        <v>82</v>
      </c>
      <c r="D48" s="31">
        <v>1.0</v>
      </c>
      <c r="E48" s="30"/>
      <c r="F48" s="30"/>
      <c r="G48" s="31" t="s">
        <v>100</v>
      </c>
      <c r="H48" s="36" t="s">
        <v>66</v>
      </c>
      <c r="I48" s="31" t="s">
        <v>137</v>
      </c>
      <c r="J48" s="31" t="str">
        <f>IFERROR(__xludf.DUMMYFUNCTION("IF(ISBLANK(I48), """", GOOGLETRANSLATE(I48, ""es"", ""en""))"),"Type of institution code")</f>
        <v>Type of institution code</v>
      </c>
      <c r="M48" s="30">
        <v>29.0</v>
      </c>
      <c r="N48" s="30" t="s">
        <v>138</v>
      </c>
      <c r="O48" s="30" t="s">
        <v>139</v>
      </c>
      <c r="P48" s="30">
        <v>2.0</v>
      </c>
      <c r="Q48" s="30" t="s">
        <v>121</v>
      </c>
      <c r="R48" s="30" t="s">
        <v>66</v>
      </c>
      <c r="S48" s="30" t="s">
        <v>122</v>
      </c>
      <c r="T48" s="30" t="s">
        <v>66</v>
      </c>
      <c r="U48" s="30" t="s">
        <v>67</v>
      </c>
      <c r="V48" s="30">
        <v>206.0</v>
      </c>
      <c r="W48" s="30">
        <v>1.0</v>
      </c>
      <c r="X48" s="30">
        <v>1.0</v>
      </c>
      <c r="Y48" s="30" t="s">
        <v>68</v>
      </c>
      <c r="Z48" s="30">
        <v>0.0</v>
      </c>
      <c r="AA48" s="30">
        <v>1.0</v>
      </c>
      <c r="AB48" s="33">
        <v>42489.08819444444</v>
      </c>
      <c r="AC48" s="30">
        <v>1.0</v>
      </c>
      <c r="AD48" s="33">
        <v>42489.08819444444</v>
      </c>
    </row>
    <row r="49" ht="15.75" customHeight="1">
      <c r="A49" s="8"/>
      <c r="B49" s="30" t="s">
        <v>114</v>
      </c>
      <c r="C49" s="31" t="s">
        <v>82</v>
      </c>
      <c r="D49" s="31">
        <v>60.0</v>
      </c>
      <c r="E49" s="30"/>
      <c r="F49" s="30"/>
      <c r="G49" s="31" t="s">
        <v>61</v>
      </c>
      <c r="H49" s="36" t="s">
        <v>122</v>
      </c>
      <c r="I49" s="31" t="s">
        <v>140</v>
      </c>
      <c r="J49" s="31" t="str">
        <f>IFERROR(__xludf.DUMMYFUNCTION("IF(ISBLANK(I49), """", GOOGLETRANSLATE(I49, ""es"", ""en""))"),"Type of Institution Text")</f>
        <v>Type of Institution Text</v>
      </c>
      <c r="M49" s="30">
        <v>30.0</v>
      </c>
      <c r="N49" s="30" t="s">
        <v>141</v>
      </c>
      <c r="O49" s="30" t="s">
        <v>142</v>
      </c>
      <c r="P49" s="30">
        <v>2.0</v>
      </c>
      <c r="Q49" s="30" t="s">
        <v>121</v>
      </c>
      <c r="R49" s="30" t="s">
        <v>66</v>
      </c>
      <c r="S49" s="30" t="s">
        <v>122</v>
      </c>
      <c r="T49" s="30" t="s">
        <v>66</v>
      </c>
      <c r="U49" s="30" t="s">
        <v>67</v>
      </c>
      <c r="V49" s="30">
        <v>207.0</v>
      </c>
      <c r="W49" s="30">
        <v>1.0</v>
      </c>
      <c r="X49" s="30">
        <v>1.0</v>
      </c>
      <c r="Y49" s="30" t="s">
        <v>68</v>
      </c>
      <c r="Z49" s="30">
        <v>0.0</v>
      </c>
      <c r="AA49" s="30">
        <v>1.0</v>
      </c>
      <c r="AB49" s="33">
        <v>42489.08819444444</v>
      </c>
      <c r="AC49" s="30">
        <v>1.0</v>
      </c>
      <c r="AD49" s="33">
        <v>42489.08819444444</v>
      </c>
    </row>
    <row r="50" ht="15.75" customHeight="1">
      <c r="A50" s="8"/>
      <c r="B50" s="30" t="s">
        <v>52</v>
      </c>
      <c r="C50" s="31" t="s">
        <v>82</v>
      </c>
      <c r="D50" s="31">
        <v>1.0</v>
      </c>
      <c r="E50" s="30"/>
      <c r="F50" s="30"/>
      <c r="G50" s="31" t="s">
        <v>61</v>
      </c>
      <c r="H50" s="36" t="s">
        <v>66</v>
      </c>
      <c r="I50" s="31" t="s">
        <v>95</v>
      </c>
      <c r="J50" s="31" t="str">
        <f>IFERROR(__xludf.DUMMYFUNCTION("IF(ISBLANK(I50), """", GOOGLETRANSLATE(I50, ""es"", ""en""))"),"Active Registration Indicator Code (S) is YES")</f>
        <v>Active Registration Indicator Code (S) is YES</v>
      </c>
      <c r="M50" s="30">
        <v>33.0</v>
      </c>
      <c r="N50" s="30" t="s">
        <v>143</v>
      </c>
      <c r="O50" s="30" t="s">
        <v>144</v>
      </c>
      <c r="P50" s="30">
        <v>2.0</v>
      </c>
      <c r="Q50" s="30" t="s">
        <v>121</v>
      </c>
      <c r="R50" s="30" t="s">
        <v>66</v>
      </c>
      <c r="S50" s="30" t="s">
        <v>122</v>
      </c>
      <c r="T50" s="30" t="s">
        <v>66</v>
      </c>
      <c r="U50" s="30" t="s">
        <v>67</v>
      </c>
      <c r="V50" s="30">
        <v>209.0</v>
      </c>
      <c r="W50" s="30">
        <v>1.0</v>
      </c>
      <c r="X50" s="30">
        <v>1.0</v>
      </c>
      <c r="Y50" s="30" t="s">
        <v>68</v>
      </c>
      <c r="Z50" s="30">
        <v>0.0</v>
      </c>
      <c r="AA50" s="30">
        <v>1.0</v>
      </c>
      <c r="AB50" s="33">
        <v>42489.08819444444</v>
      </c>
      <c r="AC50" s="30">
        <v>1.0</v>
      </c>
      <c r="AD50" s="33">
        <v>42489.08819444444</v>
      </c>
    </row>
    <row r="51" ht="15.75" customHeight="1">
      <c r="A51" s="8"/>
      <c r="B51" s="30" t="s">
        <v>53</v>
      </c>
      <c r="C51" s="31" t="s">
        <v>82</v>
      </c>
      <c r="D51" s="31">
        <v>13.0</v>
      </c>
      <c r="E51" s="30"/>
      <c r="F51" s="30"/>
      <c r="G51" s="31" t="s">
        <v>61</v>
      </c>
      <c r="H51" s="36" t="s">
        <v>67</v>
      </c>
      <c r="I51" s="31" t="s">
        <v>98</v>
      </c>
      <c r="J51" s="31" t="str">
        <f>IFERROR(__xludf.DUMMYFUNCTION("IF(ISBLANK(I51), """", GOOGLETRANSLATE(I51, ""es"", ""en""))"),"Active Record Indicator Text (YES) is YES")</f>
        <v>Active Record Indicator Text (YES) is YES</v>
      </c>
      <c r="M51" s="30">
        <v>34.0</v>
      </c>
      <c r="N51" s="30" t="s">
        <v>145</v>
      </c>
      <c r="O51" s="30" t="s">
        <v>146</v>
      </c>
      <c r="P51" s="30">
        <v>1.0</v>
      </c>
      <c r="Q51" s="30" t="s">
        <v>147</v>
      </c>
      <c r="R51" s="30" t="s">
        <v>66</v>
      </c>
      <c r="S51" s="30" t="s">
        <v>122</v>
      </c>
      <c r="T51" s="30" t="s">
        <v>66</v>
      </c>
      <c r="U51" s="30" t="s">
        <v>67</v>
      </c>
      <c r="V51" s="30">
        <v>210.0</v>
      </c>
      <c r="W51" s="30">
        <v>1.0</v>
      </c>
      <c r="X51" s="30">
        <v>1.0</v>
      </c>
      <c r="Y51" s="30" t="s">
        <v>68</v>
      </c>
      <c r="Z51" s="30">
        <v>0.0</v>
      </c>
      <c r="AA51" s="30">
        <v>1.0</v>
      </c>
      <c r="AB51" s="33">
        <v>42489.08819444444</v>
      </c>
      <c r="AC51" s="30">
        <v>1.0</v>
      </c>
      <c r="AD51" s="33">
        <v>42489.08819444444</v>
      </c>
    </row>
    <row r="52" ht="15.75" customHeight="1">
      <c r="A52" s="8"/>
      <c r="B52" s="30" t="s">
        <v>115</v>
      </c>
      <c r="C52" s="31" t="s">
        <v>82</v>
      </c>
      <c r="D52" s="31">
        <v>4.0</v>
      </c>
      <c r="E52" s="30"/>
      <c r="F52" s="30"/>
      <c r="G52" s="31" t="s">
        <v>61</v>
      </c>
      <c r="H52" s="36">
        <v>203.0</v>
      </c>
      <c r="I52" s="31" t="s">
        <v>148</v>
      </c>
      <c r="J52" s="31" t="str">
        <f>IFERROR(__xludf.DUMMYFUNCTION("IF(ISBLANK(I52), """", GOOGLETRANSLATE(I52, ""es"", ""en""))"),"Chapter, ,Identifies the first level of hierarchy within the institutional level.")</f>
        <v>Chapter, ,Identifies the first level of hierarchy within the institutional level.</v>
      </c>
      <c r="M52" s="30">
        <v>35.0</v>
      </c>
      <c r="N52" s="30" t="s">
        <v>149</v>
      </c>
      <c r="O52" s="30" t="s">
        <v>150</v>
      </c>
      <c r="P52" s="30">
        <v>1.0</v>
      </c>
      <c r="Q52" s="30" t="s">
        <v>147</v>
      </c>
      <c r="R52" s="30" t="s">
        <v>66</v>
      </c>
      <c r="S52" s="30" t="s">
        <v>122</v>
      </c>
      <c r="T52" s="30" t="s">
        <v>66</v>
      </c>
      <c r="U52" s="30" t="s">
        <v>67</v>
      </c>
      <c r="V52" s="30">
        <v>210.0</v>
      </c>
      <c r="W52" s="30">
        <v>1.0</v>
      </c>
      <c r="X52" s="30">
        <v>2.0</v>
      </c>
      <c r="Y52" s="30" t="s">
        <v>68</v>
      </c>
      <c r="Z52" s="30">
        <v>0.0</v>
      </c>
      <c r="AA52" s="30">
        <v>1.0</v>
      </c>
      <c r="AB52" s="33">
        <v>42489.08819444444</v>
      </c>
      <c r="AC52" s="30">
        <v>1.0</v>
      </c>
      <c r="AD52" s="33">
        <v>42489.08819444444</v>
      </c>
    </row>
    <row r="53" ht="15.75" customHeight="1">
      <c r="A53" s="8"/>
      <c r="B53" s="30" t="s">
        <v>116</v>
      </c>
      <c r="C53" s="31" t="s">
        <v>82</v>
      </c>
      <c r="D53" s="31">
        <v>2.0</v>
      </c>
      <c r="E53" s="30"/>
      <c r="F53" s="30"/>
      <c r="G53" s="31" t="s">
        <v>100</v>
      </c>
      <c r="H53" s="36">
        <v>1.0</v>
      </c>
      <c r="I53" s="31" t="s">
        <v>151</v>
      </c>
      <c r="J53" s="31" t="str">
        <f>IFERROR(__xludf.DUMMYFUNCTION("IF(ISBLANK(I53), """", GOOGLETRANSLATE(I53, ""es"", ""en""))"),"Subchapter,Identifies the second level of hierarchy within the institutional level.")</f>
        <v>Subchapter,Identifies the second level of hierarchy within the institutional level.</v>
      </c>
    </row>
    <row r="54" ht="15.75" customHeight="1">
      <c r="A54" s="8"/>
      <c r="B54" s="30" t="s">
        <v>117</v>
      </c>
      <c r="C54" s="31" t="s">
        <v>82</v>
      </c>
      <c r="D54" s="31">
        <v>4.0</v>
      </c>
      <c r="E54" s="30"/>
      <c r="F54" s="30"/>
      <c r="G54" s="31" t="s">
        <v>100</v>
      </c>
      <c r="H54" s="36">
        <v>1.0</v>
      </c>
      <c r="I54" s="31" t="s">
        <v>152</v>
      </c>
      <c r="J54" s="31" t="str">
        <f>IFERROR(__xludf.DUMMYFUNCTION("IF(ISBLANK(I54), """", GOOGLETRANSLATE(I54, ""es"", ""en""))"),"Executing unit")</f>
        <v>Executing unit</v>
      </c>
    </row>
    <row r="55" ht="15.75" customHeight="1">
      <c r="A55" s="8"/>
      <c r="B55" s="30" t="s">
        <v>54</v>
      </c>
      <c r="C55" s="31" t="s">
        <v>82</v>
      </c>
      <c r="D55" s="31">
        <v>32.0</v>
      </c>
      <c r="E55" s="30"/>
      <c r="F55" s="30"/>
      <c r="G55" s="31" t="s">
        <v>61</v>
      </c>
      <c r="H55" s="36" t="s">
        <v>68</v>
      </c>
      <c r="I55" s="31" t="s">
        <v>153</v>
      </c>
      <c r="J55" s="31" t="str">
        <f>IFERROR(__xludf.DUMMYFUNCTION("IF(ISBLANK(I55), """", GOOGLETRANSLATE(I55, ""es"", ""en""))"),"Registration Status")</f>
        <v>Registration Status</v>
      </c>
    </row>
    <row r="56" ht="15.75" customHeight="1">
      <c r="A56" s="8"/>
      <c r="B56" s="30" t="s">
        <v>55</v>
      </c>
      <c r="C56" s="31" t="s">
        <v>60</v>
      </c>
      <c r="D56" s="31">
        <v>4.0</v>
      </c>
      <c r="E56" s="30">
        <v>10.0</v>
      </c>
      <c r="F56" s="30">
        <v>0.0</v>
      </c>
      <c r="G56" s="31" t="s">
        <v>100</v>
      </c>
      <c r="H56" s="36">
        <v>0.0</v>
      </c>
      <c r="I56" s="31"/>
      <c r="J56" s="31" t="str">
        <f>IFERROR(__xludf.DUMMYFUNCTION("IF(ISBLANK(I56), """", GOOGLETRANSLATE(I56, ""es"", ""en""))"),"")</f>
        <v/>
      </c>
    </row>
    <row r="57" ht="15.75" customHeight="1">
      <c r="A57" s="8"/>
      <c r="B57" s="30" t="s">
        <v>56</v>
      </c>
      <c r="C57" s="31" t="s">
        <v>60</v>
      </c>
      <c r="D57" s="31">
        <v>4.0</v>
      </c>
      <c r="E57" s="30">
        <v>10.0</v>
      </c>
      <c r="F57" s="30">
        <v>0.0</v>
      </c>
      <c r="G57" s="31" t="s">
        <v>61</v>
      </c>
      <c r="H57" s="36">
        <v>1.0</v>
      </c>
      <c r="I57" s="31" t="s">
        <v>101</v>
      </c>
      <c r="J57" s="31" t="str">
        <f>IFERROR(__xludf.DUMMYFUNCTION("IF(ISBLANK(I57), """", GOOGLETRANSLATE(I57, ""es"", ""en""))"),"User who inserted the record, Fields used by the institution for internal use")</f>
        <v>User who inserted the record, Fields used by the institution for internal use</v>
      </c>
    </row>
    <row r="58" ht="15.75" customHeight="1">
      <c r="A58" s="8"/>
      <c r="B58" s="30" t="s">
        <v>57</v>
      </c>
      <c r="C58" s="31" t="s">
        <v>102</v>
      </c>
      <c r="D58" s="31">
        <v>4.0</v>
      </c>
      <c r="E58" s="30"/>
      <c r="F58" s="30"/>
      <c r="G58" s="31" t="s">
        <v>61</v>
      </c>
      <c r="H58" s="37">
        <v>42489.08819444444</v>
      </c>
      <c r="I58" s="31" t="s">
        <v>103</v>
      </c>
      <c r="J58" s="31" t="str">
        <f>IFERROR(__xludf.DUMMYFUNCTION("IF(ISBLANK(I58), """", GOOGLETRANSLATE(I58, ""es"", ""en""))"),"Insertion date, Fields used by the institution for internal use")</f>
        <v>Insertion date, Fields used by the institution for internal use</v>
      </c>
    </row>
    <row r="59" ht="15.75" customHeight="1">
      <c r="A59" s="8"/>
      <c r="B59" s="30" t="s">
        <v>58</v>
      </c>
      <c r="C59" s="31" t="s">
        <v>60</v>
      </c>
      <c r="D59" s="31">
        <v>4.0</v>
      </c>
      <c r="E59" s="30">
        <v>10.0</v>
      </c>
      <c r="F59" s="30">
        <v>0.0</v>
      </c>
      <c r="G59" s="31" t="s">
        <v>100</v>
      </c>
      <c r="H59" s="36">
        <v>1.0</v>
      </c>
      <c r="I59" s="31" t="s">
        <v>104</v>
      </c>
      <c r="J59" s="31" t="str">
        <f>IFERROR(__xludf.DUMMYFUNCTION("IF(ISBLANK(I59), """", GOOGLETRANSLATE(I59, ""es"", ""en""))"),"Update User Callsign")</f>
        <v>Update User Callsign</v>
      </c>
    </row>
    <row r="60" ht="15.75" customHeight="1">
      <c r="A60" s="8"/>
      <c r="B60" s="30" t="s">
        <v>59</v>
      </c>
      <c r="C60" s="31" t="s">
        <v>102</v>
      </c>
      <c r="D60" s="31">
        <v>4.0</v>
      </c>
      <c r="E60" s="30"/>
      <c r="F60" s="30"/>
      <c r="G60" s="31" t="s">
        <v>100</v>
      </c>
      <c r="H60" s="37">
        <v>42489.08819444444</v>
      </c>
      <c r="I60" s="31" t="s">
        <v>105</v>
      </c>
      <c r="J60" s="31" t="str">
        <f>IFERROR(__xludf.DUMMYFUNCTION("IF(ISBLANK(I60), """", GOOGLETRANSLATE(I60, ""es"", ""en""))"),"Update date")</f>
        <v>Update date</v>
      </c>
    </row>
    <row r="61" ht="15.75" customHeight="1">
      <c r="C61" s="4"/>
      <c r="D61" s="4"/>
      <c r="H61" s="3"/>
      <c r="I61" s="4"/>
    </row>
    <row r="62" ht="15.75" customHeight="1">
      <c r="C62" s="4"/>
      <c r="D62" s="4"/>
      <c r="H62" s="3"/>
      <c r="I62" s="4"/>
    </row>
    <row r="63" ht="15.75" customHeight="1">
      <c r="C63" s="4"/>
      <c r="D63" s="4"/>
      <c r="H63" s="3"/>
      <c r="I63" s="4"/>
    </row>
    <row r="64" ht="15.75" customHeight="1">
      <c r="C64" s="4"/>
      <c r="D64" s="4"/>
      <c r="H64" s="3"/>
      <c r="I64" s="4"/>
    </row>
    <row r="65" ht="15.75" customHeight="1">
      <c r="A65" s="17"/>
      <c r="B65" s="38" t="s">
        <v>154</v>
      </c>
      <c r="C65" s="20"/>
      <c r="D65" s="20"/>
      <c r="E65" s="20"/>
      <c r="F65" s="20"/>
      <c r="G65" s="20"/>
      <c r="H65" s="20"/>
      <c r="I65" s="20"/>
      <c r="J65" s="22"/>
    </row>
    <row r="66" ht="33.75" customHeight="1">
      <c r="A66" s="34"/>
      <c r="B66" s="35" t="s">
        <v>155</v>
      </c>
      <c r="C66" s="20"/>
      <c r="D66" s="20"/>
      <c r="E66" s="20"/>
      <c r="F66" s="20"/>
      <c r="G66" s="22"/>
      <c r="H66" s="35" t="str">
        <f>IFERROR(__xludf.DUMMYFUNCTION("IF(ISBLANK(B66), """", GOOGLETRANSLATE(B66, ""es"", ""en""))"),"Information on the progress of components and products associated with investment projects. Progress is recorded by quarters.")</f>
        <v>Information on the progress of components and products associated with investment projects. Progress is recorded by quarters.</v>
      </c>
      <c r="I66" s="20"/>
      <c r="J66" s="22"/>
      <c r="K66" s="23"/>
      <c r="L66" s="23"/>
      <c r="M66" s="24" t="s">
        <v>33</v>
      </c>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39"/>
      <c r="AT66" s="23"/>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row>
    <row r="67" ht="15.75" customHeight="1">
      <c r="A67" s="25"/>
      <c r="B67" s="26" t="s">
        <v>34</v>
      </c>
      <c r="C67" s="27" t="s">
        <v>35</v>
      </c>
      <c r="D67" s="27" t="s">
        <v>36</v>
      </c>
      <c r="E67" s="26" t="s">
        <v>37</v>
      </c>
      <c r="F67" s="26" t="s">
        <v>38</v>
      </c>
      <c r="G67" s="26" t="s">
        <v>39</v>
      </c>
      <c r="H67" s="28" t="s">
        <v>40</v>
      </c>
      <c r="I67" s="28" t="s">
        <v>41</v>
      </c>
      <c r="J67" s="28" t="s">
        <v>42</v>
      </c>
      <c r="K67" s="40" t="s">
        <v>156</v>
      </c>
      <c r="M67" s="29" t="s">
        <v>157</v>
      </c>
      <c r="N67" s="29" t="s">
        <v>158</v>
      </c>
      <c r="O67" s="29" t="s">
        <v>159</v>
      </c>
      <c r="P67" s="29" t="s">
        <v>160</v>
      </c>
      <c r="Q67" s="29" t="s">
        <v>161</v>
      </c>
      <c r="R67" s="29" t="s">
        <v>162</v>
      </c>
      <c r="S67" s="29" t="s">
        <v>163</v>
      </c>
      <c r="T67" s="29" t="s">
        <v>164</v>
      </c>
      <c r="U67" s="29" t="s">
        <v>165</v>
      </c>
      <c r="V67" s="29" t="s">
        <v>166</v>
      </c>
      <c r="W67" s="29" t="s">
        <v>167</v>
      </c>
      <c r="X67" s="29" t="s">
        <v>168</v>
      </c>
      <c r="Y67" s="29" t="s">
        <v>169</v>
      </c>
      <c r="Z67" s="29" t="s">
        <v>170</v>
      </c>
      <c r="AA67" s="29" t="s">
        <v>171</v>
      </c>
      <c r="AB67" s="29" t="s">
        <v>172</v>
      </c>
      <c r="AC67" s="29" t="s">
        <v>173</v>
      </c>
      <c r="AD67" s="29" t="s">
        <v>174</v>
      </c>
      <c r="AE67" s="29" t="s">
        <v>175</v>
      </c>
      <c r="AF67" s="29" t="s">
        <v>176</v>
      </c>
      <c r="AG67" s="29" t="s">
        <v>177</v>
      </c>
      <c r="AH67" s="29" t="s">
        <v>178</v>
      </c>
      <c r="AI67" s="29" t="s">
        <v>179</v>
      </c>
      <c r="AJ67" s="29" t="s">
        <v>180</v>
      </c>
      <c r="AK67" s="29" t="s">
        <v>181</v>
      </c>
      <c r="AL67" s="29" t="s">
        <v>182</v>
      </c>
      <c r="AM67" s="29" t="s">
        <v>183</v>
      </c>
      <c r="AN67" s="29" t="s">
        <v>184</v>
      </c>
      <c r="AO67" s="29" t="s">
        <v>185</v>
      </c>
      <c r="AP67" s="29" t="s">
        <v>186</v>
      </c>
      <c r="AQ67" s="29" t="s">
        <v>54</v>
      </c>
      <c r="AR67" s="29" t="s">
        <v>55</v>
      </c>
      <c r="AS67" s="29" t="s">
        <v>56</v>
      </c>
      <c r="AT67" s="29" t="s">
        <v>57</v>
      </c>
      <c r="AU67" s="29" t="s">
        <v>58</v>
      </c>
      <c r="AV67" s="29" t="s">
        <v>59</v>
      </c>
      <c r="AW67" s="41"/>
      <c r="AX67" s="41"/>
      <c r="AY67" s="41"/>
      <c r="AZ67" s="41"/>
      <c r="BA67" s="41"/>
      <c r="BB67" s="41"/>
      <c r="BC67" s="41"/>
      <c r="BD67" s="41"/>
      <c r="BE67" s="41"/>
      <c r="BF67" s="41"/>
      <c r="BG67" s="41"/>
      <c r="BH67" s="41"/>
      <c r="BI67" s="41"/>
      <c r="BJ67" s="41"/>
      <c r="BK67" s="41"/>
      <c r="BL67" s="41"/>
      <c r="BM67" s="41"/>
      <c r="BN67" s="41"/>
      <c r="BO67" s="41"/>
      <c r="BP67" s="41"/>
      <c r="BQ67" s="41"/>
      <c r="BR67" s="41"/>
      <c r="BS67" s="41"/>
      <c r="BT67" s="41"/>
      <c r="BU67" s="41"/>
      <c r="BV67" s="41"/>
      <c r="BW67" s="41"/>
      <c r="BX67" s="41"/>
      <c r="BY67" s="41"/>
      <c r="BZ67" s="41"/>
      <c r="CA67" s="41"/>
      <c r="CB67" s="41"/>
    </row>
    <row r="68" ht="15.75" customHeight="1">
      <c r="A68" s="8"/>
      <c r="B68" s="30" t="s">
        <v>157</v>
      </c>
      <c r="C68" s="31" t="s">
        <v>60</v>
      </c>
      <c r="D68" s="31">
        <v>4.0</v>
      </c>
      <c r="E68" s="30">
        <v>10.0</v>
      </c>
      <c r="F68" s="30">
        <v>0.0</v>
      </c>
      <c r="G68" s="32" t="s">
        <v>61</v>
      </c>
      <c r="H68" s="32">
        <v>5039.0</v>
      </c>
      <c r="I68" s="31" t="s">
        <v>187</v>
      </c>
      <c r="J68" s="31" t="str">
        <f>IFERROR(__xludf.DUMMYFUNCTION("IF(ISBLANK(I68), """", GOOGLETRANSLATE(I68, ""es"", ""en""))"),"Project Physical Schedule Identifier")</f>
        <v>Project Physical Schedule Identifier</v>
      </c>
      <c r="K68" s="42" t="s">
        <v>188</v>
      </c>
      <c r="M68" s="30">
        <v>2498.0</v>
      </c>
      <c r="N68" s="30">
        <v>1779.0</v>
      </c>
      <c r="O68" s="30" t="s">
        <v>189</v>
      </c>
      <c r="P68" s="30">
        <v>2872.0</v>
      </c>
      <c r="Q68" s="30" t="s">
        <v>190</v>
      </c>
      <c r="R68" s="30">
        <v>9135.0</v>
      </c>
      <c r="S68" s="30" t="s">
        <v>191</v>
      </c>
      <c r="T68" s="30">
        <v>36.0</v>
      </c>
      <c r="U68" s="30" t="s">
        <v>192</v>
      </c>
      <c r="V68" s="30" t="s">
        <v>193</v>
      </c>
      <c r="W68" s="30" t="s">
        <v>193</v>
      </c>
      <c r="X68" s="30" t="s">
        <v>194</v>
      </c>
      <c r="Y68" s="30" t="s">
        <v>195</v>
      </c>
      <c r="Z68" s="30" t="s">
        <v>193</v>
      </c>
      <c r="AA68" s="30" t="s">
        <v>193</v>
      </c>
      <c r="AB68" s="30" t="s">
        <v>194</v>
      </c>
      <c r="AC68" s="30" t="s">
        <v>195</v>
      </c>
      <c r="AD68" s="30" t="s">
        <v>194</v>
      </c>
      <c r="AE68" s="30" t="s">
        <v>195</v>
      </c>
      <c r="AF68" s="30" t="s">
        <v>194</v>
      </c>
      <c r="AG68" s="30" t="s">
        <v>195</v>
      </c>
      <c r="AH68" s="30" t="s">
        <v>194</v>
      </c>
      <c r="AI68" s="30" t="s">
        <v>195</v>
      </c>
      <c r="AJ68" s="30" t="s">
        <v>194</v>
      </c>
      <c r="AK68" s="30" t="s">
        <v>195</v>
      </c>
      <c r="AL68" s="30" t="s">
        <v>193</v>
      </c>
      <c r="AM68" s="30" t="s">
        <v>193</v>
      </c>
      <c r="AN68" s="30" t="s">
        <v>193</v>
      </c>
      <c r="AO68" s="30" t="s">
        <v>193</v>
      </c>
      <c r="AP68" s="30">
        <v>1938.0</v>
      </c>
      <c r="AQ68" s="30" t="s">
        <v>68</v>
      </c>
      <c r="AR68" s="30">
        <v>0.0</v>
      </c>
      <c r="AS68" s="30">
        <v>207.0</v>
      </c>
      <c r="AT68" s="33">
        <v>43144.402083333334</v>
      </c>
      <c r="AU68" s="30">
        <v>39.0</v>
      </c>
      <c r="AV68" s="33">
        <v>43880.61597222222</v>
      </c>
    </row>
    <row r="69" ht="15.75" customHeight="1">
      <c r="A69" s="8"/>
      <c r="B69" s="30" t="s">
        <v>158</v>
      </c>
      <c r="C69" s="31" t="s">
        <v>60</v>
      </c>
      <c r="D69" s="31">
        <v>4.0</v>
      </c>
      <c r="E69" s="30">
        <v>10.0</v>
      </c>
      <c r="F69" s="30">
        <v>0.0</v>
      </c>
      <c r="G69" s="32" t="s">
        <v>61</v>
      </c>
      <c r="H69" s="32">
        <v>2035.0</v>
      </c>
      <c r="I69" s="31" t="s">
        <v>196</v>
      </c>
      <c r="J69" s="31" t="str">
        <f>IFERROR(__xludf.DUMMYFUNCTION("IF(ISBLANK(I69), """", GOOGLETRANSLATE(I69, ""es"", ""en""))"),"Unique identifier of the Investment project (SNIP System)")</f>
        <v>Unique identifier of the Investment project (SNIP System)</v>
      </c>
      <c r="M69" s="30">
        <v>5039.0</v>
      </c>
      <c r="N69" s="30">
        <v>2035.0</v>
      </c>
      <c r="O69" s="30" t="s">
        <v>189</v>
      </c>
      <c r="P69" s="30">
        <v>3686.0</v>
      </c>
      <c r="Q69" s="30" t="s">
        <v>197</v>
      </c>
      <c r="R69" s="30">
        <v>6389.0</v>
      </c>
      <c r="S69" s="30" t="s">
        <v>191</v>
      </c>
      <c r="T69" s="30">
        <v>36.0</v>
      </c>
      <c r="U69" s="30" t="s">
        <v>192</v>
      </c>
      <c r="V69" s="30" t="s">
        <v>198</v>
      </c>
      <c r="W69" s="30" t="s">
        <v>198</v>
      </c>
      <c r="X69" s="30" t="s">
        <v>194</v>
      </c>
      <c r="Y69" s="30" t="s">
        <v>195</v>
      </c>
      <c r="Z69" s="30" t="s">
        <v>198</v>
      </c>
      <c r="AA69" s="30" t="s">
        <v>198</v>
      </c>
      <c r="AB69" s="30" t="s">
        <v>194</v>
      </c>
      <c r="AC69" s="30" t="s">
        <v>195</v>
      </c>
      <c r="AD69" s="30" t="s">
        <v>194</v>
      </c>
      <c r="AE69" s="30" t="s">
        <v>195</v>
      </c>
      <c r="AF69" s="30" t="s">
        <v>194</v>
      </c>
      <c r="AG69" s="30" t="s">
        <v>195</v>
      </c>
      <c r="AH69" s="30" t="s">
        <v>194</v>
      </c>
      <c r="AI69" s="30" t="s">
        <v>195</v>
      </c>
      <c r="AJ69" s="30" t="s">
        <v>194</v>
      </c>
      <c r="AK69" s="30" t="s">
        <v>195</v>
      </c>
      <c r="AL69" s="30" t="s">
        <v>198</v>
      </c>
      <c r="AM69" s="30" t="s">
        <v>198</v>
      </c>
      <c r="AN69" s="30" t="s">
        <v>198</v>
      </c>
      <c r="AO69" s="30" t="s">
        <v>198</v>
      </c>
      <c r="AP69" s="30">
        <v>2216.0</v>
      </c>
      <c r="AQ69" s="30" t="s">
        <v>68</v>
      </c>
      <c r="AR69" s="30">
        <v>0.0</v>
      </c>
      <c r="AS69" s="30">
        <v>38.0</v>
      </c>
      <c r="AT69" s="33">
        <v>44900.46597222222</v>
      </c>
      <c r="AU69" s="30">
        <v>38.0</v>
      </c>
      <c r="AV69" s="33">
        <v>45387.513194444444</v>
      </c>
    </row>
    <row r="70" ht="15.75" customHeight="1">
      <c r="A70" s="8"/>
      <c r="B70" s="30" t="s">
        <v>159</v>
      </c>
      <c r="C70" s="31" t="s">
        <v>82</v>
      </c>
      <c r="D70" s="31">
        <v>250.0</v>
      </c>
      <c r="E70" s="30"/>
      <c r="F70" s="30"/>
      <c r="G70" s="32" t="s">
        <v>100</v>
      </c>
      <c r="H70" s="32" t="s">
        <v>189</v>
      </c>
      <c r="I70" s="31" t="s">
        <v>199</v>
      </c>
      <c r="J70" s="31" t="str">
        <f>IFERROR(__xludf.DUMMYFUNCTION("IF(ISBLANK(I70), """", GOOGLETRANSLATE(I70, ""es"", ""en""))"),"Component phase")</f>
        <v>Component phase</v>
      </c>
      <c r="M70" s="30">
        <v>58.0</v>
      </c>
      <c r="N70" s="30">
        <v>2035.0</v>
      </c>
      <c r="O70" s="30" t="s">
        <v>189</v>
      </c>
      <c r="P70" s="30">
        <v>4072.0</v>
      </c>
      <c r="Q70" s="30" t="s">
        <v>200</v>
      </c>
      <c r="R70" s="30">
        <v>6391.0</v>
      </c>
      <c r="S70" s="30" t="s">
        <v>191</v>
      </c>
      <c r="T70" s="30">
        <v>36.0</v>
      </c>
      <c r="U70" s="30" t="s">
        <v>192</v>
      </c>
      <c r="V70" s="30" t="s">
        <v>201</v>
      </c>
      <c r="W70" s="30" t="s">
        <v>201</v>
      </c>
      <c r="X70" s="30" t="s">
        <v>201</v>
      </c>
      <c r="Y70" s="30" t="s">
        <v>201</v>
      </c>
      <c r="Z70" s="30" t="s">
        <v>194</v>
      </c>
      <c r="AA70" s="30" t="s">
        <v>195</v>
      </c>
      <c r="AB70" s="30" t="s">
        <v>194</v>
      </c>
      <c r="AC70" s="30" t="s">
        <v>195</v>
      </c>
      <c r="AD70" s="30" t="s">
        <v>194</v>
      </c>
      <c r="AE70" s="30" t="s">
        <v>195</v>
      </c>
      <c r="AF70" s="30" t="s">
        <v>194</v>
      </c>
      <c r="AG70" s="30" t="s">
        <v>195</v>
      </c>
      <c r="AH70" s="30" t="s">
        <v>194</v>
      </c>
      <c r="AI70" s="30" t="s">
        <v>195</v>
      </c>
      <c r="AJ70" s="30" t="s">
        <v>194</v>
      </c>
      <c r="AK70" s="30" t="s">
        <v>195</v>
      </c>
      <c r="AL70" s="30" t="s">
        <v>201</v>
      </c>
      <c r="AM70" s="30" t="s">
        <v>201</v>
      </c>
      <c r="AN70" s="30" t="s">
        <v>201</v>
      </c>
      <c r="AO70" s="30" t="s">
        <v>201</v>
      </c>
      <c r="AP70" s="30">
        <v>2216.0</v>
      </c>
      <c r="AQ70" s="30" t="s">
        <v>68</v>
      </c>
      <c r="AR70" s="30">
        <v>0.0</v>
      </c>
      <c r="AS70" s="30">
        <v>41.0</v>
      </c>
      <c r="AT70" s="33">
        <v>42677.4</v>
      </c>
      <c r="AU70" s="30">
        <v>38.0</v>
      </c>
      <c r="AV70" s="33">
        <v>45387.513194444444</v>
      </c>
    </row>
    <row r="71" ht="15.75" customHeight="1">
      <c r="A71" s="8"/>
      <c r="B71" s="30" t="s">
        <v>160</v>
      </c>
      <c r="C71" s="31" t="s">
        <v>60</v>
      </c>
      <c r="D71" s="31">
        <v>4.0</v>
      </c>
      <c r="E71" s="30">
        <v>10.0</v>
      </c>
      <c r="F71" s="30">
        <v>0.0</v>
      </c>
      <c r="G71" s="32" t="s">
        <v>61</v>
      </c>
      <c r="H71" s="32">
        <v>3686.0</v>
      </c>
      <c r="I71" s="31" t="s">
        <v>202</v>
      </c>
      <c r="J71" s="31" t="str">
        <f>IFERROR(__xludf.DUMMYFUNCTION("IF(ISBLANK(I71), """", GOOGLETRANSLATE(I71, ""es"", ""en""))"),"Component identifier")</f>
        <v>Component identifier</v>
      </c>
      <c r="M71" s="30">
        <v>59.0</v>
      </c>
      <c r="N71" s="30">
        <v>2035.0</v>
      </c>
      <c r="O71" s="30" t="s">
        <v>189</v>
      </c>
      <c r="P71" s="30">
        <v>4073.0</v>
      </c>
      <c r="Q71" s="30" t="s">
        <v>203</v>
      </c>
      <c r="R71" s="30">
        <v>6392.0</v>
      </c>
      <c r="S71" s="30" t="s">
        <v>204</v>
      </c>
      <c r="T71" s="30">
        <v>36.0</v>
      </c>
      <c r="U71" s="30" t="s">
        <v>192</v>
      </c>
      <c r="V71" s="30" t="s">
        <v>205</v>
      </c>
      <c r="W71" s="30" t="s">
        <v>205</v>
      </c>
      <c r="X71" s="30" t="s">
        <v>205</v>
      </c>
      <c r="Y71" s="30" t="s">
        <v>205</v>
      </c>
      <c r="Z71" s="30" t="s">
        <v>194</v>
      </c>
      <c r="AA71" s="30" t="s">
        <v>195</v>
      </c>
      <c r="AB71" s="30" t="s">
        <v>194</v>
      </c>
      <c r="AC71" s="30" t="s">
        <v>195</v>
      </c>
      <c r="AD71" s="30" t="s">
        <v>194</v>
      </c>
      <c r="AE71" s="30" t="s">
        <v>195</v>
      </c>
      <c r="AF71" s="30" t="s">
        <v>194</v>
      </c>
      <c r="AG71" s="30" t="s">
        <v>195</v>
      </c>
      <c r="AH71" s="30" t="s">
        <v>194</v>
      </c>
      <c r="AI71" s="30" t="s">
        <v>195</v>
      </c>
      <c r="AJ71" s="30" t="s">
        <v>194</v>
      </c>
      <c r="AK71" s="30" t="s">
        <v>195</v>
      </c>
      <c r="AL71" s="30" t="s">
        <v>205</v>
      </c>
      <c r="AM71" s="30" t="s">
        <v>205</v>
      </c>
      <c r="AN71" s="30" t="s">
        <v>205</v>
      </c>
      <c r="AO71" s="30" t="s">
        <v>205</v>
      </c>
      <c r="AP71" s="30">
        <v>2216.0</v>
      </c>
      <c r="AQ71" s="30" t="s">
        <v>68</v>
      </c>
      <c r="AR71" s="30">
        <v>0.0</v>
      </c>
      <c r="AS71" s="30">
        <v>41.0</v>
      </c>
      <c r="AT71" s="33">
        <v>42677.4</v>
      </c>
      <c r="AU71" s="30">
        <v>38.0</v>
      </c>
      <c r="AV71" s="33">
        <v>45387.513194444444</v>
      </c>
    </row>
    <row r="72" ht="15.75" customHeight="1">
      <c r="A72" s="8"/>
      <c r="B72" s="30" t="s">
        <v>161</v>
      </c>
      <c r="C72" s="31" t="s">
        <v>82</v>
      </c>
      <c r="D72" s="31">
        <v>250.0</v>
      </c>
      <c r="E72" s="30"/>
      <c r="F72" s="30"/>
      <c r="G72" s="32" t="s">
        <v>100</v>
      </c>
      <c r="H72" s="32" t="s">
        <v>197</v>
      </c>
      <c r="I72" s="31" t="s">
        <v>206</v>
      </c>
      <c r="J72" s="31" t="str">
        <f>IFERROR(__xludf.DUMMYFUNCTION("IF(ISBLANK(I72), """", GOOGLETRANSLATE(I72, ""es"", ""en""))"),"Component Description")</f>
        <v>Component Description</v>
      </c>
      <c r="M72" s="30">
        <v>60.0</v>
      </c>
      <c r="N72" s="30">
        <v>2035.0</v>
      </c>
      <c r="O72" s="30" t="s">
        <v>189</v>
      </c>
      <c r="P72" s="30">
        <v>4187.0</v>
      </c>
      <c r="Q72" s="30" t="s">
        <v>207</v>
      </c>
      <c r="R72" s="30">
        <v>6395.0</v>
      </c>
      <c r="S72" s="30" t="s">
        <v>204</v>
      </c>
      <c r="T72" s="30">
        <v>36.0</v>
      </c>
      <c r="U72" s="30" t="s">
        <v>192</v>
      </c>
      <c r="V72" s="30" t="s">
        <v>208</v>
      </c>
      <c r="W72" s="30" t="s">
        <v>208</v>
      </c>
      <c r="X72" s="30" t="s">
        <v>194</v>
      </c>
      <c r="Y72" s="30" t="s">
        <v>195</v>
      </c>
      <c r="Z72" s="30" t="s">
        <v>208</v>
      </c>
      <c r="AA72" s="30" t="s">
        <v>208</v>
      </c>
      <c r="AB72" s="30" t="s">
        <v>194</v>
      </c>
      <c r="AC72" s="30" t="s">
        <v>195</v>
      </c>
      <c r="AD72" s="30" t="s">
        <v>194</v>
      </c>
      <c r="AE72" s="30" t="s">
        <v>195</v>
      </c>
      <c r="AF72" s="30" t="s">
        <v>194</v>
      </c>
      <c r="AG72" s="30" t="s">
        <v>195</v>
      </c>
      <c r="AH72" s="30" t="s">
        <v>194</v>
      </c>
      <c r="AI72" s="30" t="s">
        <v>195</v>
      </c>
      <c r="AJ72" s="30" t="s">
        <v>194</v>
      </c>
      <c r="AK72" s="30" t="s">
        <v>195</v>
      </c>
      <c r="AL72" s="30" t="s">
        <v>208</v>
      </c>
      <c r="AM72" s="30" t="s">
        <v>208</v>
      </c>
      <c r="AN72" s="30" t="s">
        <v>208</v>
      </c>
      <c r="AO72" s="30" t="s">
        <v>208</v>
      </c>
      <c r="AP72" s="30">
        <v>2216.0</v>
      </c>
      <c r="AQ72" s="30" t="s">
        <v>68</v>
      </c>
      <c r="AR72" s="30">
        <v>0.0</v>
      </c>
      <c r="AS72" s="30">
        <v>41.0</v>
      </c>
      <c r="AT72" s="33">
        <v>42677.4</v>
      </c>
      <c r="AU72" s="30">
        <v>38.0</v>
      </c>
      <c r="AV72" s="33">
        <v>45387.513194444444</v>
      </c>
    </row>
    <row r="73" ht="15.75" customHeight="1">
      <c r="A73" s="8"/>
      <c r="B73" s="30" t="s">
        <v>162</v>
      </c>
      <c r="C73" s="31" t="s">
        <v>60</v>
      </c>
      <c r="D73" s="31">
        <v>4.0</v>
      </c>
      <c r="E73" s="30">
        <v>10.0</v>
      </c>
      <c r="F73" s="30">
        <v>0.0</v>
      </c>
      <c r="G73" s="32" t="s">
        <v>100</v>
      </c>
      <c r="H73" s="32">
        <v>6389.0</v>
      </c>
      <c r="I73" s="31" t="s">
        <v>209</v>
      </c>
      <c r="J73" s="31" t="str">
        <f>IFERROR(__xludf.DUMMYFUNCTION("IF(ISBLANK(I73), """", GOOGLETRANSLATE(I73, ""es"", ""en""))"),"Product identifier")</f>
        <v>Product identifier</v>
      </c>
      <c r="M73" s="30">
        <v>61.0</v>
      </c>
      <c r="N73" s="30">
        <v>2035.0</v>
      </c>
      <c r="O73" s="30" t="s">
        <v>189</v>
      </c>
      <c r="P73" s="30">
        <v>4212.0</v>
      </c>
      <c r="Q73" s="30" t="s">
        <v>210</v>
      </c>
      <c r="R73" s="30">
        <v>6397.0</v>
      </c>
      <c r="S73" s="30" t="s">
        <v>191</v>
      </c>
      <c r="T73" s="30">
        <v>36.0</v>
      </c>
      <c r="U73" s="30" t="s">
        <v>192</v>
      </c>
      <c r="V73" s="30" t="s">
        <v>211</v>
      </c>
      <c r="W73" s="30" t="s">
        <v>211</v>
      </c>
      <c r="X73" s="30" t="s">
        <v>194</v>
      </c>
      <c r="Y73" s="30" t="s">
        <v>195</v>
      </c>
      <c r="Z73" s="30" t="s">
        <v>211</v>
      </c>
      <c r="AA73" s="30" t="s">
        <v>211</v>
      </c>
      <c r="AB73" s="30" t="s">
        <v>194</v>
      </c>
      <c r="AC73" s="30" t="s">
        <v>195</v>
      </c>
      <c r="AD73" s="30" t="s">
        <v>194</v>
      </c>
      <c r="AE73" s="30" t="s">
        <v>195</v>
      </c>
      <c r="AF73" s="30" t="s">
        <v>194</v>
      </c>
      <c r="AG73" s="30" t="s">
        <v>195</v>
      </c>
      <c r="AH73" s="30" t="s">
        <v>194</v>
      </c>
      <c r="AI73" s="30" t="s">
        <v>195</v>
      </c>
      <c r="AJ73" s="30" t="s">
        <v>194</v>
      </c>
      <c r="AK73" s="30" t="s">
        <v>195</v>
      </c>
      <c r="AL73" s="30" t="s">
        <v>211</v>
      </c>
      <c r="AM73" s="30" t="s">
        <v>211</v>
      </c>
      <c r="AN73" s="30" t="s">
        <v>211</v>
      </c>
      <c r="AO73" s="30" t="s">
        <v>211</v>
      </c>
      <c r="AP73" s="30">
        <v>2216.0</v>
      </c>
      <c r="AQ73" s="30" t="s">
        <v>68</v>
      </c>
      <c r="AR73" s="30">
        <v>0.0</v>
      </c>
      <c r="AS73" s="30">
        <v>41.0</v>
      </c>
      <c r="AT73" s="33">
        <v>42677.4</v>
      </c>
      <c r="AU73" s="30">
        <v>38.0</v>
      </c>
      <c r="AV73" s="33">
        <v>45387.513194444444</v>
      </c>
    </row>
    <row r="74" ht="15.75" customHeight="1">
      <c r="A74" s="8"/>
      <c r="B74" s="30" t="s">
        <v>163</v>
      </c>
      <c r="C74" s="31" t="s">
        <v>82</v>
      </c>
      <c r="D74" s="31">
        <v>200.0</v>
      </c>
      <c r="E74" s="30"/>
      <c r="F74" s="30"/>
      <c r="G74" s="32" t="s">
        <v>61</v>
      </c>
      <c r="H74" s="32" t="s">
        <v>191</v>
      </c>
      <c r="I74" s="31" t="s">
        <v>212</v>
      </c>
      <c r="J74" s="31" t="str">
        <f>IFERROR(__xludf.DUMMYFUNCTION("IF(ISBLANK(I74), """", GOOGLETRANSLATE(I74, ""es"", ""en""))"),"Product description")</f>
        <v>Product description</v>
      </c>
      <c r="M74" s="30">
        <v>62.0</v>
      </c>
      <c r="N74" s="30">
        <v>2035.0</v>
      </c>
      <c r="O74" s="30" t="s">
        <v>189</v>
      </c>
      <c r="P74" s="30">
        <v>4295.0</v>
      </c>
      <c r="Q74" s="30" t="s">
        <v>213</v>
      </c>
      <c r="R74" s="30">
        <v>6398.0</v>
      </c>
      <c r="S74" s="30" t="s">
        <v>191</v>
      </c>
      <c r="T74" s="30">
        <v>36.0</v>
      </c>
      <c r="U74" s="30" t="s">
        <v>192</v>
      </c>
      <c r="V74" s="30" t="s">
        <v>208</v>
      </c>
      <c r="W74" s="30" t="s">
        <v>208</v>
      </c>
      <c r="X74" s="30" t="s">
        <v>194</v>
      </c>
      <c r="Y74" s="30" t="s">
        <v>195</v>
      </c>
      <c r="Z74" s="30" t="s">
        <v>208</v>
      </c>
      <c r="AA74" s="30" t="s">
        <v>208</v>
      </c>
      <c r="AB74" s="30" t="s">
        <v>194</v>
      </c>
      <c r="AC74" s="30" t="s">
        <v>195</v>
      </c>
      <c r="AD74" s="30" t="s">
        <v>194</v>
      </c>
      <c r="AE74" s="30" t="s">
        <v>195</v>
      </c>
      <c r="AF74" s="30" t="s">
        <v>194</v>
      </c>
      <c r="AG74" s="30" t="s">
        <v>195</v>
      </c>
      <c r="AH74" s="30" t="s">
        <v>194</v>
      </c>
      <c r="AI74" s="30" t="s">
        <v>195</v>
      </c>
      <c r="AJ74" s="30" t="s">
        <v>194</v>
      </c>
      <c r="AK74" s="30" t="s">
        <v>195</v>
      </c>
      <c r="AL74" s="30" t="s">
        <v>208</v>
      </c>
      <c r="AM74" s="30" t="s">
        <v>208</v>
      </c>
      <c r="AN74" s="30" t="s">
        <v>208</v>
      </c>
      <c r="AO74" s="30" t="s">
        <v>208</v>
      </c>
      <c r="AP74" s="30">
        <v>2216.0</v>
      </c>
      <c r="AQ74" s="30" t="s">
        <v>68</v>
      </c>
      <c r="AR74" s="30">
        <v>0.0</v>
      </c>
      <c r="AS74" s="30">
        <v>41.0</v>
      </c>
      <c r="AT74" s="33">
        <v>42677.4</v>
      </c>
      <c r="AU74" s="30">
        <v>38.0</v>
      </c>
      <c r="AV74" s="33">
        <v>45387.513194444444</v>
      </c>
    </row>
    <row r="75" ht="15.75" customHeight="1">
      <c r="A75" s="8"/>
      <c r="B75" s="30" t="s">
        <v>164</v>
      </c>
      <c r="C75" s="31" t="s">
        <v>60</v>
      </c>
      <c r="D75" s="31">
        <v>4.0</v>
      </c>
      <c r="E75" s="30">
        <v>10.0</v>
      </c>
      <c r="F75" s="30">
        <v>0.0</v>
      </c>
      <c r="G75" s="32" t="s">
        <v>100</v>
      </c>
      <c r="H75" s="32">
        <v>36.0</v>
      </c>
      <c r="I75" s="31" t="s">
        <v>214</v>
      </c>
      <c r="J75" s="31" t="str">
        <f>IFERROR(__xludf.DUMMYFUNCTION("IF(ISBLANK(I75), """", GOOGLETRANSLATE(I75, ""es"", ""en""))"),"identifier of the unit of measurement of the Goal")</f>
        <v>identifier of the unit of measurement of the Goal</v>
      </c>
      <c r="M75" s="30">
        <v>63.0</v>
      </c>
      <c r="N75" s="30">
        <v>2035.0</v>
      </c>
      <c r="O75" s="30" t="s">
        <v>189</v>
      </c>
      <c r="P75" s="30">
        <v>4298.0</v>
      </c>
      <c r="Q75" s="30" t="s">
        <v>215</v>
      </c>
      <c r="R75" s="30">
        <v>6399.0</v>
      </c>
      <c r="S75" s="30" t="s">
        <v>191</v>
      </c>
      <c r="T75" s="30">
        <v>36.0</v>
      </c>
      <c r="U75" s="30" t="s">
        <v>192</v>
      </c>
      <c r="V75" s="30" t="s">
        <v>216</v>
      </c>
      <c r="W75" s="30" t="s">
        <v>216</v>
      </c>
      <c r="X75" s="30" t="s">
        <v>194</v>
      </c>
      <c r="Y75" s="30" t="s">
        <v>195</v>
      </c>
      <c r="Z75" s="30" t="s">
        <v>216</v>
      </c>
      <c r="AA75" s="30" t="s">
        <v>216</v>
      </c>
      <c r="AB75" s="30" t="s">
        <v>194</v>
      </c>
      <c r="AC75" s="30" t="s">
        <v>195</v>
      </c>
      <c r="AD75" s="30" t="s">
        <v>194</v>
      </c>
      <c r="AE75" s="30" t="s">
        <v>195</v>
      </c>
      <c r="AF75" s="30" t="s">
        <v>194</v>
      </c>
      <c r="AG75" s="30" t="s">
        <v>195</v>
      </c>
      <c r="AH75" s="30" t="s">
        <v>194</v>
      </c>
      <c r="AI75" s="30" t="s">
        <v>195</v>
      </c>
      <c r="AJ75" s="30" t="s">
        <v>194</v>
      </c>
      <c r="AK75" s="30" t="s">
        <v>195</v>
      </c>
      <c r="AL75" s="30" t="s">
        <v>216</v>
      </c>
      <c r="AM75" s="30" t="s">
        <v>216</v>
      </c>
      <c r="AN75" s="30" t="s">
        <v>216</v>
      </c>
      <c r="AO75" s="30" t="s">
        <v>216</v>
      </c>
      <c r="AP75" s="30">
        <v>2216.0</v>
      </c>
      <c r="AQ75" s="30" t="s">
        <v>68</v>
      </c>
      <c r="AR75" s="30">
        <v>0.0</v>
      </c>
      <c r="AS75" s="30">
        <v>41.0</v>
      </c>
      <c r="AT75" s="33">
        <v>42677.4</v>
      </c>
      <c r="AU75" s="30">
        <v>38.0</v>
      </c>
      <c r="AV75" s="33">
        <v>45387.513194444444</v>
      </c>
    </row>
    <row r="76" ht="15.75" customHeight="1">
      <c r="A76" s="8"/>
      <c r="B76" s="30" t="s">
        <v>165</v>
      </c>
      <c r="C76" s="31" t="s">
        <v>82</v>
      </c>
      <c r="D76" s="31">
        <v>200.0</v>
      </c>
      <c r="E76" s="30"/>
      <c r="F76" s="30"/>
      <c r="G76" s="32" t="s">
        <v>61</v>
      </c>
      <c r="H76" s="32" t="s">
        <v>192</v>
      </c>
      <c r="I76" s="31" t="s">
        <v>217</v>
      </c>
      <c r="J76" s="31" t="str">
        <f>IFERROR(__xludf.DUMMYFUNCTION("IF(ISBLANK(I76), """", GOOGLETRANSLATE(I76, ""es"", ""en""))"),"Description of the unit of measurement of the goal")</f>
        <v>Description of the unit of measurement of the goal</v>
      </c>
      <c r="M76" s="30">
        <v>64.0</v>
      </c>
      <c r="N76" s="30">
        <v>2035.0</v>
      </c>
      <c r="O76" s="30" t="s">
        <v>189</v>
      </c>
      <c r="P76" s="30">
        <v>4296.0</v>
      </c>
      <c r="Q76" s="30" t="s">
        <v>218</v>
      </c>
      <c r="R76" s="30">
        <v>6400.0</v>
      </c>
      <c r="S76" s="30" t="s">
        <v>191</v>
      </c>
      <c r="T76" s="30">
        <v>36.0</v>
      </c>
      <c r="U76" s="30" t="s">
        <v>192</v>
      </c>
      <c r="V76" s="30" t="s">
        <v>219</v>
      </c>
      <c r="W76" s="30" t="s">
        <v>219</v>
      </c>
      <c r="X76" s="30" t="s">
        <v>194</v>
      </c>
      <c r="Y76" s="30" t="s">
        <v>195</v>
      </c>
      <c r="Z76" s="30" t="s">
        <v>219</v>
      </c>
      <c r="AA76" s="30" t="s">
        <v>219</v>
      </c>
      <c r="AB76" s="30" t="s">
        <v>194</v>
      </c>
      <c r="AC76" s="30" t="s">
        <v>195</v>
      </c>
      <c r="AD76" s="30" t="s">
        <v>194</v>
      </c>
      <c r="AE76" s="30" t="s">
        <v>195</v>
      </c>
      <c r="AF76" s="30" t="s">
        <v>194</v>
      </c>
      <c r="AG76" s="30" t="s">
        <v>195</v>
      </c>
      <c r="AH76" s="30" t="s">
        <v>194</v>
      </c>
      <c r="AI76" s="30" t="s">
        <v>195</v>
      </c>
      <c r="AJ76" s="30" t="s">
        <v>194</v>
      </c>
      <c r="AK76" s="30" t="s">
        <v>195</v>
      </c>
      <c r="AL76" s="30" t="s">
        <v>219</v>
      </c>
      <c r="AM76" s="30" t="s">
        <v>219</v>
      </c>
      <c r="AN76" s="30" t="s">
        <v>219</v>
      </c>
      <c r="AO76" s="30" t="s">
        <v>219</v>
      </c>
      <c r="AP76" s="30">
        <v>2216.0</v>
      </c>
      <c r="AQ76" s="30" t="s">
        <v>68</v>
      </c>
      <c r="AR76" s="30">
        <v>0.0</v>
      </c>
      <c r="AS76" s="30">
        <v>41.0</v>
      </c>
      <c r="AT76" s="33">
        <v>42677.4</v>
      </c>
      <c r="AU76" s="30">
        <v>38.0</v>
      </c>
      <c r="AV76" s="33">
        <v>45387.513194444444</v>
      </c>
    </row>
    <row r="77" ht="15.75" customHeight="1">
      <c r="A77" s="8"/>
      <c r="B77" s="30" t="s">
        <v>166</v>
      </c>
      <c r="C77" s="31" t="s">
        <v>220</v>
      </c>
      <c r="D77" s="31">
        <v>9.0</v>
      </c>
      <c r="E77" s="30">
        <v>19.0</v>
      </c>
      <c r="F77" s="30">
        <v>2.0</v>
      </c>
      <c r="G77" s="32" t="s">
        <v>61</v>
      </c>
      <c r="H77" s="32" t="s">
        <v>198</v>
      </c>
      <c r="I77" s="31" t="s">
        <v>221</v>
      </c>
      <c r="J77" s="31" t="str">
        <f>IFERROR(__xludf.DUMMYFUNCTION("IF(ISBLANK(I77), """", GOOGLETRANSLATE(I77, ""es"", ""en""))"),"Proposed Goal")</f>
        <v>Proposed Goal</v>
      </c>
      <c r="K77" s="40" t="s">
        <v>222</v>
      </c>
      <c r="M77" s="30">
        <v>65.0</v>
      </c>
      <c r="N77" s="30">
        <v>2035.0</v>
      </c>
      <c r="O77" s="30" t="s">
        <v>189</v>
      </c>
      <c r="P77" s="30">
        <v>4302.0</v>
      </c>
      <c r="Q77" s="30" t="s">
        <v>223</v>
      </c>
      <c r="R77" s="30">
        <v>6402.0</v>
      </c>
      <c r="S77" s="30" t="s">
        <v>191</v>
      </c>
      <c r="T77" s="30">
        <v>36.0</v>
      </c>
      <c r="U77" s="30" t="s">
        <v>192</v>
      </c>
      <c r="V77" s="30" t="s">
        <v>224</v>
      </c>
      <c r="W77" s="30" t="s">
        <v>224</v>
      </c>
      <c r="X77" s="30" t="s">
        <v>194</v>
      </c>
      <c r="Y77" s="30" t="s">
        <v>195</v>
      </c>
      <c r="Z77" s="30" t="s">
        <v>194</v>
      </c>
      <c r="AA77" s="30" t="s">
        <v>195</v>
      </c>
      <c r="AB77" s="30" t="s">
        <v>224</v>
      </c>
      <c r="AC77" s="30" t="s">
        <v>224</v>
      </c>
      <c r="AD77" s="30" t="s">
        <v>194</v>
      </c>
      <c r="AE77" s="30" t="s">
        <v>195</v>
      </c>
      <c r="AF77" s="30" t="s">
        <v>194</v>
      </c>
      <c r="AG77" s="30" t="s">
        <v>195</v>
      </c>
      <c r="AH77" s="30" t="s">
        <v>194</v>
      </c>
      <c r="AI77" s="30" t="s">
        <v>195</v>
      </c>
      <c r="AJ77" s="30" t="s">
        <v>194</v>
      </c>
      <c r="AK77" s="30" t="s">
        <v>195</v>
      </c>
      <c r="AL77" s="30" t="s">
        <v>194</v>
      </c>
      <c r="AM77" s="30" t="s">
        <v>195</v>
      </c>
      <c r="AN77" s="30" t="s">
        <v>224</v>
      </c>
      <c r="AO77" s="30" t="s">
        <v>224</v>
      </c>
      <c r="AP77" s="30">
        <v>2216.0</v>
      </c>
      <c r="AQ77" s="30" t="s">
        <v>68</v>
      </c>
      <c r="AR77" s="30">
        <v>0.0</v>
      </c>
      <c r="AS77" s="30">
        <v>41.0</v>
      </c>
      <c r="AT77" s="33">
        <v>42677.4</v>
      </c>
      <c r="AU77" s="30">
        <v>38.0</v>
      </c>
      <c r="AV77" s="33">
        <v>45387.513194444444</v>
      </c>
    </row>
    <row r="78" ht="15.75" customHeight="1">
      <c r="A78" s="8"/>
      <c r="B78" s="30" t="s">
        <v>167</v>
      </c>
      <c r="C78" s="31" t="s">
        <v>225</v>
      </c>
      <c r="D78" s="31">
        <v>8000.0</v>
      </c>
      <c r="E78" s="30"/>
      <c r="F78" s="30"/>
      <c r="G78" s="32" t="s">
        <v>100</v>
      </c>
      <c r="H78" s="32" t="s">
        <v>198</v>
      </c>
      <c r="I78" s="31" t="s">
        <v>226</v>
      </c>
      <c r="J78" s="31" t="str">
        <f>IFERROR(__xludf.DUMMYFUNCTION("IF(ISBLANK(I78), """", GOOGLETRANSLATE(I78, ""es"", ""en""))"),"Goal in Text")</f>
        <v>Goal in Text</v>
      </c>
      <c r="K78" s="43" t="s">
        <v>227</v>
      </c>
    </row>
    <row r="79" ht="15.75" customHeight="1">
      <c r="A79" s="8"/>
      <c r="B79" s="30" t="s">
        <v>168</v>
      </c>
      <c r="C79" s="31" t="s">
        <v>220</v>
      </c>
      <c r="D79" s="31">
        <v>9.0</v>
      </c>
      <c r="E79" s="30">
        <v>19.0</v>
      </c>
      <c r="F79" s="30">
        <v>2.0</v>
      </c>
      <c r="G79" s="32" t="s">
        <v>61</v>
      </c>
      <c r="H79" s="32" t="s">
        <v>194</v>
      </c>
      <c r="I79" s="31" t="s">
        <v>228</v>
      </c>
      <c r="J79" s="31" t="str">
        <f>IFERROR(__xludf.DUMMYFUNCTION("IF(ISBLANK(I79), """", GOOGLETRANSLATE(I79, ""es"", ""en""))"),"Goal achieved")</f>
        <v>Goal achieved</v>
      </c>
    </row>
    <row r="80" ht="15.75" customHeight="1">
      <c r="A80" s="8"/>
      <c r="B80" s="30" t="s">
        <v>169</v>
      </c>
      <c r="C80" s="31" t="s">
        <v>225</v>
      </c>
      <c r="D80" s="31">
        <v>8000.0</v>
      </c>
      <c r="E80" s="30"/>
      <c r="F80" s="30"/>
      <c r="G80" s="32" t="s">
        <v>100</v>
      </c>
      <c r="H80" s="32" t="s">
        <v>195</v>
      </c>
      <c r="I80" s="31" t="s">
        <v>229</v>
      </c>
      <c r="J80" s="31" t="str">
        <f>IFERROR(__xludf.DUMMYFUNCTION("IF(ISBLANK(I80), """", GOOGLETRANSLATE(I80, ""es"", ""en""))"),"Goal achieved in text")</f>
        <v>Goal achieved in text</v>
      </c>
    </row>
    <row r="81" ht="15.75" customHeight="1">
      <c r="A81" s="8"/>
      <c r="B81" s="30" t="s">
        <v>170</v>
      </c>
      <c r="C81" s="31" t="s">
        <v>220</v>
      </c>
      <c r="D81" s="31">
        <v>9.0</v>
      </c>
      <c r="E81" s="30">
        <v>19.0</v>
      </c>
      <c r="F81" s="30">
        <v>2.0</v>
      </c>
      <c r="G81" s="32" t="s">
        <v>61</v>
      </c>
      <c r="H81" s="32" t="s">
        <v>198</v>
      </c>
      <c r="I81" s="31" t="s">
        <v>230</v>
      </c>
      <c r="J81" s="31" t="str">
        <f>IFERROR(__xludf.DUMMYFUNCTION("IF(ISBLANK(I81), """", GOOGLETRANSLATE(I81, ""es"", ""en""))"),"Goal in execution ")</f>
        <v>Goal in execution </v>
      </c>
    </row>
    <row r="82" ht="15.75" customHeight="1">
      <c r="A82" s="8"/>
      <c r="B82" s="30" t="s">
        <v>171</v>
      </c>
      <c r="C82" s="31" t="s">
        <v>225</v>
      </c>
      <c r="D82" s="31">
        <v>8000.0</v>
      </c>
      <c r="E82" s="30"/>
      <c r="F82" s="30"/>
      <c r="G82" s="32" t="s">
        <v>100</v>
      </c>
      <c r="H82" s="32" t="s">
        <v>198</v>
      </c>
      <c r="I82" s="31" t="s">
        <v>231</v>
      </c>
      <c r="J82" s="31" t="str">
        <f>IFERROR(__xludf.DUMMYFUNCTION("IF(ISBLANK(I82), """", GOOGLETRANSLATE(I82, ""es"", ""en""))"),"Goal in execution Text")</f>
        <v>Goal in execution Text</v>
      </c>
    </row>
    <row r="83" ht="15.75" customHeight="1">
      <c r="A83" s="8"/>
      <c r="B83" s="30" t="s">
        <v>172</v>
      </c>
      <c r="C83" s="31" t="s">
        <v>220</v>
      </c>
      <c r="D83" s="31">
        <v>9.0</v>
      </c>
      <c r="E83" s="30">
        <v>19.0</v>
      </c>
      <c r="F83" s="30">
        <v>2.0</v>
      </c>
      <c r="G83" s="32" t="s">
        <v>61</v>
      </c>
      <c r="H83" s="32" t="s">
        <v>194</v>
      </c>
      <c r="I83" s="31" t="s">
        <v>232</v>
      </c>
      <c r="J83" s="31" t="str">
        <f>IFERROR(__xludf.DUMMYFUNCTION("IF(ISBLANK(I83), """", GOOGLETRANSLATE(I83, ""es"", ""en""))"),"Progress on Product Goals in Quarter 1")</f>
        <v>Progress on Product Goals in Quarter 1</v>
      </c>
    </row>
    <row r="84" ht="15.75" customHeight="1">
      <c r="A84" s="8"/>
      <c r="B84" s="30" t="s">
        <v>173</v>
      </c>
      <c r="C84" s="31" t="s">
        <v>225</v>
      </c>
      <c r="D84" s="31">
        <v>8000.0</v>
      </c>
      <c r="E84" s="30"/>
      <c r="F84" s="30"/>
      <c r="G84" s="32" t="s">
        <v>100</v>
      </c>
      <c r="H84" s="32" t="s">
        <v>195</v>
      </c>
      <c r="I84" s="31" t="s">
        <v>233</v>
      </c>
      <c r="J84" s="31" t="str">
        <f>IFERROR(__xludf.DUMMYFUNCTION("IF(ISBLANK(I84), """", GOOGLETRANSLATE(I84, ""es"", ""en""))"),"Progress on Product Goals in Quarter 1 in text")</f>
        <v>Progress on Product Goals in Quarter 1 in text</v>
      </c>
    </row>
    <row r="85" ht="15.75" customHeight="1">
      <c r="A85" s="8"/>
      <c r="B85" s="30" t="s">
        <v>174</v>
      </c>
      <c r="C85" s="31" t="s">
        <v>220</v>
      </c>
      <c r="D85" s="31">
        <v>9.0</v>
      </c>
      <c r="E85" s="30">
        <v>19.0</v>
      </c>
      <c r="F85" s="30">
        <v>2.0</v>
      </c>
      <c r="G85" s="32" t="s">
        <v>61</v>
      </c>
      <c r="H85" s="32" t="s">
        <v>194</v>
      </c>
      <c r="I85" s="31" t="s">
        <v>234</v>
      </c>
      <c r="J85" s="31" t="str">
        <f>IFERROR(__xludf.DUMMYFUNCTION("IF(ISBLANK(I85), """", GOOGLETRANSLATE(I85, ""es"", ""en""))"),"Progress on Product Goals in Quarter 2")</f>
        <v>Progress on Product Goals in Quarter 2</v>
      </c>
    </row>
    <row r="86" ht="15.75" customHeight="1">
      <c r="A86" s="8"/>
      <c r="B86" s="30" t="s">
        <v>175</v>
      </c>
      <c r="C86" s="31" t="s">
        <v>225</v>
      </c>
      <c r="D86" s="31">
        <v>8000.0</v>
      </c>
      <c r="E86" s="30"/>
      <c r="F86" s="30"/>
      <c r="G86" s="32" t="s">
        <v>100</v>
      </c>
      <c r="H86" s="32" t="s">
        <v>195</v>
      </c>
      <c r="I86" s="31" t="s">
        <v>235</v>
      </c>
      <c r="J86" s="31" t="str">
        <f>IFERROR(__xludf.DUMMYFUNCTION("IF(ISBLANK(I86), """", GOOGLETRANSLATE(I86, ""es"", ""en""))"),"Progress on Product Goals in Quarter 2 in text")</f>
        <v>Progress on Product Goals in Quarter 2 in text</v>
      </c>
    </row>
    <row r="87" ht="15.75" customHeight="1">
      <c r="A87" s="8"/>
      <c r="B87" s="30" t="s">
        <v>176</v>
      </c>
      <c r="C87" s="31" t="s">
        <v>220</v>
      </c>
      <c r="D87" s="31">
        <v>9.0</v>
      </c>
      <c r="E87" s="30">
        <v>19.0</v>
      </c>
      <c r="F87" s="30">
        <v>2.0</v>
      </c>
      <c r="G87" s="32" t="s">
        <v>61</v>
      </c>
      <c r="H87" s="32" t="s">
        <v>194</v>
      </c>
      <c r="I87" s="31" t="s">
        <v>236</v>
      </c>
      <c r="J87" s="31" t="str">
        <f>IFERROR(__xludf.DUMMYFUNCTION("IF(ISBLANK(I87), """", GOOGLETRANSLATE(I87, ""es"", ""en""))"),"Progress on Product Goals in Quarter 3")</f>
        <v>Progress on Product Goals in Quarter 3</v>
      </c>
    </row>
    <row r="88" ht="15.75" customHeight="1">
      <c r="A88" s="8"/>
      <c r="B88" s="30" t="s">
        <v>177</v>
      </c>
      <c r="C88" s="31" t="s">
        <v>225</v>
      </c>
      <c r="D88" s="31">
        <v>8000.0</v>
      </c>
      <c r="E88" s="30"/>
      <c r="F88" s="30"/>
      <c r="G88" s="32" t="s">
        <v>100</v>
      </c>
      <c r="H88" s="32" t="s">
        <v>195</v>
      </c>
      <c r="I88" s="31" t="s">
        <v>237</v>
      </c>
      <c r="J88" s="31" t="str">
        <f>IFERROR(__xludf.DUMMYFUNCTION("IF(ISBLANK(I88), """", GOOGLETRANSLATE(I88, ""es"", ""en""))"),"Progress on Product Goals in Quarter 3 in text")</f>
        <v>Progress on Product Goals in Quarter 3 in text</v>
      </c>
    </row>
    <row r="89" ht="15.75" customHeight="1">
      <c r="A89" s="8"/>
      <c r="B89" s="30" t="s">
        <v>178</v>
      </c>
      <c r="C89" s="31" t="s">
        <v>220</v>
      </c>
      <c r="D89" s="31">
        <v>9.0</v>
      </c>
      <c r="E89" s="30">
        <v>19.0</v>
      </c>
      <c r="F89" s="30">
        <v>2.0</v>
      </c>
      <c r="G89" s="32" t="s">
        <v>61</v>
      </c>
      <c r="H89" s="32" t="s">
        <v>194</v>
      </c>
      <c r="I89" s="31" t="s">
        <v>238</v>
      </c>
      <c r="J89" s="31" t="str">
        <f>IFERROR(__xludf.DUMMYFUNCTION("IF(ISBLANK(I89), """", GOOGLETRANSLATE(I89, ""es"", ""en""))"),"Progress on Product Goals in Quarter 4")</f>
        <v>Progress on Product Goals in Quarter 4</v>
      </c>
    </row>
    <row r="90" ht="15.75" customHeight="1">
      <c r="A90" s="8"/>
      <c r="B90" s="30" t="s">
        <v>179</v>
      </c>
      <c r="C90" s="31" t="s">
        <v>225</v>
      </c>
      <c r="D90" s="31">
        <v>8000.0</v>
      </c>
      <c r="E90" s="30"/>
      <c r="F90" s="30"/>
      <c r="G90" s="32" t="s">
        <v>100</v>
      </c>
      <c r="H90" s="32" t="s">
        <v>195</v>
      </c>
      <c r="I90" s="31" t="s">
        <v>239</v>
      </c>
      <c r="J90" s="31" t="str">
        <f>IFERROR(__xludf.DUMMYFUNCTION("IF(ISBLANK(I90), """", GOOGLETRANSLATE(I90, ""es"", ""en""))"),"Progress on Product Goals in Quarter 4 in text")</f>
        <v>Progress on Product Goals in Quarter 4 in text</v>
      </c>
    </row>
    <row r="91" ht="15.75" customHeight="1">
      <c r="A91" s="8"/>
      <c r="B91" s="30" t="s">
        <v>180</v>
      </c>
      <c r="C91" s="31" t="s">
        <v>220</v>
      </c>
      <c r="D91" s="31">
        <v>9.0</v>
      </c>
      <c r="E91" s="30">
        <v>19.0</v>
      </c>
      <c r="F91" s="30">
        <v>2.0</v>
      </c>
      <c r="G91" s="32" t="s">
        <v>61</v>
      </c>
      <c r="H91" s="32" t="s">
        <v>194</v>
      </c>
      <c r="I91" s="31"/>
      <c r="J91" s="31" t="str">
        <f>IFERROR(__xludf.DUMMYFUNCTION("IF(ISBLANK(I91), """", GOOGLETRANSLATE(I91, ""es"", ""en""))"),"")</f>
        <v/>
      </c>
    </row>
    <row r="92" ht="15.75" customHeight="1">
      <c r="A92" s="8"/>
      <c r="B92" s="30" t="s">
        <v>181</v>
      </c>
      <c r="C92" s="31" t="s">
        <v>225</v>
      </c>
      <c r="D92" s="31">
        <v>8000.0</v>
      </c>
      <c r="E92" s="30"/>
      <c r="F92" s="30"/>
      <c r="G92" s="32" t="s">
        <v>100</v>
      </c>
      <c r="H92" s="32" t="s">
        <v>195</v>
      </c>
      <c r="I92" s="31"/>
      <c r="J92" s="31" t="str">
        <f>IFERROR(__xludf.DUMMYFUNCTION("IF(ISBLANK(I92), """", GOOGLETRANSLATE(I92, ""es"", ""en""))"),"")</f>
        <v/>
      </c>
    </row>
    <row r="93" ht="15.75" customHeight="1">
      <c r="A93" s="8"/>
      <c r="B93" s="30" t="s">
        <v>182</v>
      </c>
      <c r="C93" s="31" t="s">
        <v>220</v>
      </c>
      <c r="D93" s="31">
        <v>13.0</v>
      </c>
      <c r="E93" s="30">
        <v>20.0</v>
      </c>
      <c r="F93" s="30">
        <v>2.0</v>
      </c>
      <c r="G93" s="32" t="s">
        <v>100</v>
      </c>
      <c r="H93" s="32" t="s">
        <v>198</v>
      </c>
      <c r="I93" s="31" t="s">
        <v>240</v>
      </c>
      <c r="J93" s="31" t="str">
        <f>IFERROR(__xludf.DUMMYFUNCTION("IF(ISBLANK(I93), """", GOOGLETRANSLATE(I93, ""es"", ""en""))"),"Goal achieved in execution")</f>
        <v>Goal achieved in execution</v>
      </c>
    </row>
    <row r="94" ht="15.75" customHeight="1">
      <c r="A94" s="8"/>
      <c r="B94" s="30" t="s">
        <v>183</v>
      </c>
      <c r="C94" s="31" t="s">
        <v>225</v>
      </c>
      <c r="D94" s="31">
        <v>8000.0</v>
      </c>
      <c r="E94" s="30"/>
      <c r="F94" s="30"/>
      <c r="G94" s="32" t="s">
        <v>100</v>
      </c>
      <c r="H94" s="32" t="s">
        <v>198</v>
      </c>
      <c r="I94" s="31" t="s">
        <v>241</v>
      </c>
      <c r="J94" s="31" t="str">
        <f>IFERROR(__xludf.DUMMYFUNCTION("IF(ISBLANK(I94), """", GOOGLETRANSLATE(I94, ""es"", ""en""))"),"Goal achieved in execution Text")</f>
        <v>Goal achieved in execution Text</v>
      </c>
    </row>
    <row r="95" ht="15.75" customHeight="1">
      <c r="A95" s="8"/>
      <c r="B95" s="30" t="s">
        <v>184</v>
      </c>
      <c r="C95" s="31" t="s">
        <v>220</v>
      </c>
      <c r="D95" s="31">
        <v>13.0</v>
      </c>
      <c r="E95" s="30">
        <v>25.0</v>
      </c>
      <c r="F95" s="30">
        <v>2.0</v>
      </c>
      <c r="G95" s="32" t="s">
        <v>100</v>
      </c>
      <c r="H95" s="32" t="s">
        <v>198</v>
      </c>
      <c r="I95" s="31" t="s">
        <v>242</v>
      </c>
      <c r="J95" s="31" t="str">
        <f>IFERROR(__xludf.DUMMYFUNCTION("IF(ISBLANK(I95), """", GOOGLETRANSLATE(I95, ""es"", ""en""))"),"Total ")</f>
        <v>Total </v>
      </c>
    </row>
    <row r="96" ht="15.75" customHeight="1">
      <c r="A96" s="8"/>
      <c r="B96" s="30" t="s">
        <v>185</v>
      </c>
      <c r="C96" s="31" t="s">
        <v>225</v>
      </c>
      <c r="D96" s="31">
        <v>8000.0</v>
      </c>
      <c r="E96" s="30"/>
      <c r="F96" s="30"/>
      <c r="G96" s="32" t="s">
        <v>100</v>
      </c>
      <c r="H96" s="32" t="s">
        <v>198</v>
      </c>
      <c r="I96" s="31" t="s">
        <v>243</v>
      </c>
      <c r="J96" s="31" t="str">
        <f>IFERROR(__xludf.DUMMYFUNCTION("IF(ISBLANK(I96), """", GOOGLETRANSLATE(I96, ""es"", ""en""))"),"Total Text")</f>
        <v>Total Text</v>
      </c>
    </row>
    <row r="97" ht="15.75" customHeight="1">
      <c r="A97" s="8"/>
      <c r="B97" s="30" t="s">
        <v>186</v>
      </c>
      <c r="C97" s="31" t="s">
        <v>60</v>
      </c>
      <c r="D97" s="31">
        <v>4.0</v>
      </c>
      <c r="E97" s="30">
        <v>10.0</v>
      </c>
      <c r="F97" s="30">
        <v>0.0</v>
      </c>
      <c r="G97" s="32" t="s">
        <v>61</v>
      </c>
      <c r="H97" s="32">
        <v>2216.0</v>
      </c>
      <c r="I97" s="31" t="s">
        <v>244</v>
      </c>
      <c r="J97" s="31" t="str">
        <f>IFERROR(__xludf.DUMMYFUNCTION("IF(ISBLANK(I97), """", GOOGLETRANSLATE(I97, ""es"", ""en""))"),"Project Phase Identifier")</f>
        <v>Project Phase Identifier</v>
      </c>
    </row>
    <row r="98" ht="15.75" customHeight="1">
      <c r="A98" s="8"/>
      <c r="B98" s="30" t="s">
        <v>54</v>
      </c>
      <c r="C98" s="31" t="s">
        <v>82</v>
      </c>
      <c r="D98" s="31">
        <v>32.0</v>
      </c>
      <c r="E98" s="30"/>
      <c r="F98" s="30"/>
      <c r="G98" s="32" t="s">
        <v>61</v>
      </c>
      <c r="H98" s="32" t="s">
        <v>68</v>
      </c>
      <c r="I98" s="31" t="s">
        <v>153</v>
      </c>
      <c r="J98" s="31" t="str">
        <f>IFERROR(__xludf.DUMMYFUNCTION("IF(ISBLANK(I98), """", GOOGLETRANSLATE(I98, ""es"", ""en""))"),"Registration Status")</f>
        <v>Registration Status</v>
      </c>
    </row>
    <row r="99" ht="15.75" customHeight="1">
      <c r="A99" s="8"/>
      <c r="B99" s="30" t="s">
        <v>55</v>
      </c>
      <c r="C99" s="31" t="s">
        <v>60</v>
      </c>
      <c r="D99" s="31">
        <v>4.0</v>
      </c>
      <c r="E99" s="30">
        <v>10.0</v>
      </c>
      <c r="F99" s="30">
        <v>0.0</v>
      </c>
      <c r="G99" s="32" t="s">
        <v>100</v>
      </c>
      <c r="H99" s="32">
        <v>0.0</v>
      </c>
      <c r="I99" s="31"/>
      <c r="J99" s="31" t="str">
        <f>IFERROR(__xludf.DUMMYFUNCTION("IF(ISBLANK(I99), """", GOOGLETRANSLATE(I99, ""es"", ""en""))"),"")</f>
        <v/>
      </c>
    </row>
    <row r="100" ht="15.75" customHeight="1">
      <c r="A100" s="8"/>
      <c r="B100" s="30" t="s">
        <v>56</v>
      </c>
      <c r="C100" s="31" t="s">
        <v>60</v>
      </c>
      <c r="D100" s="31">
        <v>4.0</v>
      </c>
      <c r="E100" s="30">
        <v>10.0</v>
      </c>
      <c r="F100" s="30">
        <v>0.0</v>
      </c>
      <c r="G100" s="32" t="s">
        <v>61</v>
      </c>
      <c r="H100" s="32">
        <v>38.0</v>
      </c>
      <c r="I100" s="31" t="s">
        <v>101</v>
      </c>
      <c r="J100" s="31" t="str">
        <f>IFERROR(__xludf.DUMMYFUNCTION("IF(ISBLANK(I100), """", GOOGLETRANSLATE(I100, ""es"", ""en""))"),"User who inserted the record, Fields used by the institution for internal use")</f>
        <v>User who inserted the record, Fields used by the institution for internal use</v>
      </c>
    </row>
    <row r="101" ht="15.75" customHeight="1">
      <c r="A101" s="8"/>
      <c r="B101" s="30" t="s">
        <v>57</v>
      </c>
      <c r="C101" s="31" t="s">
        <v>102</v>
      </c>
      <c r="D101" s="31">
        <v>4.0</v>
      </c>
      <c r="E101" s="30"/>
      <c r="F101" s="30"/>
      <c r="G101" s="32" t="s">
        <v>61</v>
      </c>
      <c r="H101" s="44">
        <v>44900.46597222222</v>
      </c>
      <c r="I101" s="31" t="s">
        <v>103</v>
      </c>
      <c r="J101" s="31" t="str">
        <f>IFERROR(__xludf.DUMMYFUNCTION("IF(ISBLANK(I101), """", GOOGLETRANSLATE(I101, ""es"", ""en""))"),"Insertion date, Fields used by the institution for internal use")</f>
        <v>Insertion date, Fields used by the institution for internal use</v>
      </c>
    </row>
    <row r="102" ht="15.75" customHeight="1">
      <c r="A102" s="8"/>
      <c r="B102" s="30" t="s">
        <v>58</v>
      </c>
      <c r="C102" s="31" t="s">
        <v>60</v>
      </c>
      <c r="D102" s="31">
        <v>4.0</v>
      </c>
      <c r="E102" s="30">
        <v>10.0</v>
      </c>
      <c r="F102" s="30">
        <v>0.0</v>
      </c>
      <c r="G102" s="32" t="s">
        <v>100</v>
      </c>
      <c r="H102" s="32">
        <v>38.0</v>
      </c>
      <c r="I102" s="31" t="s">
        <v>104</v>
      </c>
      <c r="J102" s="31" t="str">
        <f>IFERROR(__xludf.DUMMYFUNCTION("IF(ISBLANK(I102), """", GOOGLETRANSLATE(I102, ""es"", ""en""))"),"Update User Callsign")</f>
        <v>Update User Callsign</v>
      </c>
    </row>
    <row r="103" ht="15.75" customHeight="1">
      <c r="A103" s="8"/>
      <c r="B103" s="30" t="s">
        <v>59</v>
      </c>
      <c r="C103" s="31" t="s">
        <v>102</v>
      </c>
      <c r="D103" s="31">
        <v>4.0</v>
      </c>
      <c r="E103" s="30"/>
      <c r="F103" s="30"/>
      <c r="G103" s="32" t="s">
        <v>100</v>
      </c>
      <c r="H103" s="44">
        <v>45387.513194444444</v>
      </c>
      <c r="I103" s="31" t="s">
        <v>105</v>
      </c>
      <c r="J103" s="31" t="str">
        <f>IFERROR(__xludf.DUMMYFUNCTION("IF(ISBLANK(I103), """", GOOGLETRANSLATE(I103, ""es"", ""en""))"),"Update date")</f>
        <v>Update date</v>
      </c>
    </row>
    <row r="104" ht="15.75" customHeight="1">
      <c r="C104" s="4"/>
      <c r="D104" s="4"/>
      <c r="H104" s="3"/>
      <c r="I104" s="4"/>
    </row>
    <row r="105" ht="15.75" customHeight="1">
      <c r="C105" s="4"/>
      <c r="D105" s="4"/>
      <c r="H105" s="3"/>
      <c r="I105" s="4"/>
    </row>
    <row r="106" ht="15.75" customHeight="1">
      <c r="C106" s="4"/>
      <c r="D106" s="4"/>
      <c r="H106" s="3"/>
      <c r="I106" s="4"/>
    </row>
    <row r="107" ht="15.75" customHeight="1">
      <c r="A107" s="17"/>
      <c r="B107" s="38" t="s">
        <v>245</v>
      </c>
      <c r="C107" s="20"/>
      <c r="D107" s="20"/>
      <c r="E107" s="20"/>
      <c r="F107" s="20"/>
      <c r="G107" s="20"/>
      <c r="H107" s="20"/>
      <c r="I107" s="20"/>
      <c r="J107" s="22"/>
    </row>
    <row r="108" ht="33.75" customHeight="1">
      <c r="A108" s="34"/>
      <c r="B108" s="35" t="s">
        <v>246</v>
      </c>
      <c r="C108" s="20"/>
      <c r="D108" s="20"/>
      <c r="E108" s="20"/>
      <c r="F108" s="20"/>
      <c r="G108" s="22"/>
      <c r="H108" s="35" t="str">
        <f>IFERROR(__xludf.DUMMYFUNCTION("IF(ISBLANK(B108), """", GOOGLETRANSLATE(B108, ""es"", ""en""))"),"Phases by investment project")</f>
        <v>Phases by investment project</v>
      </c>
      <c r="I108" s="20"/>
      <c r="J108" s="22"/>
      <c r="K108" s="23"/>
      <c r="L108" s="23"/>
      <c r="M108" s="24" t="s">
        <v>33</v>
      </c>
      <c r="N108" s="23"/>
      <c r="O108" s="23"/>
      <c r="P108" s="23"/>
      <c r="Q108" s="45"/>
      <c r="R108" s="23"/>
      <c r="S108" s="23"/>
      <c r="T108" s="23"/>
      <c r="U108" s="23"/>
      <c r="V108" s="23"/>
      <c r="W108" s="23"/>
      <c r="X108" s="23"/>
      <c r="Y108" s="23"/>
      <c r="Z108" s="23"/>
      <c r="AA108" s="23"/>
      <c r="AB108" s="39"/>
      <c r="AC108" s="23"/>
      <c r="AD108" s="39"/>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23"/>
      <c r="BX108" s="23"/>
      <c r="BY108" s="23"/>
      <c r="BZ108" s="23"/>
      <c r="CA108" s="23"/>
      <c r="CB108" s="23"/>
    </row>
    <row r="109" ht="15.75" customHeight="1">
      <c r="A109" s="25"/>
      <c r="B109" s="26" t="s">
        <v>34</v>
      </c>
      <c r="C109" s="27" t="s">
        <v>35</v>
      </c>
      <c r="D109" s="27" t="s">
        <v>36</v>
      </c>
      <c r="E109" s="26" t="s">
        <v>37</v>
      </c>
      <c r="F109" s="26" t="s">
        <v>38</v>
      </c>
      <c r="G109" s="26" t="s">
        <v>39</v>
      </c>
      <c r="H109" s="28" t="s">
        <v>40</v>
      </c>
      <c r="I109" s="28" t="s">
        <v>41</v>
      </c>
      <c r="J109" s="28" t="s">
        <v>42</v>
      </c>
      <c r="K109" s="40" t="s">
        <v>247</v>
      </c>
      <c r="M109" s="6" t="s">
        <v>186</v>
      </c>
      <c r="N109" s="6" t="s">
        <v>158</v>
      </c>
      <c r="O109" s="6" t="s">
        <v>248</v>
      </c>
      <c r="P109" s="6" t="s">
        <v>159</v>
      </c>
      <c r="Q109" s="46" t="s">
        <v>249</v>
      </c>
      <c r="R109" s="6" t="s">
        <v>250</v>
      </c>
      <c r="S109" s="6" t="s">
        <v>251</v>
      </c>
      <c r="T109" s="6" t="s">
        <v>252</v>
      </c>
      <c r="U109" s="6" t="s">
        <v>253</v>
      </c>
      <c r="V109" s="6" t="s">
        <v>254</v>
      </c>
      <c r="W109" s="6" t="s">
        <v>255</v>
      </c>
      <c r="X109" s="6" t="s">
        <v>256</v>
      </c>
      <c r="Y109" s="6" t="s">
        <v>257</v>
      </c>
      <c r="Z109" s="6" t="s">
        <v>258</v>
      </c>
      <c r="AA109" s="6" t="s">
        <v>259</v>
      </c>
      <c r="AB109" s="6" t="s">
        <v>54</v>
      </c>
      <c r="AC109" s="6" t="s">
        <v>55</v>
      </c>
      <c r="AD109" s="6" t="s">
        <v>56</v>
      </c>
      <c r="AE109" s="6" t="s">
        <v>57</v>
      </c>
      <c r="AF109" s="6" t="s">
        <v>58</v>
      </c>
      <c r="AG109" s="6" t="s">
        <v>59</v>
      </c>
      <c r="AH109" s="6" t="s">
        <v>260</v>
      </c>
      <c r="AI109" s="6" t="s">
        <v>261</v>
      </c>
      <c r="AJ109" s="6" t="s">
        <v>262</v>
      </c>
    </row>
    <row r="110" ht="15.75" customHeight="1">
      <c r="A110" s="8"/>
      <c r="B110" s="30" t="s">
        <v>186</v>
      </c>
      <c r="C110" s="31" t="s">
        <v>60</v>
      </c>
      <c r="D110" s="31">
        <v>4.0</v>
      </c>
      <c r="E110" s="30">
        <v>10.0</v>
      </c>
      <c r="F110" s="30">
        <v>0.0</v>
      </c>
      <c r="G110" s="32" t="s">
        <v>61</v>
      </c>
      <c r="H110" s="32">
        <v>1732.0</v>
      </c>
      <c r="I110" s="31" t="s">
        <v>263</v>
      </c>
      <c r="J110" s="31" t="str">
        <f>IFERROR(__xludf.DUMMYFUNCTION("IF(ISBLANK(I110), """", GOOGLETRANSLATE(I110, ""es"", ""en""))"),"Phase code identifier ")</f>
        <v>Phase code identifier </v>
      </c>
      <c r="K110" s="47" t="s">
        <v>264</v>
      </c>
      <c r="M110" s="30">
        <v>1726.0</v>
      </c>
      <c r="N110" s="30">
        <v>1578.0</v>
      </c>
      <c r="O110" s="30" t="s">
        <v>265</v>
      </c>
      <c r="P110" s="30" t="s">
        <v>266</v>
      </c>
      <c r="Q110" s="30" t="s">
        <v>189</v>
      </c>
      <c r="R110" s="30">
        <v>30.0</v>
      </c>
      <c r="S110" s="30" t="s">
        <v>267</v>
      </c>
      <c r="T110" s="48">
        <v>4145000.0</v>
      </c>
      <c r="U110" s="30" t="s">
        <v>268</v>
      </c>
      <c r="V110" s="30" t="s">
        <v>269</v>
      </c>
      <c r="W110" s="30" t="s">
        <v>270</v>
      </c>
      <c r="X110" s="30" t="s">
        <v>271</v>
      </c>
      <c r="Y110" s="30">
        <v>2012.0</v>
      </c>
      <c r="Z110" s="30">
        <v>2022.0</v>
      </c>
      <c r="AA110" s="30">
        <v>2020.0</v>
      </c>
      <c r="AB110" s="30" t="s">
        <v>68</v>
      </c>
      <c r="AC110" s="30">
        <v>0.0</v>
      </c>
      <c r="AD110" s="30">
        <v>1.0</v>
      </c>
      <c r="AE110" s="33">
        <v>42286.0</v>
      </c>
      <c r="AF110" s="30">
        <v>34.0</v>
      </c>
      <c r="AG110" s="33">
        <v>44236.59027777778</v>
      </c>
      <c r="AH110" s="30" t="s">
        <v>194</v>
      </c>
      <c r="AI110" s="30" t="s">
        <v>272</v>
      </c>
      <c r="AJ110" s="30" t="s">
        <v>273</v>
      </c>
    </row>
    <row r="111" ht="15.75" customHeight="1">
      <c r="A111" s="8"/>
      <c r="B111" s="30" t="s">
        <v>158</v>
      </c>
      <c r="C111" s="31" t="s">
        <v>60</v>
      </c>
      <c r="D111" s="31">
        <v>4.0</v>
      </c>
      <c r="E111" s="30">
        <v>10.0</v>
      </c>
      <c r="F111" s="30">
        <v>0.0</v>
      </c>
      <c r="G111" s="32" t="s">
        <v>61</v>
      </c>
      <c r="H111" s="32">
        <v>1585.0</v>
      </c>
      <c r="I111" s="31" t="s">
        <v>196</v>
      </c>
      <c r="J111" s="31" t="str">
        <f>IFERROR(__xludf.DUMMYFUNCTION("IF(ISBLANK(I111), """", GOOGLETRANSLATE(I111, ""es"", ""en""))"),"Unique identifier of the Investment project (SNIP System)")</f>
        <v>Unique identifier of the Investment project (SNIP System)</v>
      </c>
      <c r="M111" s="30">
        <v>1730.0</v>
      </c>
      <c r="N111" s="30">
        <v>1582.0</v>
      </c>
      <c r="O111" s="30" t="s">
        <v>274</v>
      </c>
      <c r="P111" s="30" t="s">
        <v>266</v>
      </c>
      <c r="Q111" s="30" t="s">
        <v>189</v>
      </c>
      <c r="R111" s="30">
        <v>30.0</v>
      </c>
      <c r="S111" s="30" t="s">
        <v>267</v>
      </c>
      <c r="T111" s="48">
        <v>4145000.0</v>
      </c>
      <c r="U111" s="30" t="s">
        <v>275</v>
      </c>
      <c r="V111" s="30" t="s">
        <v>276</v>
      </c>
      <c r="W111" s="30" t="s">
        <v>277</v>
      </c>
      <c r="X111" s="30" t="s">
        <v>278</v>
      </c>
      <c r="Y111" s="30">
        <v>2012.0</v>
      </c>
      <c r="Z111" s="30">
        <v>2020.0</v>
      </c>
      <c r="AA111" s="30">
        <v>2019.0</v>
      </c>
      <c r="AB111" s="30" t="s">
        <v>68</v>
      </c>
      <c r="AC111" s="30">
        <v>0.0</v>
      </c>
      <c r="AD111" s="30">
        <v>1.0</v>
      </c>
      <c r="AE111" s="33">
        <v>42286.0</v>
      </c>
      <c r="AF111" s="30">
        <v>282.0</v>
      </c>
      <c r="AG111" s="33">
        <v>43580.63263888889</v>
      </c>
      <c r="AH111" s="30" t="s">
        <v>194</v>
      </c>
      <c r="AI111" s="30" t="s">
        <v>279</v>
      </c>
      <c r="AJ111" s="30" t="s">
        <v>280</v>
      </c>
    </row>
    <row r="112" ht="15.75" customHeight="1">
      <c r="A112" s="8"/>
      <c r="B112" s="30" t="s">
        <v>248</v>
      </c>
      <c r="C112" s="31" t="s">
        <v>82</v>
      </c>
      <c r="D112" s="31">
        <v>250.0</v>
      </c>
      <c r="E112" s="30"/>
      <c r="F112" s="30"/>
      <c r="G112" s="32" t="s">
        <v>100</v>
      </c>
      <c r="H112" s="32" t="s">
        <v>281</v>
      </c>
      <c r="I112" s="31" t="s">
        <v>282</v>
      </c>
      <c r="J112" s="31" t="str">
        <f>IFERROR(__xludf.DUMMYFUNCTION("IF(ISBLANK(I112), """", GOOGLETRANSLATE(I112, ""es"", ""en""))"),"Investment project description")</f>
        <v>Investment project description</v>
      </c>
      <c r="M112" s="30">
        <v>1732.0</v>
      </c>
      <c r="N112" s="30">
        <v>1585.0</v>
      </c>
      <c r="O112" s="30" t="s">
        <v>281</v>
      </c>
      <c r="P112" s="30" t="s">
        <v>266</v>
      </c>
      <c r="Q112" s="30" t="s">
        <v>189</v>
      </c>
      <c r="R112" s="30">
        <v>30.0</v>
      </c>
      <c r="S112" s="30" t="s">
        <v>267</v>
      </c>
      <c r="T112" s="48">
        <v>4145000.0</v>
      </c>
      <c r="U112" s="30" t="s">
        <v>283</v>
      </c>
      <c r="V112" s="30" t="s">
        <v>284</v>
      </c>
      <c r="W112" s="30" t="s">
        <v>285</v>
      </c>
      <c r="X112" s="30" t="s">
        <v>286</v>
      </c>
      <c r="Y112" s="30">
        <v>2012.0</v>
      </c>
      <c r="Z112" s="30">
        <v>2021.0</v>
      </c>
      <c r="AA112" s="30">
        <v>2021.0</v>
      </c>
      <c r="AB112" s="30" t="s">
        <v>68</v>
      </c>
      <c r="AC112" s="30">
        <v>0.0</v>
      </c>
      <c r="AD112" s="30">
        <v>1.0</v>
      </c>
      <c r="AE112" s="33">
        <v>42286.0</v>
      </c>
      <c r="AF112" s="30">
        <v>53.0</v>
      </c>
      <c r="AG112" s="33">
        <v>44175.44861111111</v>
      </c>
      <c r="AH112" s="30" t="s">
        <v>194</v>
      </c>
      <c r="AI112" s="30" t="s">
        <v>287</v>
      </c>
      <c r="AJ112" s="30" t="s">
        <v>288</v>
      </c>
    </row>
    <row r="113" ht="15.75" customHeight="1">
      <c r="A113" s="8"/>
      <c r="B113" s="30" t="s">
        <v>159</v>
      </c>
      <c r="C113" s="31" t="s">
        <v>82</v>
      </c>
      <c r="D113" s="31">
        <v>1.0</v>
      </c>
      <c r="E113" s="30"/>
      <c r="F113" s="30"/>
      <c r="G113" s="32" t="s">
        <v>61</v>
      </c>
      <c r="H113" s="32" t="s">
        <v>266</v>
      </c>
      <c r="I113" s="31" t="s">
        <v>289</v>
      </c>
      <c r="J113" s="31" t="str">
        <f>IFERROR(__xludf.DUMMYFUNCTION("IF(ISBLANK(I113), """", GOOGLETRANSLATE(I113, ""es"", ""en""))"),"Project phase identifier (A, I)")</f>
        <v>Project phase identifier (A, I)</v>
      </c>
      <c r="M113" s="30">
        <v>1737.0</v>
      </c>
      <c r="N113" s="30">
        <v>1590.0</v>
      </c>
      <c r="O113" s="30" t="s">
        <v>290</v>
      </c>
      <c r="P113" s="30" t="s">
        <v>266</v>
      </c>
      <c r="Q113" s="30" t="s">
        <v>189</v>
      </c>
      <c r="R113" s="30">
        <v>30.0</v>
      </c>
      <c r="S113" s="30" t="s">
        <v>267</v>
      </c>
      <c r="T113" s="48">
        <v>4145000.0</v>
      </c>
      <c r="U113" s="30" t="s">
        <v>291</v>
      </c>
      <c r="V113" s="30" t="s">
        <v>292</v>
      </c>
      <c r="W113" s="30" t="s">
        <v>293</v>
      </c>
      <c r="X113" s="30" t="s">
        <v>294</v>
      </c>
      <c r="Y113" s="30">
        <v>2012.0</v>
      </c>
      <c r="Z113" s="30">
        <v>2020.0</v>
      </c>
      <c r="AA113" s="30">
        <v>2019.0</v>
      </c>
      <c r="AB113" s="30" t="s">
        <v>68</v>
      </c>
      <c r="AC113" s="30">
        <v>0.0</v>
      </c>
      <c r="AD113" s="30">
        <v>1.0</v>
      </c>
      <c r="AE113" s="33">
        <v>42286.0</v>
      </c>
      <c r="AF113" s="30">
        <v>282.0</v>
      </c>
      <c r="AG113" s="33">
        <v>43580.62986111111</v>
      </c>
      <c r="AH113" s="30" t="s">
        <v>194</v>
      </c>
      <c r="AI113" s="30" t="s">
        <v>295</v>
      </c>
      <c r="AJ113" s="30" t="s">
        <v>296</v>
      </c>
    </row>
    <row r="114" ht="15.75" customHeight="1">
      <c r="A114" s="8"/>
      <c r="B114" s="30" t="s">
        <v>249</v>
      </c>
      <c r="C114" s="31" t="s">
        <v>82</v>
      </c>
      <c r="D114" s="31">
        <v>13.0</v>
      </c>
      <c r="E114" s="30"/>
      <c r="F114" s="30"/>
      <c r="G114" s="32" t="s">
        <v>61</v>
      </c>
      <c r="H114" s="32" t="s">
        <v>189</v>
      </c>
      <c r="I114" s="31" t="s">
        <v>297</v>
      </c>
      <c r="J114" s="31" t="str">
        <f>IFERROR(__xludf.DUMMYFUNCTION("IF(ISBLANK(I114), """", GOOGLETRANSLATE(I114, ""es"", ""en""))"),"Project phase identifier (Pre-investment, Investment)")</f>
        <v>Project phase identifier (Pre-investment, Investment)</v>
      </c>
      <c r="M114" s="30">
        <v>2136.0</v>
      </c>
      <c r="N114" s="30">
        <v>1965.0</v>
      </c>
      <c r="O114" s="30" t="s">
        <v>298</v>
      </c>
      <c r="P114" s="30" t="s">
        <v>266</v>
      </c>
      <c r="Q114" s="30" t="s">
        <v>189</v>
      </c>
      <c r="R114" s="30">
        <v>30.0</v>
      </c>
      <c r="S114" s="30" t="s">
        <v>267</v>
      </c>
      <c r="T114" s="48">
        <v>100000.0</v>
      </c>
      <c r="U114" s="30" t="s">
        <v>299</v>
      </c>
      <c r="V114" s="30" t="s">
        <v>300</v>
      </c>
      <c r="W114" s="30" t="s">
        <v>299</v>
      </c>
      <c r="X114" s="30" t="s">
        <v>300</v>
      </c>
      <c r="Y114" s="30">
        <v>2012.0</v>
      </c>
      <c r="Z114" s="30">
        <v>2023.0</v>
      </c>
      <c r="AA114" s="30">
        <v>2022.0</v>
      </c>
      <c r="AB114" s="30" t="s">
        <v>68</v>
      </c>
      <c r="AC114" s="30">
        <v>0.0</v>
      </c>
      <c r="AD114" s="30">
        <v>1.0</v>
      </c>
      <c r="AE114" s="33">
        <v>42286.0</v>
      </c>
      <c r="AF114" s="30">
        <v>53.0</v>
      </c>
      <c r="AG114" s="33">
        <v>44861.73472222222</v>
      </c>
      <c r="AH114" s="30" t="s">
        <v>301</v>
      </c>
      <c r="AI114" s="30" t="s">
        <v>302</v>
      </c>
      <c r="AJ114" s="30" t="s">
        <v>194</v>
      </c>
    </row>
    <row r="115" ht="15.75" customHeight="1">
      <c r="A115" s="8"/>
      <c r="B115" s="30" t="s">
        <v>250</v>
      </c>
      <c r="C115" s="31" t="s">
        <v>60</v>
      </c>
      <c r="D115" s="31">
        <v>4.0</v>
      </c>
      <c r="E115" s="30">
        <v>10.0</v>
      </c>
      <c r="F115" s="30">
        <v>0.0</v>
      </c>
      <c r="G115" s="32" t="s">
        <v>100</v>
      </c>
      <c r="H115" s="32">
        <v>30.0</v>
      </c>
      <c r="I115" s="31" t="s">
        <v>303</v>
      </c>
      <c r="J115" s="31" t="str">
        <f>IFERROR(__xludf.DUMMYFUNCTION("IF(ISBLANK(I115), """", GOOGLETRANSLATE(I115, ""es"", ""en""))"),"Currency Identifier")</f>
        <v>Currency Identifier</v>
      </c>
      <c r="M115" s="30">
        <v>2541.0</v>
      </c>
      <c r="N115" s="30">
        <v>2331.0</v>
      </c>
      <c r="O115" s="30" t="s">
        <v>304</v>
      </c>
      <c r="P115" s="30" t="s">
        <v>266</v>
      </c>
      <c r="Q115" s="30" t="s">
        <v>189</v>
      </c>
      <c r="R115" s="30">
        <v>30.0</v>
      </c>
      <c r="S115" s="30" t="s">
        <v>267</v>
      </c>
      <c r="T115" s="48">
        <v>100000.0</v>
      </c>
      <c r="U115" s="30" t="s">
        <v>305</v>
      </c>
      <c r="V115" s="30" t="s">
        <v>306</v>
      </c>
      <c r="W115" s="30" t="s">
        <v>305</v>
      </c>
      <c r="X115" s="30" t="s">
        <v>306</v>
      </c>
      <c r="Y115" s="30">
        <v>2013.0</v>
      </c>
      <c r="Z115" s="30">
        <v>2022.0</v>
      </c>
      <c r="AA115" s="30">
        <v>2022.0</v>
      </c>
      <c r="AB115" s="30" t="s">
        <v>68</v>
      </c>
      <c r="AC115" s="30">
        <v>0.0</v>
      </c>
      <c r="AD115" s="30">
        <v>1.0</v>
      </c>
      <c r="AE115" s="33">
        <v>42286.0</v>
      </c>
      <c r="AF115" s="30">
        <v>189.0</v>
      </c>
      <c r="AG115" s="33">
        <v>44792.34097222222</v>
      </c>
      <c r="AH115" s="30" t="s">
        <v>307</v>
      </c>
      <c r="AI115" s="30" t="s">
        <v>308</v>
      </c>
      <c r="AJ115" s="30" t="s">
        <v>194</v>
      </c>
    </row>
    <row r="116" ht="15.75" customHeight="1">
      <c r="A116" s="8"/>
      <c r="B116" s="30" t="s">
        <v>251</v>
      </c>
      <c r="C116" s="31" t="s">
        <v>82</v>
      </c>
      <c r="D116" s="31">
        <v>120.0</v>
      </c>
      <c r="E116" s="30"/>
      <c r="F116" s="30"/>
      <c r="G116" s="32" t="s">
        <v>100</v>
      </c>
      <c r="H116" s="32" t="s">
        <v>267</v>
      </c>
      <c r="I116" s="31" t="s">
        <v>309</v>
      </c>
      <c r="J116" s="31" t="str">
        <f>IFERROR(__xludf.DUMMYFUNCTION("IF(ISBLANK(I116), """", GOOGLETRANSLATE(I116, ""es"", ""en""))"),"Currency text identifier")</f>
        <v>Currency text identifier</v>
      </c>
      <c r="M116" s="30">
        <v>3146.0</v>
      </c>
      <c r="N116" s="30">
        <v>2949.0</v>
      </c>
      <c r="O116" s="30" t="s">
        <v>310</v>
      </c>
      <c r="P116" s="30" t="s">
        <v>266</v>
      </c>
      <c r="Q116" s="30" t="s">
        <v>189</v>
      </c>
      <c r="R116" s="30">
        <v>30.0</v>
      </c>
      <c r="S116" s="30" t="s">
        <v>267</v>
      </c>
      <c r="T116" s="48">
        <v>5849000.0</v>
      </c>
      <c r="U116" s="30" t="s">
        <v>311</v>
      </c>
      <c r="V116" s="30" t="s">
        <v>312</v>
      </c>
      <c r="W116" s="30" t="s">
        <v>313</v>
      </c>
      <c r="X116" s="30" t="s">
        <v>314</v>
      </c>
      <c r="Y116" s="30">
        <v>2020.0</v>
      </c>
      <c r="Z116" s="30">
        <v>2023.0</v>
      </c>
      <c r="AA116" s="30">
        <v>2022.0</v>
      </c>
      <c r="AB116" s="30" t="s">
        <v>68</v>
      </c>
      <c r="AC116" s="30">
        <v>0.0</v>
      </c>
      <c r="AD116" s="30">
        <v>1.0</v>
      </c>
      <c r="AE116" s="33">
        <v>42286.0</v>
      </c>
      <c r="AF116" s="30">
        <v>36.0</v>
      </c>
      <c r="AG116" s="33">
        <v>44524.677083333336</v>
      </c>
      <c r="AH116" s="30" t="s">
        <v>194</v>
      </c>
      <c r="AI116" s="30" t="s">
        <v>313</v>
      </c>
      <c r="AJ116" s="30" t="s">
        <v>194</v>
      </c>
    </row>
    <row r="117" ht="15.75" customHeight="1">
      <c r="A117" s="8"/>
      <c r="B117" s="30" t="s">
        <v>252</v>
      </c>
      <c r="C117" s="31" t="s">
        <v>220</v>
      </c>
      <c r="D117" s="31">
        <v>9.0</v>
      </c>
      <c r="E117" s="30">
        <v>10.0</v>
      </c>
      <c r="F117" s="30">
        <v>5.0</v>
      </c>
      <c r="G117" s="32" t="s">
        <v>100</v>
      </c>
      <c r="H117" s="49">
        <v>4145000.0</v>
      </c>
      <c r="I117" s="31" t="s">
        <v>315</v>
      </c>
      <c r="J117" s="31" t="str">
        <f>IFERROR(__xludf.DUMMYFUNCTION("IF(ISBLANK(I117), """", GOOGLETRANSLATE(I117, ""es"", ""en""))"),"Type or Rate of Exchange")</f>
        <v>Type or Rate of Exchange</v>
      </c>
      <c r="M117" s="30">
        <v>3147.0</v>
      </c>
      <c r="N117" s="30">
        <v>2951.0</v>
      </c>
      <c r="O117" s="30" t="s">
        <v>316</v>
      </c>
      <c r="P117" s="30" t="s">
        <v>266</v>
      </c>
      <c r="Q117" s="30" t="s">
        <v>189</v>
      </c>
      <c r="R117" s="30">
        <v>30.0</v>
      </c>
      <c r="S117" s="30" t="s">
        <v>267</v>
      </c>
      <c r="T117" s="48">
        <v>4787663.0</v>
      </c>
      <c r="U117" s="30" t="s">
        <v>317</v>
      </c>
      <c r="V117" s="30" t="s">
        <v>318</v>
      </c>
      <c r="W117" s="30" t="s">
        <v>319</v>
      </c>
      <c r="X117" s="30" t="s">
        <v>320</v>
      </c>
      <c r="Y117" s="30">
        <v>2014.0</v>
      </c>
      <c r="Z117" s="30">
        <v>2022.0</v>
      </c>
      <c r="AA117" s="30">
        <v>2022.0</v>
      </c>
      <c r="AB117" s="30" t="s">
        <v>68</v>
      </c>
      <c r="AC117" s="30">
        <v>0.0</v>
      </c>
      <c r="AD117" s="30">
        <v>1.0</v>
      </c>
      <c r="AE117" s="33">
        <v>42286.0</v>
      </c>
      <c r="AF117" s="30">
        <v>265.0</v>
      </c>
      <c r="AG117" s="33">
        <v>44524.69097222222</v>
      </c>
      <c r="AH117" s="30" t="s">
        <v>194</v>
      </c>
      <c r="AI117" s="30" t="s">
        <v>321</v>
      </c>
      <c r="AJ117" s="30" t="s">
        <v>322</v>
      </c>
    </row>
    <row r="118" ht="15.75" customHeight="1">
      <c r="A118" s="8"/>
      <c r="B118" s="30" t="s">
        <v>253</v>
      </c>
      <c r="C118" s="31" t="s">
        <v>220</v>
      </c>
      <c r="D118" s="31">
        <v>9.0</v>
      </c>
      <c r="E118" s="30">
        <v>19.0</v>
      </c>
      <c r="F118" s="30">
        <v>2.0</v>
      </c>
      <c r="G118" s="32" t="s">
        <v>100</v>
      </c>
      <c r="H118" s="32" t="s">
        <v>283</v>
      </c>
      <c r="I118" s="31" t="s">
        <v>323</v>
      </c>
      <c r="J118" s="31" t="str">
        <f>IFERROR(__xludf.DUMMYFUNCTION("IF(ISBLANK(I118), """", GOOGLETRANSLATE(I118, ""es"", ""en""))"),"Project cost in the original currency")</f>
        <v>Project cost in the original currency</v>
      </c>
      <c r="M118" s="30">
        <v>3487.0</v>
      </c>
      <c r="N118" s="30">
        <v>3292.0</v>
      </c>
      <c r="O118" s="30" t="s">
        <v>324</v>
      </c>
      <c r="P118" s="30" t="s">
        <v>266</v>
      </c>
      <c r="Q118" s="30" t="s">
        <v>189</v>
      </c>
      <c r="R118" s="30">
        <v>30.0</v>
      </c>
      <c r="S118" s="30" t="s">
        <v>267</v>
      </c>
      <c r="T118" s="48">
        <v>4549000.0</v>
      </c>
      <c r="U118" s="30" t="s">
        <v>325</v>
      </c>
      <c r="V118" s="30" t="s">
        <v>326</v>
      </c>
      <c r="W118" s="30" t="s">
        <v>327</v>
      </c>
      <c r="X118" s="30" t="s">
        <v>328</v>
      </c>
      <c r="Y118" s="30">
        <v>2014.0</v>
      </c>
      <c r="Z118" s="30">
        <v>2020.0</v>
      </c>
      <c r="AA118" s="30">
        <v>2020.0</v>
      </c>
      <c r="AB118" s="30" t="s">
        <v>68</v>
      </c>
      <c r="AC118" s="30">
        <v>0.0</v>
      </c>
      <c r="AD118" s="30">
        <v>1.0</v>
      </c>
      <c r="AE118" s="33">
        <v>42286.0</v>
      </c>
      <c r="AF118" s="30">
        <v>54.0</v>
      </c>
      <c r="AG118" s="33">
        <v>44028.58194444444</v>
      </c>
      <c r="AH118" s="30" t="s">
        <v>327</v>
      </c>
      <c r="AI118" s="30" t="s">
        <v>194</v>
      </c>
      <c r="AJ118" s="30" t="s">
        <v>194</v>
      </c>
    </row>
    <row r="119" ht="15.75" customHeight="1">
      <c r="A119" s="8"/>
      <c r="B119" s="30" t="s">
        <v>254</v>
      </c>
      <c r="C119" s="31" t="s">
        <v>225</v>
      </c>
      <c r="D119" s="31">
        <v>8000.0</v>
      </c>
      <c r="E119" s="30"/>
      <c r="F119" s="30"/>
      <c r="G119" s="32" t="s">
        <v>100</v>
      </c>
      <c r="H119" s="32" t="s">
        <v>284</v>
      </c>
      <c r="I119" s="31" t="s">
        <v>329</v>
      </c>
      <c r="J119" s="31" t="str">
        <f>IFERROR(__xludf.DUMMYFUNCTION("IF(ISBLANK(I119), """", GOOGLETRANSLATE(I119, ""es"", ""en""))"),"Project Cost in original currency in text")</f>
        <v>Project Cost in original currency in text</v>
      </c>
      <c r="M119" s="30">
        <v>42.0</v>
      </c>
      <c r="N119" s="30">
        <v>49.0</v>
      </c>
      <c r="O119" s="30" t="s">
        <v>330</v>
      </c>
      <c r="P119" s="30" t="s">
        <v>266</v>
      </c>
      <c r="Q119" s="30" t="s">
        <v>189</v>
      </c>
      <c r="R119" s="30">
        <v>30.0</v>
      </c>
      <c r="S119" s="30" t="s">
        <v>267</v>
      </c>
      <c r="T119" s="48">
        <v>4019000.0</v>
      </c>
      <c r="U119" s="30" t="s">
        <v>331</v>
      </c>
      <c r="V119" s="30" t="s">
        <v>332</v>
      </c>
      <c r="W119" s="30" t="s">
        <v>333</v>
      </c>
      <c r="X119" s="30" t="s">
        <v>334</v>
      </c>
      <c r="Y119" s="30">
        <v>2010.0</v>
      </c>
      <c r="Z119" s="30">
        <v>2023.0</v>
      </c>
      <c r="AA119" s="30">
        <v>2023.0</v>
      </c>
      <c r="AB119" s="30" t="s">
        <v>68</v>
      </c>
      <c r="AC119" s="30">
        <v>0.0</v>
      </c>
      <c r="AD119" s="30">
        <v>1.0</v>
      </c>
      <c r="AE119" s="33">
        <v>42286.0</v>
      </c>
      <c r="AF119" s="30">
        <v>282.0</v>
      </c>
      <c r="AG119" s="33">
        <v>44826.626388888886</v>
      </c>
      <c r="AH119" s="30" t="s">
        <v>335</v>
      </c>
      <c r="AI119" s="30" t="s">
        <v>336</v>
      </c>
      <c r="AJ119" s="30" t="s">
        <v>194</v>
      </c>
    </row>
    <row r="120" ht="15.75" customHeight="1">
      <c r="A120" s="8"/>
      <c r="B120" s="30" t="s">
        <v>255</v>
      </c>
      <c r="C120" s="31" t="s">
        <v>220</v>
      </c>
      <c r="D120" s="31">
        <v>9.0</v>
      </c>
      <c r="E120" s="30">
        <v>19.0</v>
      </c>
      <c r="F120" s="30">
        <v>2.0</v>
      </c>
      <c r="G120" s="32" t="s">
        <v>100</v>
      </c>
      <c r="H120" s="32" t="s">
        <v>285</v>
      </c>
      <c r="I120" s="31" t="s">
        <v>337</v>
      </c>
      <c r="J120" s="31" t="str">
        <f>IFERROR(__xludf.DUMMYFUNCTION("IF(ISBLANK(I120), """", GOOGLETRANSLATE(I120, ""es"", ""en""))"),"Project cost in Dominican currency")</f>
        <v>Project cost in Dominican currency</v>
      </c>
    </row>
    <row r="121" ht="15.75" customHeight="1">
      <c r="A121" s="8"/>
      <c r="B121" s="30" t="s">
        <v>256</v>
      </c>
      <c r="C121" s="31" t="s">
        <v>225</v>
      </c>
      <c r="D121" s="31">
        <v>8000.0</v>
      </c>
      <c r="E121" s="30"/>
      <c r="F121" s="30"/>
      <c r="G121" s="32" t="s">
        <v>100</v>
      </c>
      <c r="H121" s="32" t="s">
        <v>286</v>
      </c>
      <c r="I121" s="31" t="s">
        <v>338</v>
      </c>
      <c r="J121" s="31" t="str">
        <f>IFERROR(__xludf.DUMMYFUNCTION("IF(ISBLANK(I121), """", GOOGLETRANSLATE(I121, ""es"", ""en""))"),"Project cost in Dominican currency in text")</f>
        <v>Project cost in Dominican currency in text</v>
      </c>
    </row>
    <row r="122" ht="15.75" customHeight="1">
      <c r="A122" s="8"/>
      <c r="B122" s="30" t="s">
        <v>257</v>
      </c>
      <c r="C122" s="31" t="s">
        <v>60</v>
      </c>
      <c r="D122" s="31">
        <v>4.0</v>
      </c>
      <c r="E122" s="30">
        <v>10.0</v>
      </c>
      <c r="F122" s="30">
        <v>0.0</v>
      </c>
      <c r="G122" s="32" t="s">
        <v>61</v>
      </c>
      <c r="H122" s="32">
        <v>2012.0</v>
      </c>
      <c r="I122" s="31" t="s">
        <v>339</v>
      </c>
      <c r="J122" s="31" t="str">
        <f>IFERROR(__xludf.DUMMYFUNCTION("IF(ISBLANK(I122), """", GOOGLETRANSLATE(I122, ""es"", ""en""))"),"Project Start")</f>
        <v>Project Start</v>
      </c>
    </row>
    <row r="123" ht="15.75" customHeight="1">
      <c r="A123" s="8"/>
      <c r="B123" s="30" t="s">
        <v>258</v>
      </c>
      <c r="C123" s="31" t="s">
        <v>60</v>
      </c>
      <c r="D123" s="31">
        <v>4.0</v>
      </c>
      <c r="E123" s="30">
        <v>10.0</v>
      </c>
      <c r="F123" s="30">
        <v>0.0</v>
      </c>
      <c r="G123" s="32" t="s">
        <v>61</v>
      </c>
      <c r="H123" s="32">
        <v>2021.0</v>
      </c>
      <c r="I123" s="31" t="s">
        <v>340</v>
      </c>
      <c r="J123" s="31" t="str">
        <f>IFERROR(__xludf.DUMMYFUNCTION("IF(ISBLANK(I123), """", GOOGLETRANSLATE(I123, ""es"", ""en""))"),"End of project")</f>
        <v>End of project</v>
      </c>
    </row>
    <row r="124" ht="15.75" customHeight="1">
      <c r="A124" s="8"/>
      <c r="B124" s="30" t="s">
        <v>259</v>
      </c>
      <c r="C124" s="31" t="s">
        <v>60</v>
      </c>
      <c r="D124" s="31">
        <v>4.0</v>
      </c>
      <c r="E124" s="30">
        <v>10.0</v>
      </c>
      <c r="F124" s="30">
        <v>0.0</v>
      </c>
      <c r="G124" s="32" t="s">
        <v>61</v>
      </c>
      <c r="H124" s="32">
        <v>2021.0</v>
      </c>
      <c r="I124" s="31" t="s">
        <v>341</v>
      </c>
      <c r="J124" s="31" t="str">
        <f>IFERROR(__xludf.DUMMYFUNCTION("IF(ISBLANK(I124), """", GOOGLETRANSLATE(I124, ""es"", ""en""))"),"Year in which the project was programmed (Pluriannual Programming")</f>
        <v>Year in which the project was programmed (Pluriannual Programming</v>
      </c>
    </row>
    <row r="125" ht="15.75" customHeight="1">
      <c r="A125" s="8"/>
      <c r="B125" s="30" t="s">
        <v>54</v>
      </c>
      <c r="C125" s="31" t="s">
        <v>82</v>
      </c>
      <c r="D125" s="31">
        <v>32.0</v>
      </c>
      <c r="E125" s="30"/>
      <c r="F125" s="30"/>
      <c r="G125" s="32" t="s">
        <v>61</v>
      </c>
      <c r="H125" s="32" t="s">
        <v>68</v>
      </c>
      <c r="I125" s="31"/>
      <c r="J125" s="31" t="str">
        <f>IFERROR(__xludf.DUMMYFUNCTION("IF(ISBLANK(I125), """", GOOGLETRANSLATE(I125, ""es"", ""en""))"),"")</f>
        <v/>
      </c>
    </row>
    <row r="126" ht="15.75" customHeight="1">
      <c r="A126" s="8"/>
      <c r="B126" s="30" t="s">
        <v>55</v>
      </c>
      <c r="C126" s="31" t="s">
        <v>60</v>
      </c>
      <c r="D126" s="31">
        <v>4.0</v>
      </c>
      <c r="E126" s="30">
        <v>10.0</v>
      </c>
      <c r="F126" s="30">
        <v>0.0</v>
      </c>
      <c r="G126" s="32" t="s">
        <v>100</v>
      </c>
      <c r="H126" s="32">
        <v>0.0</v>
      </c>
      <c r="I126" s="31"/>
      <c r="J126" s="31" t="str">
        <f>IFERROR(__xludf.DUMMYFUNCTION("IF(ISBLANK(I126), """", GOOGLETRANSLATE(I126, ""es"", ""en""))"),"")</f>
        <v/>
      </c>
    </row>
    <row r="127" ht="15.75" customHeight="1">
      <c r="A127" s="8"/>
      <c r="B127" s="30" t="s">
        <v>56</v>
      </c>
      <c r="C127" s="31" t="s">
        <v>60</v>
      </c>
      <c r="D127" s="31">
        <v>4.0</v>
      </c>
      <c r="E127" s="30">
        <v>10.0</v>
      </c>
      <c r="F127" s="30">
        <v>0.0</v>
      </c>
      <c r="G127" s="32" t="s">
        <v>61</v>
      </c>
      <c r="H127" s="32">
        <v>1.0</v>
      </c>
      <c r="I127" s="31" t="s">
        <v>101</v>
      </c>
      <c r="J127" s="31" t="str">
        <f>IFERROR(__xludf.DUMMYFUNCTION("IF(ISBLANK(I127), """", GOOGLETRANSLATE(I127, ""es"", ""en""))"),"User who inserted the record, Fields used by the institution for internal use")</f>
        <v>User who inserted the record, Fields used by the institution for internal use</v>
      </c>
    </row>
    <row r="128" ht="15.75" customHeight="1">
      <c r="A128" s="8"/>
      <c r="B128" s="30" t="s">
        <v>57</v>
      </c>
      <c r="C128" s="31" t="s">
        <v>102</v>
      </c>
      <c r="D128" s="31">
        <v>4.0</v>
      </c>
      <c r="E128" s="30"/>
      <c r="F128" s="30"/>
      <c r="G128" s="32" t="s">
        <v>61</v>
      </c>
      <c r="H128" s="44">
        <v>42286.0</v>
      </c>
      <c r="I128" s="31" t="s">
        <v>103</v>
      </c>
      <c r="J128" s="31" t="str">
        <f>IFERROR(__xludf.DUMMYFUNCTION("IF(ISBLANK(I128), """", GOOGLETRANSLATE(I128, ""es"", ""en""))"),"Insertion date, Fields used by the institution for internal use")</f>
        <v>Insertion date, Fields used by the institution for internal use</v>
      </c>
    </row>
    <row r="129" ht="15.75" customHeight="1">
      <c r="A129" s="8"/>
      <c r="B129" s="30" t="s">
        <v>58</v>
      </c>
      <c r="C129" s="31" t="s">
        <v>60</v>
      </c>
      <c r="D129" s="31">
        <v>4.0</v>
      </c>
      <c r="E129" s="30">
        <v>10.0</v>
      </c>
      <c r="F129" s="30">
        <v>0.0</v>
      </c>
      <c r="G129" s="32" t="s">
        <v>100</v>
      </c>
      <c r="H129" s="32">
        <v>53.0</v>
      </c>
      <c r="I129" s="31" t="s">
        <v>104</v>
      </c>
      <c r="J129" s="31" t="str">
        <f>IFERROR(__xludf.DUMMYFUNCTION("IF(ISBLANK(I129), """", GOOGLETRANSLATE(I129, ""es"", ""en""))"),"Update User Callsign")</f>
        <v>Update User Callsign</v>
      </c>
    </row>
    <row r="130" ht="15.75" customHeight="1">
      <c r="A130" s="8"/>
      <c r="B130" s="30" t="s">
        <v>59</v>
      </c>
      <c r="C130" s="31" t="s">
        <v>102</v>
      </c>
      <c r="D130" s="31">
        <v>4.0</v>
      </c>
      <c r="E130" s="30"/>
      <c r="F130" s="30"/>
      <c r="G130" s="32" t="s">
        <v>100</v>
      </c>
      <c r="H130" s="44">
        <v>44175.44861111111</v>
      </c>
      <c r="I130" s="31" t="s">
        <v>105</v>
      </c>
      <c r="J130" s="31" t="str">
        <f>IFERROR(__xludf.DUMMYFUNCTION("IF(ISBLANK(I130), """", GOOGLETRANSLATE(I130, ""es"", ""en""))"),"Update date")</f>
        <v>Update date</v>
      </c>
    </row>
    <row r="131" ht="15.75" customHeight="1">
      <c r="A131" s="8"/>
      <c r="B131" s="30" t="s">
        <v>260</v>
      </c>
      <c r="C131" s="31" t="s">
        <v>220</v>
      </c>
      <c r="D131" s="31">
        <v>17.0</v>
      </c>
      <c r="E131" s="30">
        <v>38.0</v>
      </c>
      <c r="F131" s="30">
        <v>2.0</v>
      </c>
      <c r="G131" s="32" t="s">
        <v>100</v>
      </c>
      <c r="H131" s="32" t="s">
        <v>194</v>
      </c>
      <c r="I131" s="50" t="s">
        <v>342</v>
      </c>
      <c r="J131" s="31" t="str">
        <f>IFERROR(__xludf.DUMMYFUNCTION("IF(ISBLANK(I131), """", GOOGLETRANSLATE(I131, ""es"", ""en""))"),"Total cost (Pending, these are new fields=")</f>
        <v>Total cost (Pending, these are new fields=</v>
      </c>
    </row>
    <row r="132" ht="15.75" customHeight="1">
      <c r="A132" s="8"/>
      <c r="B132" s="30" t="s">
        <v>261</v>
      </c>
      <c r="C132" s="31" t="s">
        <v>220</v>
      </c>
      <c r="D132" s="31">
        <v>17.0</v>
      </c>
      <c r="E132" s="30">
        <v>38.0</v>
      </c>
      <c r="F132" s="30">
        <v>2.0</v>
      </c>
      <c r="G132" s="32" t="s">
        <v>100</v>
      </c>
      <c r="H132" s="32" t="s">
        <v>287</v>
      </c>
      <c r="I132" s="50" t="s">
        <v>342</v>
      </c>
      <c r="J132" s="31" t="str">
        <f>IFERROR(__xludf.DUMMYFUNCTION("IF(ISBLANK(I132), """", GOOGLETRANSLATE(I132, ""es"", ""en""))"),"Total cost (Pending, these are new fields=")</f>
        <v>Total cost (Pending, these are new fields=</v>
      </c>
    </row>
    <row r="133" ht="15.75" customHeight="1">
      <c r="A133" s="8"/>
      <c r="B133" s="30" t="s">
        <v>262</v>
      </c>
      <c r="C133" s="31" t="s">
        <v>220</v>
      </c>
      <c r="D133" s="31">
        <v>17.0</v>
      </c>
      <c r="E133" s="30">
        <v>38.0</v>
      </c>
      <c r="F133" s="30">
        <v>2.0</v>
      </c>
      <c r="G133" s="32" t="s">
        <v>100</v>
      </c>
      <c r="H133" s="32" t="s">
        <v>288</v>
      </c>
      <c r="I133" s="50" t="s">
        <v>342</v>
      </c>
      <c r="J133" s="31" t="str">
        <f>IFERROR(__xludf.DUMMYFUNCTION("IF(ISBLANK(I133), """", GOOGLETRANSLATE(I133, ""es"", ""en""))"),"Total cost (Pending, these are new fields=")</f>
        <v>Total cost (Pending, these are new fields=</v>
      </c>
    </row>
    <row r="134" ht="15.75" customHeight="1">
      <c r="C134" s="4"/>
      <c r="D134" s="4"/>
      <c r="H134" s="3"/>
      <c r="I134" s="4"/>
    </row>
    <row r="135" ht="15.75" customHeight="1">
      <c r="C135" s="4"/>
      <c r="D135" s="4"/>
      <c r="H135" s="3"/>
      <c r="I135" s="4"/>
    </row>
    <row r="136" ht="15.75" customHeight="1">
      <c r="C136" s="4"/>
      <c r="D136" s="4"/>
      <c r="H136" s="3"/>
      <c r="I136" s="4"/>
    </row>
    <row r="137" ht="15.75" customHeight="1">
      <c r="C137" s="4"/>
      <c r="D137" s="4"/>
      <c r="H137" s="3"/>
      <c r="I137" s="4"/>
    </row>
    <row r="138" ht="15.75" customHeight="1">
      <c r="A138" s="17"/>
      <c r="B138" s="38" t="s">
        <v>343</v>
      </c>
      <c r="C138" s="20"/>
      <c r="D138" s="20"/>
      <c r="E138" s="20"/>
      <c r="F138" s="20"/>
      <c r="G138" s="20"/>
      <c r="H138" s="20"/>
      <c r="I138" s="20"/>
      <c r="J138" s="22"/>
    </row>
    <row r="139" ht="33.75" customHeight="1">
      <c r="A139" s="34"/>
      <c r="B139" s="35" t="s">
        <v>344</v>
      </c>
      <c r="C139" s="20"/>
      <c r="D139" s="20"/>
      <c r="E139" s="20"/>
      <c r="F139" s="20"/>
      <c r="G139" s="22"/>
      <c r="H139" s="35" t="str">
        <f>IFERROR(__xludf.DUMMYFUNCTION("IF(ISBLANK(B139), """", GOOGLETRANSLATE(B139, ""es"", ""en""))"),"Information regarding investment projects, each of the projects is identified as well as their associated characteristics.")</f>
        <v>Information regarding investment projects, each of the projects is identified as well as their associated characteristics.</v>
      </c>
      <c r="I139" s="20"/>
      <c r="J139" s="22"/>
      <c r="K139" s="23"/>
      <c r="L139" s="23"/>
      <c r="M139" s="24" t="s">
        <v>33</v>
      </c>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3"/>
      <c r="BJ139" s="23"/>
      <c r="BK139" s="23"/>
      <c r="BL139" s="23"/>
      <c r="BM139" s="23"/>
      <c r="BN139" s="23"/>
      <c r="BO139" s="23"/>
      <c r="BP139" s="23"/>
      <c r="BQ139" s="23"/>
      <c r="BR139" s="23"/>
      <c r="BS139" s="51"/>
      <c r="BT139" s="23"/>
      <c r="BU139" s="23"/>
      <c r="BV139" s="23"/>
      <c r="BW139" s="23"/>
      <c r="BX139" s="23"/>
      <c r="BY139" s="23"/>
      <c r="BZ139" s="23"/>
      <c r="CA139" s="23"/>
      <c r="CB139" s="23"/>
    </row>
    <row r="140" ht="15.75" customHeight="1">
      <c r="A140" s="25"/>
      <c r="B140" s="26" t="s">
        <v>34</v>
      </c>
      <c r="C140" s="27" t="s">
        <v>35</v>
      </c>
      <c r="D140" s="27" t="s">
        <v>36</v>
      </c>
      <c r="E140" s="26" t="s">
        <v>37</v>
      </c>
      <c r="F140" s="26" t="s">
        <v>38</v>
      </c>
      <c r="G140" s="26" t="s">
        <v>39</v>
      </c>
      <c r="H140" s="28" t="s">
        <v>40</v>
      </c>
      <c r="I140" s="28" t="s">
        <v>41</v>
      </c>
      <c r="J140" s="28" t="s">
        <v>42</v>
      </c>
      <c r="K140" s="40" t="s">
        <v>345</v>
      </c>
      <c r="M140" s="6" t="s">
        <v>158</v>
      </c>
      <c r="N140" s="6" t="s">
        <v>346</v>
      </c>
      <c r="O140" s="6" t="s">
        <v>347</v>
      </c>
      <c r="P140" s="6" t="s">
        <v>348</v>
      </c>
      <c r="Q140" s="6" t="s">
        <v>349</v>
      </c>
      <c r="R140" s="6" t="s">
        <v>350</v>
      </c>
      <c r="S140" s="6" t="s">
        <v>351</v>
      </c>
      <c r="T140" s="6" t="s">
        <v>352</v>
      </c>
      <c r="U140" s="6" t="s">
        <v>353</v>
      </c>
      <c r="V140" s="6" t="s">
        <v>354</v>
      </c>
      <c r="W140" s="6" t="s">
        <v>355</v>
      </c>
      <c r="X140" s="6" t="s">
        <v>356</v>
      </c>
      <c r="Y140" s="6" t="s">
        <v>357</v>
      </c>
      <c r="Z140" s="6" t="s">
        <v>358</v>
      </c>
      <c r="AA140" s="6" t="s">
        <v>359</v>
      </c>
      <c r="AB140" s="6" t="s">
        <v>360</v>
      </c>
      <c r="AC140" s="6" t="s">
        <v>361</v>
      </c>
      <c r="AD140" s="6" t="s">
        <v>362</v>
      </c>
      <c r="AE140" s="6" t="s">
        <v>363</v>
      </c>
      <c r="AF140" s="6" t="s">
        <v>364</v>
      </c>
      <c r="AG140" s="6" t="s">
        <v>365</v>
      </c>
      <c r="AH140" s="6" t="s">
        <v>366</v>
      </c>
      <c r="AI140" s="6" t="s">
        <v>367</v>
      </c>
      <c r="AJ140" s="6" t="s">
        <v>43</v>
      </c>
      <c r="AK140" s="6" t="s">
        <v>368</v>
      </c>
      <c r="AL140" s="6" t="s">
        <v>369</v>
      </c>
      <c r="AM140" s="6" t="s">
        <v>370</v>
      </c>
      <c r="AN140" s="6" t="s">
        <v>371</v>
      </c>
      <c r="AO140" s="6" t="s">
        <v>109</v>
      </c>
      <c r="AP140" s="6" t="s">
        <v>372</v>
      </c>
      <c r="AQ140" s="6" t="s">
        <v>373</v>
      </c>
      <c r="AR140" s="6" t="s">
        <v>374</v>
      </c>
      <c r="AS140" s="6" t="s">
        <v>375</v>
      </c>
      <c r="AT140" s="6" t="s">
        <v>376</v>
      </c>
      <c r="AU140" s="6" t="s">
        <v>377</v>
      </c>
      <c r="AV140" s="6" t="s">
        <v>113</v>
      </c>
      <c r="AW140" s="6" t="s">
        <v>378</v>
      </c>
      <c r="AX140" s="6" t="s">
        <v>379</v>
      </c>
      <c r="AY140" s="6" t="s">
        <v>380</v>
      </c>
      <c r="AZ140" s="6" t="s">
        <v>381</v>
      </c>
      <c r="BA140" s="6" t="s">
        <v>382</v>
      </c>
      <c r="BB140" s="6" t="s">
        <v>383</v>
      </c>
      <c r="BC140" s="6" t="s">
        <v>384</v>
      </c>
      <c r="BD140" s="6" t="s">
        <v>385</v>
      </c>
      <c r="BE140" s="6" t="s">
        <v>386</v>
      </c>
      <c r="BF140" s="6" t="s">
        <v>387</v>
      </c>
      <c r="BG140" s="6" t="s">
        <v>388</v>
      </c>
      <c r="BH140" s="6" t="s">
        <v>389</v>
      </c>
      <c r="BI140" s="6" t="s">
        <v>390</v>
      </c>
      <c r="BJ140" s="6" t="s">
        <v>391</v>
      </c>
      <c r="BK140" s="6" t="s">
        <v>392</v>
      </c>
      <c r="BL140" s="6" t="s">
        <v>393</v>
      </c>
      <c r="BM140" s="6" t="s">
        <v>394</v>
      </c>
      <c r="BN140" s="6" t="s">
        <v>54</v>
      </c>
      <c r="BO140" s="6" t="s">
        <v>55</v>
      </c>
      <c r="BP140" s="6" t="s">
        <v>56</v>
      </c>
      <c r="BQ140" s="6" t="s">
        <v>57</v>
      </c>
      <c r="BR140" s="6" t="s">
        <v>58</v>
      </c>
      <c r="BS140" s="6" t="s">
        <v>59</v>
      </c>
      <c r="BT140" s="6" t="s">
        <v>395</v>
      </c>
      <c r="BU140" s="6" t="s">
        <v>396</v>
      </c>
      <c r="BV140" s="6" t="s">
        <v>397</v>
      </c>
      <c r="BW140" s="6" t="s">
        <v>398</v>
      </c>
      <c r="BX140" s="6" t="s">
        <v>399</v>
      </c>
      <c r="BY140" s="6" t="s">
        <v>259</v>
      </c>
      <c r="BZ140" s="6" t="s">
        <v>400</v>
      </c>
      <c r="CA140" s="6" t="s">
        <v>401</v>
      </c>
      <c r="CB140" s="6" t="s">
        <v>402</v>
      </c>
    </row>
    <row r="141" ht="15.75" customHeight="1">
      <c r="A141" s="8"/>
      <c r="B141" s="30" t="s">
        <v>158</v>
      </c>
      <c r="C141" s="31" t="s">
        <v>60</v>
      </c>
      <c r="D141" s="31">
        <v>4.0</v>
      </c>
      <c r="E141" s="30">
        <v>10.0</v>
      </c>
      <c r="F141" s="30">
        <v>0.0</v>
      </c>
      <c r="G141" s="32" t="s">
        <v>61</v>
      </c>
      <c r="H141" s="32">
        <v>49.0</v>
      </c>
      <c r="I141" s="31" t="s">
        <v>403</v>
      </c>
      <c r="J141" s="31" t="str">
        <f>IFERROR(__xludf.DUMMYFUNCTION("IF(ISBLANK(I141), """", GOOGLETRANSLATE(I141, ""es"", ""en""))"),"Unique identifier of the Investment project (Meypd System)")</f>
        <v>Unique identifier of the Investment project (Meypd System)</v>
      </c>
      <c r="K141" s="42" t="s">
        <v>404</v>
      </c>
      <c r="M141" s="30">
        <v>10.0</v>
      </c>
      <c r="N141" s="30">
        <v>11327.0</v>
      </c>
      <c r="O141" s="30">
        <v>11327.0</v>
      </c>
      <c r="P141" s="30">
        <v>1.0</v>
      </c>
      <c r="Q141" s="30" t="s">
        <v>405</v>
      </c>
      <c r="R141" s="30" t="s">
        <v>406</v>
      </c>
      <c r="S141" s="30" t="s">
        <v>407</v>
      </c>
      <c r="T141" s="30" t="s">
        <v>266</v>
      </c>
      <c r="U141" s="30" t="s">
        <v>189</v>
      </c>
      <c r="V141" s="30" t="s">
        <v>66</v>
      </c>
      <c r="W141" s="30" t="s">
        <v>122</v>
      </c>
      <c r="X141" s="30" t="s">
        <v>408</v>
      </c>
      <c r="Y141" s="30">
        <v>6.0</v>
      </c>
      <c r="Z141" s="30" t="s">
        <v>409</v>
      </c>
      <c r="AA141" s="30" t="s">
        <v>410</v>
      </c>
      <c r="AB141" s="30">
        <v>0.0</v>
      </c>
      <c r="AC141" s="30">
        <v>6.0</v>
      </c>
      <c r="AD141" s="30" t="s">
        <v>411</v>
      </c>
      <c r="AE141" s="30" t="s">
        <v>412</v>
      </c>
      <c r="AF141" s="30">
        <v>50.0</v>
      </c>
      <c r="AG141" s="30">
        <v>126.0</v>
      </c>
      <c r="AH141" s="30">
        <v>2.0</v>
      </c>
      <c r="AI141" s="30" t="s">
        <v>413</v>
      </c>
      <c r="AJ141" s="30">
        <v>390.0</v>
      </c>
      <c r="AK141" s="30" t="s">
        <v>414</v>
      </c>
      <c r="AL141" s="30">
        <v>3.0</v>
      </c>
      <c r="AM141" s="30" t="s">
        <v>415</v>
      </c>
      <c r="AN141" s="30">
        <v>0.0</v>
      </c>
      <c r="AO141" s="30" t="s">
        <v>416</v>
      </c>
      <c r="AP141" s="30">
        <v>34.0</v>
      </c>
      <c r="AQ141" s="30" t="s">
        <v>146</v>
      </c>
      <c r="AR141" s="30" t="s">
        <v>145</v>
      </c>
      <c r="AS141" s="30">
        <v>34.0</v>
      </c>
      <c r="AT141" s="30" t="s">
        <v>146</v>
      </c>
      <c r="AU141" s="30" t="s">
        <v>145</v>
      </c>
      <c r="AV141" s="30" t="s">
        <v>66</v>
      </c>
      <c r="AW141" s="30" t="s">
        <v>417</v>
      </c>
      <c r="AX141" s="30">
        <v>1.0</v>
      </c>
      <c r="AY141" s="30" t="s">
        <v>418</v>
      </c>
      <c r="AZ141" s="30">
        <v>9400.0</v>
      </c>
      <c r="BA141" s="30" t="s">
        <v>419</v>
      </c>
      <c r="BB141" s="30" t="s">
        <v>420</v>
      </c>
      <c r="BC141" s="30" t="s">
        <v>421</v>
      </c>
      <c r="BD141" s="30" t="s">
        <v>66</v>
      </c>
      <c r="BE141" s="30" t="s">
        <v>67</v>
      </c>
      <c r="BF141" s="30" t="s">
        <v>422</v>
      </c>
      <c r="BG141" s="30" t="s">
        <v>423</v>
      </c>
      <c r="BH141" s="30">
        <v>0.0</v>
      </c>
      <c r="BI141" s="30"/>
      <c r="BJ141" s="30">
        <v>0.0</v>
      </c>
      <c r="BK141" s="30"/>
      <c r="BL141" s="30" t="s">
        <v>422</v>
      </c>
      <c r="BM141" s="30" t="s">
        <v>424</v>
      </c>
      <c r="BN141" s="30" t="s">
        <v>425</v>
      </c>
      <c r="BO141" s="30">
        <v>0.0</v>
      </c>
      <c r="BP141" s="30">
        <v>1.0</v>
      </c>
      <c r="BQ141" s="30" t="s">
        <v>426</v>
      </c>
      <c r="BR141" s="30">
        <v>190.0</v>
      </c>
      <c r="BS141" s="30" t="s">
        <v>427</v>
      </c>
      <c r="BT141" s="30" t="s">
        <v>428</v>
      </c>
      <c r="BU141" s="52">
        <v>36924.0</v>
      </c>
      <c r="BV141" s="30" t="s">
        <v>429</v>
      </c>
      <c r="BW141" s="30">
        <v>2012.0</v>
      </c>
      <c r="BX141" s="30">
        <v>2021.0</v>
      </c>
      <c r="BY141" s="30">
        <v>2019.0</v>
      </c>
      <c r="BZ141" s="30" t="s">
        <v>430</v>
      </c>
      <c r="CA141" s="30">
        <v>0.0</v>
      </c>
      <c r="CB141" s="30" t="s">
        <v>431</v>
      </c>
    </row>
    <row r="142" ht="15.75" customHeight="1">
      <c r="A142" s="8"/>
      <c r="B142" s="30" t="s">
        <v>346</v>
      </c>
      <c r="C142" s="31" t="s">
        <v>60</v>
      </c>
      <c r="D142" s="31">
        <v>4.0</v>
      </c>
      <c r="E142" s="30">
        <v>10.0</v>
      </c>
      <c r="F142" s="30">
        <v>0.0</v>
      </c>
      <c r="G142" s="32" t="s">
        <v>100</v>
      </c>
      <c r="H142" s="32">
        <v>3731.0</v>
      </c>
      <c r="I142" s="31" t="s">
        <v>432</v>
      </c>
      <c r="J142" s="31" t="str">
        <f>IFERROR(__xludf.DUMMYFUNCTION("IF(ISBLANK(I142), """", GOOGLETRANSLATE(I142, ""es"", ""en""))"),"Snip system investment project identifier")</f>
        <v>Snip system investment project identifier</v>
      </c>
      <c r="M142" s="30">
        <v>95.0</v>
      </c>
      <c r="N142" s="30">
        <v>4340.0</v>
      </c>
      <c r="O142" s="30">
        <v>4340.0</v>
      </c>
      <c r="P142" s="30">
        <v>1.0</v>
      </c>
      <c r="Q142" s="30" t="s">
        <v>405</v>
      </c>
      <c r="R142" s="30" t="s">
        <v>406</v>
      </c>
      <c r="S142" s="30" t="s">
        <v>407</v>
      </c>
      <c r="T142" s="30" t="s">
        <v>266</v>
      </c>
      <c r="U142" s="30" t="s">
        <v>189</v>
      </c>
      <c r="V142" s="30" t="s">
        <v>66</v>
      </c>
      <c r="W142" s="30" t="s">
        <v>122</v>
      </c>
      <c r="X142" s="30" t="s">
        <v>433</v>
      </c>
      <c r="Y142" s="30">
        <v>3.0</v>
      </c>
      <c r="Z142" s="30" t="s">
        <v>434</v>
      </c>
      <c r="AA142" s="30" t="s">
        <v>435</v>
      </c>
      <c r="AB142" s="30">
        <v>0.0</v>
      </c>
      <c r="AC142" s="30">
        <v>5.0</v>
      </c>
      <c r="AD142" s="30" t="s">
        <v>436</v>
      </c>
      <c r="AE142" s="30" t="s">
        <v>437</v>
      </c>
      <c r="AF142" s="30">
        <v>240.0</v>
      </c>
      <c r="AG142" s="30">
        <v>155.0</v>
      </c>
      <c r="AH142" s="30">
        <v>4.0</v>
      </c>
      <c r="AI142" s="30" t="s">
        <v>438</v>
      </c>
      <c r="AJ142" s="30">
        <v>222.0</v>
      </c>
      <c r="AK142" s="30" t="s">
        <v>439</v>
      </c>
      <c r="AL142" s="30">
        <v>4.0</v>
      </c>
      <c r="AM142" s="30" t="s">
        <v>440</v>
      </c>
      <c r="AN142" s="30">
        <v>0.0</v>
      </c>
      <c r="AO142" s="30" t="s">
        <v>441</v>
      </c>
      <c r="AP142" s="30">
        <v>30.0</v>
      </c>
      <c r="AQ142" s="30" t="s">
        <v>142</v>
      </c>
      <c r="AR142" s="30" t="s">
        <v>141</v>
      </c>
      <c r="AS142" s="30">
        <v>114.0</v>
      </c>
      <c r="AT142" s="30" t="s">
        <v>442</v>
      </c>
      <c r="AU142" s="30" t="s">
        <v>443</v>
      </c>
      <c r="AV142" s="30" t="s">
        <v>66</v>
      </c>
      <c r="AW142" s="30" t="s">
        <v>444</v>
      </c>
      <c r="AX142" s="30">
        <v>4.0</v>
      </c>
      <c r="AY142" s="30" t="s">
        <v>445</v>
      </c>
      <c r="AZ142" s="30">
        <v>184142.0</v>
      </c>
      <c r="BA142" s="30" t="s">
        <v>446</v>
      </c>
      <c r="BB142" s="30" t="s">
        <v>447</v>
      </c>
      <c r="BC142" s="30" t="s">
        <v>448</v>
      </c>
      <c r="BD142" s="30" t="s">
        <v>66</v>
      </c>
      <c r="BE142" s="30" t="s">
        <v>67</v>
      </c>
      <c r="BF142" s="30" t="s">
        <v>422</v>
      </c>
      <c r="BG142" s="30" t="s">
        <v>423</v>
      </c>
      <c r="BH142" s="30">
        <v>0.0</v>
      </c>
      <c r="BI142" s="30"/>
      <c r="BJ142" s="30">
        <v>0.0</v>
      </c>
      <c r="BK142" s="30"/>
      <c r="BL142" s="30" t="s">
        <v>422</v>
      </c>
      <c r="BM142" s="30" t="s">
        <v>424</v>
      </c>
      <c r="BN142" s="30" t="s">
        <v>449</v>
      </c>
      <c r="BO142" s="30">
        <v>0.0</v>
      </c>
      <c r="BP142" s="30">
        <v>1.0</v>
      </c>
      <c r="BQ142" s="30" t="s">
        <v>426</v>
      </c>
      <c r="BR142" s="30">
        <v>53.0</v>
      </c>
      <c r="BS142" s="30" t="s">
        <v>450</v>
      </c>
      <c r="BT142" s="30" t="s">
        <v>451</v>
      </c>
      <c r="BU142" s="52">
        <v>37625.0</v>
      </c>
      <c r="BV142" s="30" t="s">
        <v>452</v>
      </c>
      <c r="BW142" s="30">
        <v>2011.0</v>
      </c>
      <c r="BX142" s="30">
        <v>2021.0</v>
      </c>
      <c r="BY142" s="30">
        <v>2021.0</v>
      </c>
      <c r="BZ142" s="30" t="s">
        <v>453</v>
      </c>
      <c r="CA142" s="30">
        <v>0.0</v>
      </c>
      <c r="CB142" s="30" t="s">
        <v>454</v>
      </c>
    </row>
    <row r="143" ht="15.75" customHeight="1">
      <c r="A143" s="8"/>
      <c r="B143" s="30" t="s">
        <v>347</v>
      </c>
      <c r="C143" s="31" t="s">
        <v>82</v>
      </c>
      <c r="D143" s="31">
        <v>20.0</v>
      </c>
      <c r="E143" s="30"/>
      <c r="F143" s="30"/>
      <c r="G143" s="32" t="s">
        <v>100</v>
      </c>
      <c r="H143" s="32">
        <v>3731.0</v>
      </c>
      <c r="I143" s="31" t="s">
        <v>455</v>
      </c>
      <c r="J143" s="31" t="str">
        <f>IFERROR(__xludf.DUMMYFUNCTION("IF(ISBLANK(I143), """", GOOGLETRANSLATE(I143, ""es"", ""en""))"),"Snip system investment project identifier (Some projects were migrated from a previous version so they have a different historical code)")</f>
        <v>Snip system investment project identifier (Some projects were migrated from a previous version so they have a different historical code)</v>
      </c>
      <c r="M143" s="30">
        <v>49.0</v>
      </c>
      <c r="N143" s="30">
        <v>3731.0</v>
      </c>
      <c r="O143" s="30">
        <v>3731.0</v>
      </c>
      <c r="P143" s="30">
        <v>1.0</v>
      </c>
      <c r="Q143" s="30" t="s">
        <v>405</v>
      </c>
      <c r="R143" s="30" t="s">
        <v>406</v>
      </c>
      <c r="S143" s="30" t="s">
        <v>407</v>
      </c>
      <c r="T143" s="30" t="s">
        <v>266</v>
      </c>
      <c r="U143" s="30" t="s">
        <v>189</v>
      </c>
      <c r="V143" s="30" t="s">
        <v>66</v>
      </c>
      <c r="W143" s="30" t="s">
        <v>122</v>
      </c>
      <c r="X143" s="30" t="s">
        <v>330</v>
      </c>
      <c r="Y143" s="30">
        <v>3.0</v>
      </c>
      <c r="Z143" s="30" t="s">
        <v>434</v>
      </c>
      <c r="AA143" s="30" t="s">
        <v>456</v>
      </c>
      <c r="AB143" s="30">
        <v>1.0</v>
      </c>
      <c r="AC143" s="30">
        <v>7.0</v>
      </c>
      <c r="AD143" s="30" t="s">
        <v>457</v>
      </c>
      <c r="AE143" s="30" t="s">
        <v>458</v>
      </c>
      <c r="AF143" s="30">
        <v>155.0</v>
      </c>
      <c r="AG143" s="30">
        <v>129.0</v>
      </c>
      <c r="AH143" s="30">
        <v>2.0</v>
      </c>
      <c r="AI143" s="30" t="s">
        <v>459</v>
      </c>
      <c r="AJ143" s="30">
        <v>468.0</v>
      </c>
      <c r="AK143" s="30" t="s">
        <v>460</v>
      </c>
      <c r="AL143" s="30">
        <v>3.0</v>
      </c>
      <c r="AM143" s="30" t="s">
        <v>415</v>
      </c>
      <c r="AN143" s="30">
        <v>0.0</v>
      </c>
      <c r="AO143" s="30" t="s">
        <v>461</v>
      </c>
      <c r="AP143" s="30">
        <v>48.0</v>
      </c>
      <c r="AQ143" s="30" t="s">
        <v>462</v>
      </c>
      <c r="AR143" s="30" t="s">
        <v>463</v>
      </c>
      <c r="AS143" s="30">
        <v>66.0</v>
      </c>
      <c r="AT143" s="30" t="s">
        <v>464</v>
      </c>
      <c r="AU143" s="30" t="s">
        <v>465</v>
      </c>
      <c r="AV143" s="30" t="s">
        <v>66</v>
      </c>
      <c r="AW143" s="30"/>
      <c r="AX143" s="30">
        <v>3.0</v>
      </c>
      <c r="AY143" s="30" t="s">
        <v>466</v>
      </c>
      <c r="AZ143" s="30">
        <v>346000.0</v>
      </c>
      <c r="BA143" s="30" t="s">
        <v>467</v>
      </c>
      <c r="BB143" s="30" t="s">
        <v>468</v>
      </c>
      <c r="BC143" s="30" t="s">
        <v>469</v>
      </c>
      <c r="BD143" s="30" t="s">
        <v>66</v>
      </c>
      <c r="BE143" s="30" t="s">
        <v>67</v>
      </c>
      <c r="BF143" s="30" t="s">
        <v>422</v>
      </c>
      <c r="BG143" s="30" t="s">
        <v>423</v>
      </c>
      <c r="BH143" s="30">
        <v>0.0</v>
      </c>
      <c r="BI143" s="30"/>
      <c r="BJ143" s="30">
        <v>0.0</v>
      </c>
      <c r="BK143" s="30"/>
      <c r="BL143" s="30" t="s">
        <v>422</v>
      </c>
      <c r="BM143" s="30" t="s">
        <v>424</v>
      </c>
      <c r="BN143" s="30" t="s">
        <v>470</v>
      </c>
      <c r="BO143" s="30">
        <v>0.0</v>
      </c>
      <c r="BP143" s="30">
        <v>1.0</v>
      </c>
      <c r="BQ143" s="30" t="s">
        <v>426</v>
      </c>
      <c r="BR143" s="30">
        <v>282.0</v>
      </c>
      <c r="BS143" s="30" t="s">
        <v>471</v>
      </c>
      <c r="BT143" s="30" t="s">
        <v>472</v>
      </c>
      <c r="BU143" s="52">
        <v>36952.0</v>
      </c>
      <c r="BV143" s="30" t="s">
        <v>473</v>
      </c>
      <c r="BW143" s="30">
        <v>2010.0</v>
      </c>
      <c r="BX143" s="30">
        <v>2024.0</v>
      </c>
      <c r="BY143" s="30">
        <v>2024.0</v>
      </c>
      <c r="BZ143" s="30" t="s">
        <v>474</v>
      </c>
      <c r="CA143" s="30">
        <v>0.0</v>
      </c>
      <c r="CB143" s="30" t="s">
        <v>475</v>
      </c>
    </row>
    <row r="144" ht="15.75" customHeight="1">
      <c r="A144" s="8"/>
      <c r="B144" s="30" t="s">
        <v>348</v>
      </c>
      <c r="C144" s="31" t="s">
        <v>60</v>
      </c>
      <c r="D144" s="31">
        <v>4.0</v>
      </c>
      <c r="E144" s="30">
        <v>10.0</v>
      </c>
      <c r="F144" s="30">
        <v>0.0</v>
      </c>
      <c r="G144" s="32" t="s">
        <v>61</v>
      </c>
      <c r="H144" s="32">
        <v>1.0</v>
      </c>
      <c r="I144" s="31" t="s">
        <v>476</v>
      </c>
      <c r="J144" s="31" t="str">
        <f>IFERROR(__xludf.DUMMYFUNCTION("IF(ISBLANK(I144), """", GOOGLETRANSLATE(I144, ""es"", ""en""))"),"Project Type Identifier")</f>
        <v>Project Type Identifier</v>
      </c>
      <c r="M144" s="30">
        <v>40.0</v>
      </c>
      <c r="N144" s="30">
        <v>6810.0</v>
      </c>
      <c r="O144" s="30">
        <v>6810.0</v>
      </c>
      <c r="P144" s="30">
        <v>1.0</v>
      </c>
      <c r="Q144" s="30" t="s">
        <v>405</v>
      </c>
      <c r="R144" s="30" t="s">
        <v>406</v>
      </c>
      <c r="S144" s="30" t="s">
        <v>407</v>
      </c>
      <c r="T144" s="30" t="s">
        <v>266</v>
      </c>
      <c r="U144" s="30" t="s">
        <v>189</v>
      </c>
      <c r="V144" s="30" t="s">
        <v>66</v>
      </c>
      <c r="W144" s="30" t="s">
        <v>122</v>
      </c>
      <c r="X144" s="30" t="s">
        <v>477</v>
      </c>
      <c r="Y144" s="30">
        <v>1.0</v>
      </c>
      <c r="Z144" s="30" t="s">
        <v>478</v>
      </c>
      <c r="AA144" s="30" t="s">
        <v>479</v>
      </c>
      <c r="AB144" s="30">
        <v>0.0</v>
      </c>
      <c r="AC144" s="30">
        <v>6.0</v>
      </c>
      <c r="AD144" s="30" t="s">
        <v>480</v>
      </c>
      <c r="AE144" s="30" t="s">
        <v>481</v>
      </c>
      <c r="AF144" s="30">
        <v>1.0</v>
      </c>
      <c r="AG144" s="30">
        <v>155.0</v>
      </c>
      <c r="AH144" s="30">
        <v>4.0</v>
      </c>
      <c r="AI144" s="30" t="s">
        <v>482</v>
      </c>
      <c r="AJ144" s="30">
        <v>222.0</v>
      </c>
      <c r="AK144" s="30" t="s">
        <v>439</v>
      </c>
      <c r="AL144" s="30">
        <v>3.0</v>
      </c>
      <c r="AM144" s="30" t="s">
        <v>415</v>
      </c>
      <c r="AN144" s="30">
        <v>0.0</v>
      </c>
      <c r="AO144" s="30" t="s">
        <v>483</v>
      </c>
      <c r="AP144" s="30">
        <v>30.0</v>
      </c>
      <c r="AQ144" s="30" t="s">
        <v>142</v>
      </c>
      <c r="AR144" s="30" t="s">
        <v>141</v>
      </c>
      <c r="AS144" s="30">
        <v>105.0</v>
      </c>
      <c r="AT144" s="30" t="s">
        <v>484</v>
      </c>
      <c r="AU144" s="30" t="s">
        <v>485</v>
      </c>
      <c r="AV144" s="30" t="s">
        <v>66</v>
      </c>
      <c r="AW144" s="30"/>
      <c r="AX144" s="30">
        <v>4.0</v>
      </c>
      <c r="AY144" s="30" t="s">
        <v>445</v>
      </c>
      <c r="AZ144" s="30">
        <v>1127500.0</v>
      </c>
      <c r="BA144" s="30" t="s">
        <v>467</v>
      </c>
      <c r="BB144" s="30" t="s">
        <v>486</v>
      </c>
      <c r="BC144" s="30" t="s">
        <v>487</v>
      </c>
      <c r="BD144" s="30" t="s">
        <v>422</v>
      </c>
      <c r="BE144" s="30" t="s">
        <v>423</v>
      </c>
      <c r="BF144" s="30" t="s">
        <v>422</v>
      </c>
      <c r="BG144" s="30" t="s">
        <v>423</v>
      </c>
      <c r="BH144" s="30">
        <v>0.0</v>
      </c>
      <c r="BI144" s="30"/>
      <c r="BJ144" s="30">
        <v>0.0</v>
      </c>
      <c r="BK144" s="30"/>
      <c r="BL144" s="30" t="s">
        <v>422</v>
      </c>
      <c r="BM144" s="30" t="s">
        <v>424</v>
      </c>
      <c r="BN144" s="30" t="s">
        <v>470</v>
      </c>
      <c r="BO144" s="30">
        <v>0.0</v>
      </c>
      <c r="BP144" s="30">
        <v>1.0</v>
      </c>
      <c r="BQ144" s="30" t="s">
        <v>426</v>
      </c>
      <c r="BR144" s="30">
        <v>53.0</v>
      </c>
      <c r="BS144" s="30" t="s">
        <v>488</v>
      </c>
      <c r="BT144" s="30" t="s">
        <v>451</v>
      </c>
      <c r="BU144" s="52">
        <v>37625.0</v>
      </c>
      <c r="BV144" s="30" t="s">
        <v>452</v>
      </c>
      <c r="BW144" s="30">
        <v>2010.0</v>
      </c>
      <c r="BX144" s="30">
        <v>2024.0</v>
      </c>
      <c r="BY144" s="30">
        <v>2024.0</v>
      </c>
      <c r="BZ144" s="30" t="s">
        <v>453</v>
      </c>
      <c r="CA144" s="30">
        <v>0.0</v>
      </c>
      <c r="CB144" s="30" t="s">
        <v>454</v>
      </c>
    </row>
    <row r="145" ht="15.75" customHeight="1">
      <c r="A145" s="8"/>
      <c r="B145" s="30" t="s">
        <v>349</v>
      </c>
      <c r="C145" s="31" t="s">
        <v>82</v>
      </c>
      <c r="D145" s="31">
        <v>120.0</v>
      </c>
      <c r="E145" s="30"/>
      <c r="F145" s="30"/>
      <c r="G145" s="32" t="s">
        <v>100</v>
      </c>
      <c r="H145" s="32" t="s">
        <v>405</v>
      </c>
      <c r="I145" s="31" t="s">
        <v>489</v>
      </c>
      <c r="J145" s="31" t="str">
        <f>IFERROR(__xludf.DUMMYFUNCTION("IF(ISBLANK(I145), """", GOOGLETRANSLATE(I145, ""es"", ""en""))"),"Project Typology Text")</f>
        <v>Project Typology Text</v>
      </c>
      <c r="M145" s="30">
        <v>4335.0</v>
      </c>
      <c r="N145" s="30">
        <v>14026.0</v>
      </c>
      <c r="O145" s="30"/>
      <c r="P145" s="30">
        <v>1.0</v>
      </c>
      <c r="Q145" s="30" t="s">
        <v>405</v>
      </c>
      <c r="R145" s="30" t="s">
        <v>406</v>
      </c>
      <c r="S145" s="30" t="s">
        <v>407</v>
      </c>
      <c r="T145" s="30" t="s">
        <v>266</v>
      </c>
      <c r="U145" s="30" t="s">
        <v>189</v>
      </c>
      <c r="V145" s="30" t="s">
        <v>66</v>
      </c>
      <c r="W145" s="30" t="s">
        <v>122</v>
      </c>
      <c r="X145" s="30" t="s">
        <v>490</v>
      </c>
      <c r="Y145" s="30">
        <v>4.0</v>
      </c>
      <c r="Z145" s="30" t="s">
        <v>491</v>
      </c>
      <c r="AA145" s="30" t="s">
        <v>492</v>
      </c>
      <c r="AB145" s="30">
        <v>0.0</v>
      </c>
      <c r="AC145" s="30">
        <v>5.0</v>
      </c>
      <c r="AD145" s="30" t="s">
        <v>493</v>
      </c>
      <c r="AE145" s="30" t="s">
        <v>494</v>
      </c>
      <c r="AF145" s="30">
        <v>8001.0</v>
      </c>
      <c r="AG145" s="30">
        <v>13.0</v>
      </c>
      <c r="AH145" s="30">
        <v>4.0</v>
      </c>
      <c r="AI145" s="30" t="s">
        <v>495</v>
      </c>
      <c r="AJ145" s="30">
        <v>209.0</v>
      </c>
      <c r="AK145" s="30" t="s">
        <v>496</v>
      </c>
      <c r="AL145" s="30">
        <v>7.0</v>
      </c>
      <c r="AM145" s="30" t="s">
        <v>497</v>
      </c>
      <c r="AN145" s="30">
        <v>0.0</v>
      </c>
      <c r="AO145" s="30" t="s">
        <v>498</v>
      </c>
      <c r="AP145" s="30">
        <v>118.0</v>
      </c>
      <c r="AQ145" s="30" t="s">
        <v>499</v>
      </c>
      <c r="AR145" s="30" t="s">
        <v>500</v>
      </c>
      <c r="AS145" s="30">
        <v>118.0</v>
      </c>
      <c r="AT145" s="30" t="s">
        <v>499</v>
      </c>
      <c r="AU145" s="30" t="s">
        <v>500</v>
      </c>
      <c r="AV145" s="30" t="s">
        <v>66</v>
      </c>
      <c r="AW145" s="30" t="s">
        <v>501</v>
      </c>
      <c r="AX145" s="30">
        <v>1.0</v>
      </c>
      <c r="AY145" s="30" t="s">
        <v>418</v>
      </c>
      <c r="AZ145" s="30">
        <v>8000.0</v>
      </c>
      <c r="BA145" s="30" t="s">
        <v>502</v>
      </c>
      <c r="BB145" s="30" t="s">
        <v>503</v>
      </c>
      <c r="BC145" s="30" t="s">
        <v>504</v>
      </c>
      <c r="BD145" s="30" t="s">
        <v>422</v>
      </c>
      <c r="BE145" s="30" t="s">
        <v>423</v>
      </c>
      <c r="BF145" s="30" t="s">
        <v>422</v>
      </c>
      <c r="BG145" s="30" t="s">
        <v>423</v>
      </c>
      <c r="BH145" s="30">
        <v>0.0</v>
      </c>
      <c r="BI145" s="30"/>
      <c r="BJ145" s="30">
        <v>0.0</v>
      </c>
      <c r="BK145" s="30"/>
      <c r="BL145" s="30" t="s">
        <v>422</v>
      </c>
      <c r="BM145" s="30" t="s">
        <v>424</v>
      </c>
      <c r="BN145" s="30" t="s">
        <v>449</v>
      </c>
      <c r="BO145" s="30">
        <v>0.0</v>
      </c>
      <c r="BP145" s="30">
        <v>207.0</v>
      </c>
      <c r="BQ145" s="30" t="s">
        <v>505</v>
      </c>
      <c r="BR145" s="30">
        <v>34.0</v>
      </c>
      <c r="BS145" s="30" t="s">
        <v>506</v>
      </c>
      <c r="BT145" s="30" t="s">
        <v>451</v>
      </c>
      <c r="BU145" s="52">
        <v>36895.0</v>
      </c>
      <c r="BV145" s="30" t="s">
        <v>507</v>
      </c>
      <c r="BW145" s="30">
        <v>2018.0</v>
      </c>
      <c r="BX145" s="30">
        <v>2022.0</v>
      </c>
      <c r="BY145" s="30">
        <v>2021.0</v>
      </c>
      <c r="BZ145" s="30" t="s">
        <v>508</v>
      </c>
      <c r="CA145" s="30">
        <v>0.0</v>
      </c>
      <c r="CB145" s="30" t="s">
        <v>454</v>
      </c>
    </row>
    <row r="146" ht="15.75" customHeight="1">
      <c r="A146" s="8"/>
      <c r="B146" s="30" t="s">
        <v>350</v>
      </c>
      <c r="C146" s="31" t="s">
        <v>82</v>
      </c>
      <c r="D146" s="31">
        <v>1.0</v>
      </c>
      <c r="E146" s="30"/>
      <c r="F146" s="30"/>
      <c r="G146" s="32" t="s">
        <v>100</v>
      </c>
      <c r="H146" s="32" t="s">
        <v>406</v>
      </c>
      <c r="I146" s="31" t="s">
        <v>509</v>
      </c>
      <c r="J146" s="31" t="str">
        <f>IFERROR(__xludf.DUMMYFUNCTION("IF(ISBLANK(I146), """", GOOGLETRANSLATE(I146, ""es"", ""en""))"),"project status identifier")</f>
        <v>project status identifier</v>
      </c>
      <c r="M146" s="30">
        <v>24.0</v>
      </c>
      <c r="N146" s="30">
        <v>11352.0</v>
      </c>
      <c r="O146" s="30">
        <v>11352.0</v>
      </c>
      <c r="P146" s="30">
        <v>3.0</v>
      </c>
      <c r="Q146" s="30" t="s">
        <v>510</v>
      </c>
      <c r="R146" s="30" t="s">
        <v>422</v>
      </c>
      <c r="S146" s="30" t="s">
        <v>511</v>
      </c>
      <c r="T146" s="30" t="s">
        <v>266</v>
      </c>
      <c r="U146" s="30" t="s">
        <v>189</v>
      </c>
      <c r="V146" s="30" t="s">
        <v>66</v>
      </c>
      <c r="W146" s="30" t="s">
        <v>122</v>
      </c>
      <c r="X146" s="30" t="s">
        <v>512</v>
      </c>
      <c r="Y146" s="30">
        <v>26.0</v>
      </c>
      <c r="Z146" s="30" t="s">
        <v>513</v>
      </c>
      <c r="AA146" s="30" t="s">
        <v>514</v>
      </c>
      <c r="AB146" s="30">
        <v>0.0</v>
      </c>
      <c r="AC146" s="30">
        <v>3.0</v>
      </c>
      <c r="AD146" s="30" t="s">
        <v>515</v>
      </c>
      <c r="AE146" s="30" t="s">
        <v>516</v>
      </c>
      <c r="AF146" s="30">
        <v>5.0</v>
      </c>
      <c r="AG146" s="30">
        <v>115.0</v>
      </c>
      <c r="AH146" s="30">
        <v>1.0</v>
      </c>
      <c r="AI146" s="30" t="s">
        <v>517</v>
      </c>
      <c r="AJ146" s="30">
        <v>13.0</v>
      </c>
      <c r="AK146" s="30" t="s">
        <v>518</v>
      </c>
      <c r="AL146" s="30">
        <v>7.0</v>
      </c>
      <c r="AM146" s="30" t="s">
        <v>497</v>
      </c>
      <c r="AN146" s="30">
        <v>0.0</v>
      </c>
      <c r="AO146" s="30" t="s">
        <v>519</v>
      </c>
      <c r="AP146" s="30">
        <v>26.0</v>
      </c>
      <c r="AQ146" s="30" t="s">
        <v>135</v>
      </c>
      <c r="AR146" s="30" t="s">
        <v>134</v>
      </c>
      <c r="AS146" s="30">
        <v>26.0</v>
      </c>
      <c r="AT146" s="30" t="s">
        <v>135</v>
      </c>
      <c r="AU146" s="30" t="s">
        <v>134</v>
      </c>
      <c r="AV146" s="30" t="s">
        <v>66</v>
      </c>
      <c r="AW146" s="30" t="s">
        <v>520</v>
      </c>
      <c r="AX146" s="30">
        <v>4.0</v>
      </c>
      <c r="AY146" s="30" t="s">
        <v>445</v>
      </c>
      <c r="AZ146" s="30">
        <v>1956233.0</v>
      </c>
      <c r="BA146" s="30" t="s">
        <v>521</v>
      </c>
      <c r="BB146" s="30" t="s">
        <v>522</v>
      </c>
      <c r="BC146" s="30" t="s">
        <v>523</v>
      </c>
      <c r="BD146" s="30" t="s">
        <v>422</v>
      </c>
      <c r="BE146" s="30" t="s">
        <v>423</v>
      </c>
      <c r="BF146" s="30" t="s">
        <v>422</v>
      </c>
      <c r="BG146" s="30" t="s">
        <v>423</v>
      </c>
      <c r="BH146" s="30">
        <v>0.0</v>
      </c>
      <c r="BI146" s="30"/>
      <c r="BJ146" s="30">
        <v>0.0</v>
      </c>
      <c r="BK146" s="30"/>
      <c r="BL146" s="30" t="s">
        <v>422</v>
      </c>
      <c r="BM146" s="30" t="s">
        <v>424</v>
      </c>
      <c r="BN146" s="30" t="s">
        <v>425</v>
      </c>
      <c r="BO146" s="30">
        <v>0.0</v>
      </c>
      <c r="BP146" s="30">
        <v>1.0</v>
      </c>
      <c r="BQ146" s="30" t="s">
        <v>426</v>
      </c>
      <c r="BR146" s="30">
        <v>46.0</v>
      </c>
      <c r="BS146" s="30" t="s">
        <v>524</v>
      </c>
      <c r="BT146" s="30" t="s">
        <v>525</v>
      </c>
      <c r="BU146" s="52">
        <v>37257.0</v>
      </c>
      <c r="BV146" s="30" t="s">
        <v>526</v>
      </c>
      <c r="BW146" s="30">
        <v>2015.0</v>
      </c>
      <c r="BX146" s="30">
        <v>2020.0</v>
      </c>
      <c r="BY146" s="30">
        <v>2020.0</v>
      </c>
      <c r="BZ146" s="30" t="s">
        <v>527</v>
      </c>
      <c r="CA146" s="30">
        <v>0.0</v>
      </c>
      <c r="CB146" s="30" t="s">
        <v>431</v>
      </c>
    </row>
    <row r="147" ht="15.75" customHeight="1">
      <c r="A147" s="8"/>
      <c r="B147" s="30" t="s">
        <v>351</v>
      </c>
      <c r="C147" s="31" t="s">
        <v>82</v>
      </c>
      <c r="D147" s="31">
        <v>13.0</v>
      </c>
      <c r="E147" s="30"/>
      <c r="F147" s="30"/>
      <c r="G147" s="32" t="s">
        <v>61</v>
      </c>
      <c r="H147" s="32" t="s">
        <v>407</v>
      </c>
      <c r="I147" s="31" t="s">
        <v>528</v>
      </c>
      <c r="J147" s="31" t="str">
        <f>IFERROR(__xludf.DUMMYFUNCTION("IF(ISBLANK(I147), """", GOOGLETRANSLATE(I147, ""es"", ""en""))"),"project status")</f>
        <v>project status</v>
      </c>
      <c r="M147" s="30">
        <v>78.0</v>
      </c>
      <c r="N147" s="30">
        <v>6006.0</v>
      </c>
      <c r="O147" s="30">
        <v>6006.0</v>
      </c>
      <c r="P147" s="30">
        <v>2.0</v>
      </c>
      <c r="Q147" s="30" t="s">
        <v>529</v>
      </c>
      <c r="R147" s="30" t="s">
        <v>406</v>
      </c>
      <c r="S147" s="30" t="s">
        <v>407</v>
      </c>
      <c r="T147" s="30" t="s">
        <v>266</v>
      </c>
      <c r="U147" s="30" t="s">
        <v>189</v>
      </c>
      <c r="V147" s="30" t="s">
        <v>66</v>
      </c>
      <c r="W147" s="30" t="s">
        <v>122</v>
      </c>
      <c r="X147" s="30" t="s">
        <v>530</v>
      </c>
      <c r="Y147" s="30">
        <v>21.0</v>
      </c>
      <c r="Z147" s="30" t="s">
        <v>531</v>
      </c>
      <c r="AA147" s="30" t="s">
        <v>532</v>
      </c>
      <c r="AB147" s="30">
        <v>0.0</v>
      </c>
      <c r="AC147" s="30">
        <v>5.0</v>
      </c>
      <c r="AD147" s="30" t="s">
        <v>533</v>
      </c>
      <c r="AE147" s="30" t="s">
        <v>534</v>
      </c>
      <c r="AF147" s="30">
        <v>5.0</v>
      </c>
      <c r="AG147" s="30">
        <v>150.0</v>
      </c>
      <c r="AH147" s="30">
        <v>3.0</v>
      </c>
      <c r="AI147" s="30"/>
      <c r="AJ147" s="30">
        <v>474.0</v>
      </c>
      <c r="AK147" s="30" t="s">
        <v>535</v>
      </c>
      <c r="AL147" s="30">
        <v>7.0</v>
      </c>
      <c r="AM147" s="30" t="s">
        <v>497</v>
      </c>
      <c r="AN147" s="30">
        <v>0.0</v>
      </c>
      <c r="AO147" s="30" t="s">
        <v>536</v>
      </c>
      <c r="AP147" s="30">
        <v>51.0</v>
      </c>
      <c r="AQ147" s="30" t="s">
        <v>537</v>
      </c>
      <c r="AR147" s="30" t="s">
        <v>538</v>
      </c>
      <c r="AS147" s="30">
        <v>51.0</v>
      </c>
      <c r="AT147" s="30" t="s">
        <v>537</v>
      </c>
      <c r="AU147" s="30" t="s">
        <v>538</v>
      </c>
      <c r="AV147" s="30" t="s">
        <v>66</v>
      </c>
      <c r="AW147" s="30" t="s">
        <v>539</v>
      </c>
      <c r="AX147" s="30">
        <v>4.0</v>
      </c>
      <c r="AY147" s="30" t="s">
        <v>445</v>
      </c>
      <c r="AZ147" s="30">
        <v>40000.0</v>
      </c>
      <c r="BA147" s="30" t="s">
        <v>540</v>
      </c>
      <c r="BB147" s="30" t="s">
        <v>541</v>
      </c>
      <c r="BC147" s="30" t="s">
        <v>542</v>
      </c>
      <c r="BD147" s="30" t="s">
        <v>422</v>
      </c>
      <c r="BE147" s="30" t="s">
        <v>423</v>
      </c>
      <c r="BF147" s="30" t="s">
        <v>422</v>
      </c>
      <c r="BG147" s="30" t="s">
        <v>423</v>
      </c>
      <c r="BH147" s="30">
        <v>0.0</v>
      </c>
      <c r="BI147" s="30"/>
      <c r="BJ147" s="30">
        <v>0.0</v>
      </c>
      <c r="BK147" s="30"/>
      <c r="BL147" s="30" t="s">
        <v>422</v>
      </c>
      <c r="BM147" s="30" t="s">
        <v>424</v>
      </c>
      <c r="BN147" s="30" t="s">
        <v>425</v>
      </c>
      <c r="BO147" s="30">
        <v>0.0</v>
      </c>
      <c r="BP147" s="30">
        <v>1.0</v>
      </c>
      <c r="BQ147" s="30" t="s">
        <v>426</v>
      </c>
      <c r="BR147" s="30">
        <v>282.0</v>
      </c>
      <c r="BS147" s="30" t="s">
        <v>543</v>
      </c>
      <c r="BT147" s="30" t="s">
        <v>544</v>
      </c>
      <c r="BU147" s="52">
        <v>36925.0</v>
      </c>
      <c r="BV147" s="30" t="s">
        <v>545</v>
      </c>
      <c r="BW147" s="30">
        <v>2008.0</v>
      </c>
      <c r="BX147" s="30">
        <v>2020.0</v>
      </c>
      <c r="BY147" s="30">
        <v>2020.0</v>
      </c>
      <c r="BZ147" s="30" t="s">
        <v>546</v>
      </c>
      <c r="CA147" s="30">
        <v>0.0</v>
      </c>
      <c r="CB147" s="30" t="s">
        <v>431</v>
      </c>
    </row>
    <row r="148" ht="15.75" customHeight="1">
      <c r="A148" s="8"/>
      <c r="B148" s="30" t="s">
        <v>352</v>
      </c>
      <c r="C148" s="31" t="s">
        <v>82</v>
      </c>
      <c r="D148" s="31">
        <v>1.0</v>
      </c>
      <c r="E148" s="30"/>
      <c r="F148" s="30"/>
      <c r="G148" s="32" t="s">
        <v>100</v>
      </c>
      <c r="H148" s="32" t="s">
        <v>266</v>
      </c>
      <c r="I148" s="31" t="s">
        <v>547</v>
      </c>
      <c r="J148" s="31" t="str">
        <f>IFERROR(__xludf.DUMMYFUNCTION("IF(ISBLANK(I148), """", GOOGLETRANSLATE(I148, ""es"", ""en""))"),"Project Phase Identifier")</f>
        <v>Project Phase Identifier</v>
      </c>
      <c r="M148" s="30">
        <v>155.0</v>
      </c>
      <c r="N148" s="30">
        <v>10190.0</v>
      </c>
      <c r="O148" s="30">
        <v>10190.0</v>
      </c>
      <c r="P148" s="30">
        <v>1.0</v>
      </c>
      <c r="Q148" s="30" t="s">
        <v>405</v>
      </c>
      <c r="R148" s="30" t="s">
        <v>406</v>
      </c>
      <c r="S148" s="30" t="s">
        <v>407</v>
      </c>
      <c r="T148" s="30" t="s">
        <v>266</v>
      </c>
      <c r="U148" s="30" t="s">
        <v>189</v>
      </c>
      <c r="V148" s="30" t="s">
        <v>66</v>
      </c>
      <c r="W148" s="30" t="s">
        <v>122</v>
      </c>
      <c r="X148" s="30" t="s">
        <v>548</v>
      </c>
      <c r="Y148" s="30">
        <v>3.0</v>
      </c>
      <c r="Z148" s="30" t="s">
        <v>434</v>
      </c>
      <c r="AA148" s="30" t="s">
        <v>549</v>
      </c>
      <c r="AB148" s="30">
        <v>0.0</v>
      </c>
      <c r="AC148" s="30">
        <v>3.0</v>
      </c>
      <c r="AD148" s="30" t="s">
        <v>550</v>
      </c>
      <c r="AE148" s="30" t="s">
        <v>551</v>
      </c>
      <c r="AF148" s="30">
        <v>5.0</v>
      </c>
      <c r="AG148" s="30">
        <v>115.0</v>
      </c>
      <c r="AH148" s="30">
        <v>1.0</v>
      </c>
      <c r="AI148" s="30" t="s">
        <v>552</v>
      </c>
      <c r="AJ148" s="30">
        <v>10.0</v>
      </c>
      <c r="AK148" s="30" t="s">
        <v>553</v>
      </c>
      <c r="AL148" s="30">
        <v>5.0</v>
      </c>
      <c r="AM148" s="30" t="s">
        <v>554</v>
      </c>
      <c r="AN148" s="30">
        <v>0.0</v>
      </c>
      <c r="AO148" s="30" t="s">
        <v>555</v>
      </c>
      <c r="AP148" s="30">
        <v>46.0</v>
      </c>
      <c r="AQ148" s="30" t="s">
        <v>556</v>
      </c>
      <c r="AR148" s="30" t="s">
        <v>557</v>
      </c>
      <c r="AS148" s="30">
        <v>93.0</v>
      </c>
      <c r="AT148" s="30" t="s">
        <v>558</v>
      </c>
      <c r="AU148" s="30" t="s">
        <v>559</v>
      </c>
      <c r="AV148" s="30" t="s">
        <v>66</v>
      </c>
      <c r="AW148" s="30"/>
      <c r="AX148" s="30">
        <v>3.0</v>
      </c>
      <c r="AY148" s="30" t="s">
        <v>466</v>
      </c>
      <c r="AZ148" s="30">
        <v>628234.0</v>
      </c>
      <c r="BA148" s="30" t="s">
        <v>560</v>
      </c>
      <c r="BB148" s="30" t="s">
        <v>561</v>
      </c>
      <c r="BC148" s="30" t="s">
        <v>562</v>
      </c>
      <c r="BD148" s="30" t="s">
        <v>422</v>
      </c>
      <c r="BE148" s="30" t="s">
        <v>423</v>
      </c>
      <c r="BF148" s="30" t="s">
        <v>422</v>
      </c>
      <c r="BG148" s="30" t="s">
        <v>423</v>
      </c>
      <c r="BH148" s="30">
        <v>0.0</v>
      </c>
      <c r="BI148" s="30"/>
      <c r="BJ148" s="30">
        <v>0.0</v>
      </c>
      <c r="BK148" s="30"/>
      <c r="BL148" s="30" t="s">
        <v>422</v>
      </c>
      <c r="BM148" s="30" t="s">
        <v>424</v>
      </c>
      <c r="BN148" s="30" t="s">
        <v>449</v>
      </c>
      <c r="BO148" s="30">
        <v>0.0</v>
      </c>
      <c r="BP148" s="30">
        <v>1.0</v>
      </c>
      <c r="BQ148" s="30" t="s">
        <v>426</v>
      </c>
      <c r="BR148" s="30">
        <v>47.0</v>
      </c>
      <c r="BS148" s="30" t="s">
        <v>563</v>
      </c>
      <c r="BT148" s="30" t="s">
        <v>525</v>
      </c>
      <c r="BU148" s="52">
        <v>37257.0</v>
      </c>
      <c r="BV148" s="30" t="s">
        <v>526</v>
      </c>
      <c r="BW148" s="30">
        <v>2012.0</v>
      </c>
      <c r="BX148" s="30">
        <v>2021.0</v>
      </c>
      <c r="BY148" s="30">
        <v>2021.0</v>
      </c>
      <c r="BZ148" s="30" t="s">
        <v>564</v>
      </c>
      <c r="CA148" s="30">
        <v>0.0</v>
      </c>
      <c r="CB148" s="30" t="s">
        <v>475</v>
      </c>
    </row>
    <row r="149" ht="15.75" customHeight="1">
      <c r="A149" s="8"/>
      <c r="B149" s="30" t="s">
        <v>353</v>
      </c>
      <c r="C149" s="31" t="s">
        <v>82</v>
      </c>
      <c r="D149" s="31">
        <v>60.0</v>
      </c>
      <c r="E149" s="30"/>
      <c r="F149" s="30"/>
      <c r="G149" s="32" t="s">
        <v>61</v>
      </c>
      <c r="H149" s="32" t="s">
        <v>189</v>
      </c>
      <c r="I149" s="31" t="s">
        <v>565</v>
      </c>
      <c r="J149" s="31" t="str">
        <f>IFERROR(__xludf.DUMMYFUNCTION("IF(ISBLANK(I149), """", GOOGLETRANSLATE(I149, ""es"", ""en""))"),"Project phase description")</f>
        <v>Project phase description</v>
      </c>
      <c r="M149" s="30">
        <v>75.0</v>
      </c>
      <c r="N149" s="30">
        <v>5357.0</v>
      </c>
      <c r="O149" s="30">
        <v>5357.0</v>
      </c>
      <c r="P149" s="30">
        <v>1.0</v>
      </c>
      <c r="Q149" s="30" t="s">
        <v>405</v>
      </c>
      <c r="R149" s="30" t="s">
        <v>406</v>
      </c>
      <c r="S149" s="30" t="s">
        <v>407</v>
      </c>
      <c r="T149" s="30" t="s">
        <v>266</v>
      </c>
      <c r="U149" s="30" t="s">
        <v>189</v>
      </c>
      <c r="V149" s="30" t="s">
        <v>66</v>
      </c>
      <c r="W149" s="30" t="s">
        <v>122</v>
      </c>
      <c r="X149" s="30" t="s">
        <v>566</v>
      </c>
      <c r="Y149" s="30">
        <v>3.0</v>
      </c>
      <c r="Z149" s="30" t="s">
        <v>434</v>
      </c>
      <c r="AA149" s="30" t="s">
        <v>567</v>
      </c>
      <c r="AB149" s="30">
        <v>0.0</v>
      </c>
      <c r="AC149" s="30">
        <v>6.0</v>
      </c>
      <c r="AD149" s="30" t="s">
        <v>568</v>
      </c>
      <c r="AE149" s="30" t="s">
        <v>569</v>
      </c>
      <c r="AF149" s="30">
        <v>325.0</v>
      </c>
      <c r="AG149" s="30">
        <v>155.0</v>
      </c>
      <c r="AH149" s="30">
        <v>4.0</v>
      </c>
      <c r="AI149" s="30" t="s">
        <v>570</v>
      </c>
      <c r="AJ149" s="30">
        <v>222.0</v>
      </c>
      <c r="AK149" s="30" t="s">
        <v>439</v>
      </c>
      <c r="AL149" s="30">
        <v>4.0</v>
      </c>
      <c r="AM149" s="30" t="s">
        <v>440</v>
      </c>
      <c r="AN149" s="30">
        <v>0.0</v>
      </c>
      <c r="AO149" s="30" t="s">
        <v>571</v>
      </c>
      <c r="AP149" s="30">
        <v>30.0</v>
      </c>
      <c r="AQ149" s="30" t="s">
        <v>142</v>
      </c>
      <c r="AR149" s="30" t="s">
        <v>141</v>
      </c>
      <c r="AS149" s="30">
        <v>114.0</v>
      </c>
      <c r="AT149" s="30" t="s">
        <v>442</v>
      </c>
      <c r="AU149" s="30" t="s">
        <v>443</v>
      </c>
      <c r="AV149" s="30" t="s">
        <v>66</v>
      </c>
      <c r="AW149" s="30"/>
      <c r="AX149" s="30">
        <v>3.0</v>
      </c>
      <c r="AY149" s="30" t="s">
        <v>466</v>
      </c>
      <c r="AZ149" s="30">
        <v>26564.0</v>
      </c>
      <c r="BA149" s="30" t="s">
        <v>572</v>
      </c>
      <c r="BB149" s="30" t="s">
        <v>573</v>
      </c>
      <c r="BC149" s="30" t="s">
        <v>574</v>
      </c>
      <c r="BD149" s="30" t="s">
        <v>66</v>
      </c>
      <c r="BE149" s="30" t="s">
        <v>67</v>
      </c>
      <c r="BF149" s="30" t="s">
        <v>422</v>
      </c>
      <c r="BG149" s="30" t="s">
        <v>423</v>
      </c>
      <c r="BH149" s="30">
        <v>0.0</v>
      </c>
      <c r="BI149" s="30"/>
      <c r="BJ149" s="30">
        <v>0.0</v>
      </c>
      <c r="BK149" s="30"/>
      <c r="BL149" s="30" t="s">
        <v>422</v>
      </c>
      <c r="BM149" s="30" t="s">
        <v>424</v>
      </c>
      <c r="BN149" s="30" t="s">
        <v>449</v>
      </c>
      <c r="BO149" s="30">
        <v>0.0</v>
      </c>
      <c r="BP149" s="30">
        <v>1.0</v>
      </c>
      <c r="BQ149" s="30" t="s">
        <v>426</v>
      </c>
      <c r="BR149" s="30">
        <v>53.0</v>
      </c>
      <c r="BS149" s="30" t="s">
        <v>575</v>
      </c>
      <c r="BT149" s="30" t="s">
        <v>451</v>
      </c>
      <c r="BU149" s="52">
        <v>37625.0</v>
      </c>
      <c r="BV149" s="30" t="s">
        <v>452</v>
      </c>
      <c r="BW149" s="30">
        <v>2010.0</v>
      </c>
      <c r="BX149" s="30">
        <v>2021.0</v>
      </c>
      <c r="BY149" s="30">
        <v>2021.0</v>
      </c>
      <c r="BZ149" s="30" t="s">
        <v>453</v>
      </c>
      <c r="CA149" s="30">
        <v>0.0</v>
      </c>
      <c r="CB149" s="30" t="s">
        <v>454</v>
      </c>
    </row>
    <row r="150" ht="15.75" customHeight="1">
      <c r="A150" s="8"/>
      <c r="B150" s="30" t="s">
        <v>354</v>
      </c>
      <c r="C150" s="31" t="s">
        <v>82</v>
      </c>
      <c r="D150" s="31">
        <v>1.0</v>
      </c>
      <c r="E150" s="30"/>
      <c r="F150" s="30"/>
      <c r="G150" s="32" t="s">
        <v>100</v>
      </c>
      <c r="H150" s="32" t="s">
        <v>66</v>
      </c>
      <c r="I150" s="31" t="s">
        <v>576</v>
      </c>
      <c r="J150" s="31" t="str">
        <f>IFERROR(__xludf.DUMMYFUNCTION("IF(ISBLANK(I150), """", GOOGLETRANSLATE(I150, ""es"", ""en""))"),"Project Type Identifier")</f>
        <v>Project Type Identifier</v>
      </c>
      <c r="M150" s="30">
        <v>259.0</v>
      </c>
      <c r="N150" s="30">
        <v>1441.0</v>
      </c>
      <c r="O150" s="30">
        <v>1441.0</v>
      </c>
      <c r="P150" s="30">
        <v>1.0</v>
      </c>
      <c r="Q150" s="30" t="s">
        <v>405</v>
      </c>
      <c r="R150" s="30" t="s">
        <v>406</v>
      </c>
      <c r="S150" s="30" t="s">
        <v>407</v>
      </c>
      <c r="T150" s="30" t="s">
        <v>266</v>
      </c>
      <c r="U150" s="30" t="s">
        <v>189</v>
      </c>
      <c r="V150" s="30" t="s">
        <v>66</v>
      </c>
      <c r="W150" s="30" t="s">
        <v>122</v>
      </c>
      <c r="X150" s="30" t="s">
        <v>577</v>
      </c>
      <c r="Y150" s="30">
        <v>1.0</v>
      </c>
      <c r="Z150" s="30" t="s">
        <v>478</v>
      </c>
      <c r="AA150" s="30" t="s">
        <v>578</v>
      </c>
      <c r="AB150" s="30">
        <v>0.0</v>
      </c>
      <c r="AC150" s="30">
        <v>5.0</v>
      </c>
      <c r="AD150" s="30" t="s">
        <v>579</v>
      </c>
      <c r="AE150" s="30" t="s">
        <v>580</v>
      </c>
      <c r="AF150" s="30">
        <v>1.0</v>
      </c>
      <c r="AG150" s="30">
        <v>10.0</v>
      </c>
      <c r="AH150" s="30">
        <v>3.0</v>
      </c>
      <c r="AI150" s="30" t="s">
        <v>581</v>
      </c>
      <c r="AJ150" s="30">
        <v>222.0</v>
      </c>
      <c r="AK150" s="30" t="s">
        <v>439</v>
      </c>
      <c r="AL150" s="30">
        <v>4.0</v>
      </c>
      <c r="AM150" s="30" t="s">
        <v>440</v>
      </c>
      <c r="AN150" s="30">
        <v>0.0</v>
      </c>
      <c r="AO150" s="30" t="s">
        <v>582</v>
      </c>
      <c r="AP150" s="30">
        <v>30.0</v>
      </c>
      <c r="AQ150" s="30" t="s">
        <v>142</v>
      </c>
      <c r="AR150" s="30" t="s">
        <v>141</v>
      </c>
      <c r="AS150" s="30">
        <v>123.0</v>
      </c>
      <c r="AT150" s="30" t="s">
        <v>583</v>
      </c>
      <c r="AU150" s="30" t="s">
        <v>584</v>
      </c>
      <c r="AV150" s="30" t="s">
        <v>66</v>
      </c>
      <c r="AW150" s="30" t="s">
        <v>585</v>
      </c>
      <c r="AX150" s="30">
        <v>3.0</v>
      </c>
      <c r="AY150" s="30" t="s">
        <v>466</v>
      </c>
      <c r="AZ150" s="30">
        <v>11890.0</v>
      </c>
      <c r="BA150" s="30" t="s">
        <v>467</v>
      </c>
      <c r="BB150" s="30" t="s">
        <v>586</v>
      </c>
      <c r="BC150" s="30" t="s">
        <v>587</v>
      </c>
      <c r="BD150" s="30" t="s">
        <v>422</v>
      </c>
      <c r="BE150" s="30" t="s">
        <v>423</v>
      </c>
      <c r="BF150" s="30" t="s">
        <v>422</v>
      </c>
      <c r="BG150" s="30" t="s">
        <v>423</v>
      </c>
      <c r="BH150" s="30">
        <v>0.0</v>
      </c>
      <c r="BI150" s="30"/>
      <c r="BJ150" s="30">
        <v>0.0</v>
      </c>
      <c r="BK150" s="30"/>
      <c r="BL150" s="30" t="s">
        <v>422</v>
      </c>
      <c r="BM150" s="30" t="s">
        <v>424</v>
      </c>
      <c r="BN150" s="30" t="s">
        <v>425</v>
      </c>
      <c r="BO150" s="30">
        <v>0.0</v>
      </c>
      <c r="BP150" s="30">
        <v>1.0</v>
      </c>
      <c r="BQ150" s="30" t="s">
        <v>426</v>
      </c>
      <c r="BR150" s="30">
        <v>139.0</v>
      </c>
      <c r="BS150" s="30" t="s">
        <v>588</v>
      </c>
      <c r="BT150" s="30" t="s">
        <v>589</v>
      </c>
      <c r="BU150" s="52">
        <v>37624.0</v>
      </c>
      <c r="BV150" s="30" t="s">
        <v>590</v>
      </c>
      <c r="BW150" s="30">
        <v>2011.0</v>
      </c>
      <c r="BX150" s="30">
        <v>2021.0</v>
      </c>
      <c r="BY150" s="30">
        <v>2019.0</v>
      </c>
      <c r="BZ150" s="30" t="s">
        <v>453</v>
      </c>
      <c r="CA150" s="30">
        <v>0.0</v>
      </c>
      <c r="CB150" s="30" t="s">
        <v>454</v>
      </c>
    </row>
    <row r="151" ht="15.75" customHeight="1">
      <c r="A151" s="8"/>
      <c r="B151" s="30" t="s">
        <v>355</v>
      </c>
      <c r="C151" s="31" t="s">
        <v>82</v>
      </c>
      <c r="D151" s="31">
        <v>60.0</v>
      </c>
      <c r="E151" s="30"/>
      <c r="F151" s="30"/>
      <c r="G151" s="32" t="s">
        <v>61</v>
      </c>
      <c r="H151" s="32" t="s">
        <v>122</v>
      </c>
      <c r="I151" s="31" t="s">
        <v>591</v>
      </c>
      <c r="J151" s="31" t="str">
        <f>IFERROR(__xludf.DUMMYFUNCTION("IF(ISBLANK(I151), """", GOOGLETRANSLATE(I151, ""es"", ""en""))"),"Project type description")</f>
        <v>Project type description</v>
      </c>
    </row>
    <row r="152" ht="15.75" customHeight="1">
      <c r="A152" s="8"/>
      <c r="B152" s="30" t="s">
        <v>356</v>
      </c>
      <c r="C152" s="31" t="s">
        <v>82</v>
      </c>
      <c r="D152" s="31">
        <v>250.0</v>
      </c>
      <c r="E152" s="30"/>
      <c r="F152" s="30"/>
      <c r="G152" s="32" t="s">
        <v>100</v>
      </c>
      <c r="H152" s="32" t="s">
        <v>330</v>
      </c>
      <c r="I152" s="31" t="s">
        <v>592</v>
      </c>
      <c r="J152" s="31" t="str">
        <f>IFERROR(__xludf.DUMMYFUNCTION("IF(ISBLANK(I152), """", GOOGLETRANSLATE(I152, ""es"", ""en""))"),"Project description")</f>
        <v>Project description</v>
      </c>
      <c r="K152" s="40" t="s">
        <v>593</v>
      </c>
    </row>
    <row r="153" ht="15.75" customHeight="1">
      <c r="A153" s="8"/>
      <c r="B153" s="30" t="s">
        <v>357</v>
      </c>
      <c r="C153" s="31" t="s">
        <v>60</v>
      </c>
      <c r="D153" s="31">
        <v>4.0</v>
      </c>
      <c r="E153" s="30">
        <v>10.0</v>
      </c>
      <c r="F153" s="30">
        <v>0.0</v>
      </c>
      <c r="G153" s="32" t="s">
        <v>61</v>
      </c>
      <c r="H153" s="32">
        <v>3.0</v>
      </c>
      <c r="I153" s="31" t="s">
        <v>594</v>
      </c>
      <c r="J153" s="31" t="str">
        <f>IFERROR(__xludf.DUMMYFUNCTION("IF(ISBLANK(I153), """", GOOGLETRANSLATE(I153, ""es"", ""en""))"),"Project Process Type Identifier")</f>
        <v>Project Process Type Identifier</v>
      </c>
      <c r="K153" s="43" t="s">
        <v>595</v>
      </c>
    </row>
    <row r="154" ht="15.75" customHeight="1">
      <c r="A154" s="8"/>
      <c r="B154" s="30" t="s">
        <v>358</v>
      </c>
      <c r="C154" s="31" t="s">
        <v>82</v>
      </c>
      <c r="D154" s="31">
        <v>120.0</v>
      </c>
      <c r="E154" s="30"/>
      <c r="F154" s="30"/>
      <c r="G154" s="32" t="s">
        <v>100</v>
      </c>
      <c r="H154" s="32" t="s">
        <v>434</v>
      </c>
      <c r="I154" s="31" t="s">
        <v>596</v>
      </c>
      <c r="J154" s="31" t="str">
        <f>IFERROR(__xludf.DUMMYFUNCTION("IF(ISBLANK(I154), """", GOOGLETRANSLATE(I154, ""es"", ""en""))"),"Project process type text")</f>
        <v>Project process type text</v>
      </c>
    </row>
    <row r="155" ht="15.75" customHeight="1">
      <c r="A155" s="8"/>
      <c r="B155" s="30" t="s">
        <v>359</v>
      </c>
      <c r="C155" s="31" t="s">
        <v>82</v>
      </c>
      <c r="D155" s="31">
        <v>250.0</v>
      </c>
      <c r="E155" s="30"/>
      <c r="F155" s="30"/>
      <c r="G155" s="32" t="s">
        <v>100</v>
      </c>
      <c r="H155" s="32" t="s">
        <v>456</v>
      </c>
      <c r="I155" s="31" t="s">
        <v>597</v>
      </c>
      <c r="J155" s="31" t="str">
        <f>IFERROR(__xludf.DUMMYFUNCTION("IF(ISBLANK(I155), """", GOOGLETRANSLATE(I155, ""es"", ""en""))"),"Project Purpose ")</f>
        <v>Project Purpose </v>
      </c>
    </row>
    <row r="156" ht="15.75" customHeight="1">
      <c r="A156" s="8"/>
      <c r="B156" s="30" t="s">
        <v>360</v>
      </c>
      <c r="C156" s="31" t="s">
        <v>60</v>
      </c>
      <c r="D156" s="31">
        <v>4.0</v>
      </c>
      <c r="E156" s="30">
        <v>10.0</v>
      </c>
      <c r="F156" s="30">
        <v>0.0</v>
      </c>
      <c r="G156" s="32" t="s">
        <v>100</v>
      </c>
      <c r="H156" s="32">
        <v>1.0</v>
      </c>
      <c r="I156" s="31" t="s">
        <v>598</v>
      </c>
      <c r="J156" s="31" t="str">
        <f>IFERROR(__xludf.DUMMYFUNCTION("IF(ISBLANK(I156), """", GOOGLETRANSLATE(I156, ""es"", ""en""))"),"Duration of the project during the pre-investment process")</f>
        <v>Duration of the project during the pre-investment process</v>
      </c>
    </row>
    <row r="157" ht="15.75" customHeight="1">
      <c r="A157" s="8"/>
      <c r="B157" s="30" t="s">
        <v>361</v>
      </c>
      <c r="C157" s="31" t="s">
        <v>60</v>
      </c>
      <c r="D157" s="31">
        <v>4.0</v>
      </c>
      <c r="E157" s="30">
        <v>10.0</v>
      </c>
      <c r="F157" s="30">
        <v>0.0</v>
      </c>
      <c r="G157" s="32" t="s">
        <v>100</v>
      </c>
      <c r="H157" s="32">
        <v>7.0</v>
      </c>
      <c r="I157" s="31" t="s">
        <v>599</v>
      </c>
      <c r="J157" s="31" t="str">
        <f>IFERROR(__xludf.DUMMYFUNCTION("IF(ISBLANK(I157), """", GOOGLETRANSLATE(I157, ""es"", ""en""))"),"Duration of the project during the investment process")</f>
        <v>Duration of the project during the investment process</v>
      </c>
      <c r="K157" s="40" t="s">
        <v>600</v>
      </c>
    </row>
    <row r="158" ht="15.75" customHeight="1">
      <c r="A158" s="8"/>
      <c r="B158" s="30" t="s">
        <v>362</v>
      </c>
      <c r="C158" s="31" t="s">
        <v>220</v>
      </c>
      <c r="D158" s="31">
        <v>9.0</v>
      </c>
      <c r="E158" s="30">
        <v>19.0</v>
      </c>
      <c r="F158" s="30">
        <v>2.0</v>
      </c>
      <c r="G158" s="32" t="s">
        <v>100</v>
      </c>
      <c r="H158" s="32" t="s">
        <v>457</v>
      </c>
      <c r="I158" s="31" t="s">
        <v>601</v>
      </c>
      <c r="J158" s="31" t="str">
        <f>IFERROR(__xludf.DUMMYFUNCTION("IF(ISBLANK(I158), """", GOOGLETRANSLATE(I158, ""es"", ""en""))"),"Total project cost")</f>
        <v>Total project cost</v>
      </c>
      <c r="K158" s="43" t="s">
        <v>602</v>
      </c>
    </row>
    <row r="159" ht="15.75" customHeight="1">
      <c r="A159" s="8"/>
      <c r="B159" s="30" t="s">
        <v>363</v>
      </c>
      <c r="C159" s="31" t="s">
        <v>225</v>
      </c>
      <c r="D159" s="31">
        <v>8000.0</v>
      </c>
      <c r="E159" s="30"/>
      <c r="F159" s="30"/>
      <c r="G159" s="32" t="s">
        <v>100</v>
      </c>
      <c r="H159" s="32" t="s">
        <v>458</v>
      </c>
      <c r="I159" s="31" t="s">
        <v>601</v>
      </c>
      <c r="J159" s="31" t="str">
        <f>IFERROR(__xludf.DUMMYFUNCTION("IF(ISBLANK(I159), """", GOOGLETRANSLATE(I159, ""es"", ""en""))"),"Total project cost")</f>
        <v>Total project cost</v>
      </c>
    </row>
    <row r="160" ht="15.75" customHeight="1">
      <c r="A160" s="8"/>
      <c r="B160" s="30" t="s">
        <v>364</v>
      </c>
      <c r="C160" s="31" t="s">
        <v>60</v>
      </c>
      <c r="D160" s="31">
        <v>4.0</v>
      </c>
      <c r="E160" s="30">
        <v>10.0</v>
      </c>
      <c r="F160" s="30">
        <v>0.0</v>
      </c>
      <c r="G160" s="32" t="s">
        <v>100</v>
      </c>
      <c r="H160" s="32">
        <v>155.0</v>
      </c>
      <c r="I160" s="31" t="s">
        <v>603</v>
      </c>
      <c r="J160" s="31" t="str">
        <f>IFERROR(__xludf.DUMMYFUNCTION("IF(ISBLANK(I160), """", GOOGLETRANSLATE(I160, ""es"", ""en""))"),"Project Priority at the institutional level")</f>
        <v>Project Priority at the institutional level</v>
      </c>
    </row>
    <row r="161" ht="15.75" customHeight="1">
      <c r="A161" s="8"/>
      <c r="B161" s="30" t="s">
        <v>365</v>
      </c>
      <c r="C161" s="31" t="s">
        <v>60</v>
      </c>
      <c r="D161" s="31">
        <v>4.0</v>
      </c>
      <c r="E161" s="30">
        <v>10.0</v>
      </c>
      <c r="F161" s="30">
        <v>0.0</v>
      </c>
      <c r="G161" s="32" t="s">
        <v>61</v>
      </c>
      <c r="H161" s="32">
        <v>129.0</v>
      </c>
      <c r="I161" s="31" t="s">
        <v>604</v>
      </c>
      <c r="J161" s="31" t="str">
        <f>IFERROR(__xludf.DUMMYFUNCTION("IF(ISBLANK(I161), """", GOOGLETRANSLATE(I161, ""es"", ""en""))"),"Project Functional Identifier")</f>
        <v>Project Functional Identifier</v>
      </c>
    </row>
    <row r="162" ht="15.75" customHeight="1">
      <c r="A162" s="8"/>
      <c r="B162" s="30" t="s">
        <v>366</v>
      </c>
      <c r="C162" s="31" t="s">
        <v>82</v>
      </c>
      <c r="D162" s="31">
        <v>5.0</v>
      </c>
      <c r="E162" s="30"/>
      <c r="F162" s="30"/>
      <c r="G162" s="32" t="s">
        <v>61</v>
      </c>
      <c r="H162" s="32">
        <v>2.0</v>
      </c>
      <c r="I162" s="31" t="s">
        <v>605</v>
      </c>
      <c r="J162" s="31" t="str">
        <f>IFERROR(__xludf.DUMMYFUNCTION("IF(ISBLANK(I162), """", GOOGLETRANSLATE(I162, ""es"", ""en""))"),"Functional identifier of the text Project")</f>
        <v>Functional identifier of the text Project</v>
      </c>
    </row>
    <row r="163" ht="15.75" customHeight="1">
      <c r="A163" s="8"/>
      <c r="B163" s="30" t="s">
        <v>367</v>
      </c>
      <c r="C163" s="31" t="s">
        <v>82</v>
      </c>
      <c r="D163" s="31">
        <v>1024.0</v>
      </c>
      <c r="E163" s="30"/>
      <c r="F163" s="30"/>
      <c r="G163" s="32" t="s">
        <v>100</v>
      </c>
      <c r="H163" s="32" t="s">
        <v>459</v>
      </c>
      <c r="I163" s="31" t="s">
        <v>606</v>
      </c>
      <c r="J163" s="31" t="str">
        <f>IFERROR(__xludf.DUMMYFUNCTION("IF(ISBLANK(I163), """", GOOGLETRANSLATE(I163, ""es"", ""en""))"),"Description of the central problem of the investment project")</f>
        <v>Description of the central problem of the investment project</v>
      </c>
    </row>
    <row r="164" ht="15.75" customHeight="1">
      <c r="A164" s="8"/>
      <c r="B164" s="30" t="s">
        <v>43</v>
      </c>
      <c r="C164" s="31" t="s">
        <v>60</v>
      </c>
      <c r="D164" s="31">
        <v>4.0</v>
      </c>
      <c r="E164" s="30">
        <v>10.0</v>
      </c>
      <c r="F164" s="30">
        <v>0.0</v>
      </c>
      <c r="G164" s="32" t="s">
        <v>61</v>
      </c>
      <c r="H164" s="32">
        <v>468.0</v>
      </c>
      <c r="I164" s="31" t="s">
        <v>607</v>
      </c>
      <c r="J164" s="31" t="str">
        <f>IFERROR(__xludf.DUMMYFUNCTION("IF(ISBLANK(I164), """", GOOGLETRANSLATE(I164, ""es"", ""en""))"),"Identification of the entity")</f>
        <v>Identification of the entity</v>
      </c>
      <c r="K164" s="42"/>
    </row>
    <row r="165" ht="15.75" customHeight="1">
      <c r="A165" s="8"/>
      <c r="B165" s="30" t="s">
        <v>368</v>
      </c>
      <c r="C165" s="31" t="s">
        <v>82</v>
      </c>
      <c r="D165" s="31">
        <v>21.0</v>
      </c>
      <c r="E165" s="30"/>
      <c r="F165" s="30"/>
      <c r="G165" s="32" t="s">
        <v>61</v>
      </c>
      <c r="H165" s="32" t="s">
        <v>460</v>
      </c>
      <c r="I165" s="31" t="s">
        <v>608</v>
      </c>
      <c r="J165" s="31" t="str">
        <f>IFERROR(__xludf.DUMMYFUNCTION("IF(ISBLANK(I165), """", GOOGLETRANSLATE(I165, ""es"", ""en""))"),"Identification of the entity in text")</f>
        <v>Identification of the entity in text</v>
      </c>
      <c r="K165" s="42"/>
    </row>
    <row r="166" ht="15.75" customHeight="1">
      <c r="A166" s="8"/>
      <c r="B166" s="30" t="s">
        <v>369</v>
      </c>
      <c r="C166" s="31" t="s">
        <v>60</v>
      </c>
      <c r="D166" s="31">
        <v>4.0</v>
      </c>
      <c r="E166" s="30">
        <v>10.0</v>
      </c>
      <c r="F166" s="30">
        <v>0.0</v>
      </c>
      <c r="G166" s="32" t="s">
        <v>61</v>
      </c>
      <c r="H166" s="32">
        <v>3.0</v>
      </c>
      <c r="I166" s="31" t="s">
        <v>609</v>
      </c>
      <c r="J166" s="31" t="str">
        <f>IFERROR(__xludf.DUMMYFUNCTION("IF(ISBLANK(I166), """", GOOGLETRANSLATE(I166, ""es"", ""en""))"),"Identification of transversal policy")</f>
        <v>Identification of transversal policy</v>
      </c>
      <c r="K166" s="42"/>
    </row>
    <row r="167" ht="15.75" customHeight="1">
      <c r="A167" s="8"/>
      <c r="B167" s="30" t="s">
        <v>370</v>
      </c>
      <c r="C167" s="31" t="s">
        <v>82</v>
      </c>
      <c r="D167" s="31">
        <v>10.0</v>
      </c>
      <c r="E167" s="30"/>
      <c r="F167" s="30"/>
      <c r="G167" s="32" t="s">
        <v>100</v>
      </c>
      <c r="H167" s="32" t="s">
        <v>415</v>
      </c>
      <c r="I167" s="31" t="s">
        <v>610</v>
      </c>
      <c r="J167" s="31" t="str">
        <f>IFERROR(__xludf.DUMMYFUNCTION("IF(ISBLANK(I167), """", GOOGLETRANSLATE(I167, ""es"", ""en""))"),"Transversal policy defined for the project")</f>
        <v>Transversal policy defined for the project</v>
      </c>
      <c r="K167" s="42"/>
    </row>
    <row r="168" ht="15.75" customHeight="1">
      <c r="A168" s="8"/>
      <c r="B168" s="30" t="s">
        <v>371</v>
      </c>
      <c r="C168" s="31" t="s">
        <v>60</v>
      </c>
      <c r="D168" s="31">
        <v>4.0</v>
      </c>
      <c r="E168" s="30">
        <v>10.0</v>
      </c>
      <c r="F168" s="30">
        <v>0.0</v>
      </c>
      <c r="G168" s="32" t="s">
        <v>61</v>
      </c>
      <c r="H168" s="32">
        <v>0.0</v>
      </c>
      <c r="I168" s="31"/>
      <c r="J168" s="31" t="str">
        <f>IFERROR(__xludf.DUMMYFUNCTION("IF(ISBLANK(I168), """", GOOGLETRANSLATE(I168, ""es"", ""en""))"),"")</f>
        <v/>
      </c>
      <c r="K168" s="42"/>
    </row>
    <row r="169" ht="15.75" customHeight="1">
      <c r="A169" s="8"/>
      <c r="B169" s="30" t="s">
        <v>109</v>
      </c>
      <c r="C169" s="31" t="s">
        <v>82</v>
      </c>
      <c r="D169" s="31">
        <v>3072.0</v>
      </c>
      <c r="E169" s="30"/>
      <c r="F169" s="30"/>
      <c r="G169" s="32" t="s">
        <v>100</v>
      </c>
      <c r="H169" s="32" t="s">
        <v>461</v>
      </c>
      <c r="I169" s="31" t="s">
        <v>611</v>
      </c>
      <c r="J169" s="31" t="str">
        <f>IFERROR(__xludf.DUMMYFUNCTION("IF(ISBLANK(I169), """", GOOGLETRANSLATE(I169, ""es"", ""en""))"),"Description of the Investment Project in the SNIP (Public Investment System)")</f>
        <v>Description of the Investment Project in the SNIP (Public Investment System)</v>
      </c>
      <c r="K169" s="42"/>
    </row>
    <row r="170" ht="15.75" customHeight="1">
      <c r="A170" s="8"/>
      <c r="B170" s="30" t="s">
        <v>372</v>
      </c>
      <c r="C170" s="31" t="s">
        <v>60</v>
      </c>
      <c r="D170" s="31">
        <v>4.0</v>
      </c>
      <c r="E170" s="30">
        <v>10.0</v>
      </c>
      <c r="F170" s="30">
        <v>0.0</v>
      </c>
      <c r="G170" s="32" t="s">
        <v>61</v>
      </c>
      <c r="H170" s="32">
        <v>48.0</v>
      </c>
      <c r="I170" s="31" t="s">
        <v>612</v>
      </c>
      <c r="J170" s="31" t="str">
        <f>IFERROR(__xludf.DUMMYFUNCTION("IF(ISBLANK(I170), """", GOOGLETRANSLATE(I170, ""es"", ""en""))"),"Identifier of the responsible institution")</f>
        <v>Identifier of the responsible institution</v>
      </c>
      <c r="K170" s="42"/>
    </row>
    <row r="171" ht="15.75" customHeight="1">
      <c r="A171" s="8"/>
      <c r="B171" s="30" t="s">
        <v>373</v>
      </c>
      <c r="C171" s="31" t="s">
        <v>82</v>
      </c>
      <c r="D171" s="31">
        <v>30.0</v>
      </c>
      <c r="E171" s="30"/>
      <c r="F171" s="30"/>
      <c r="G171" s="32" t="s">
        <v>100</v>
      </c>
      <c r="H171" s="32" t="s">
        <v>462</v>
      </c>
      <c r="I171" s="31" t="s">
        <v>613</v>
      </c>
      <c r="J171" s="31" t="str">
        <f>IFERROR(__xludf.DUMMYFUNCTION("IF(ISBLANK(I171), """", GOOGLETRANSLATE(I171, ""es"", ""en""))"),"Acronyms of the responsible institution")</f>
        <v>Acronyms of the responsible institution</v>
      </c>
      <c r="K171" s="42"/>
    </row>
    <row r="172" ht="15.75" customHeight="1">
      <c r="A172" s="8"/>
      <c r="B172" s="30" t="s">
        <v>374</v>
      </c>
      <c r="C172" s="31" t="s">
        <v>82</v>
      </c>
      <c r="D172" s="31">
        <v>120.0</v>
      </c>
      <c r="E172" s="30"/>
      <c r="F172" s="30"/>
      <c r="G172" s="32" t="s">
        <v>100</v>
      </c>
      <c r="H172" s="32" t="s">
        <v>463</v>
      </c>
      <c r="I172" s="31" t="s">
        <v>614</v>
      </c>
      <c r="J172" s="31" t="str">
        <f>IFERROR(__xludf.DUMMYFUNCTION("IF(ISBLANK(I172), """", GOOGLETRANSLATE(I172, ""es"", ""en""))"),"Description of the responsible institution")</f>
        <v>Description of the responsible institution</v>
      </c>
      <c r="K172" s="42"/>
    </row>
    <row r="173" ht="15.75" customHeight="1">
      <c r="A173" s="8"/>
      <c r="B173" s="30" t="s">
        <v>375</v>
      </c>
      <c r="C173" s="31" t="s">
        <v>60</v>
      </c>
      <c r="D173" s="31">
        <v>4.0</v>
      </c>
      <c r="E173" s="30">
        <v>10.0</v>
      </c>
      <c r="F173" s="30">
        <v>0.0</v>
      </c>
      <c r="G173" s="32" t="s">
        <v>61</v>
      </c>
      <c r="H173" s="32">
        <v>66.0</v>
      </c>
      <c r="I173" s="31" t="s">
        <v>615</v>
      </c>
      <c r="J173" s="31" t="str">
        <f>IFERROR(__xludf.DUMMYFUNCTION("IF(ISBLANK(I173), """", GOOGLETRANSLATE(I173, ""es"", ""en""))"),"Identifier of the executing institution")</f>
        <v>Identifier of the executing institution</v>
      </c>
      <c r="K173" s="42"/>
    </row>
    <row r="174" ht="15.75" customHeight="1">
      <c r="A174" s="8"/>
      <c r="B174" s="30" t="s">
        <v>376</v>
      </c>
      <c r="C174" s="31" t="s">
        <v>82</v>
      </c>
      <c r="D174" s="31">
        <v>30.0</v>
      </c>
      <c r="E174" s="30"/>
      <c r="F174" s="30"/>
      <c r="G174" s="32" t="s">
        <v>100</v>
      </c>
      <c r="H174" s="32" t="s">
        <v>464</v>
      </c>
      <c r="I174" s="31" t="s">
        <v>616</v>
      </c>
      <c r="J174" s="31" t="str">
        <f>IFERROR(__xludf.DUMMYFUNCTION("IF(ISBLANK(I174), """", GOOGLETRANSLATE(I174, ""es"", ""en""))"),"Acronyms of the executing institution")</f>
        <v>Acronyms of the executing institution</v>
      </c>
      <c r="K174" s="42"/>
    </row>
    <row r="175" ht="15.75" customHeight="1">
      <c r="A175" s="8"/>
      <c r="B175" s="30" t="s">
        <v>377</v>
      </c>
      <c r="C175" s="31" t="s">
        <v>82</v>
      </c>
      <c r="D175" s="31">
        <v>120.0</v>
      </c>
      <c r="E175" s="30"/>
      <c r="F175" s="30"/>
      <c r="G175" s="32" t="s">
        <v>100</v>
      </c>
      <c r="H175" s="32" t="s">
        <v>465</v>
      </c>
      <c r="I175" s="31" t="s">
        <v>617</v>
      </c>
      <c r="J175" s="31" t="str">
        <f>IFERROR(__xludf.DUMMYFUNCTION("IF(ISBLANK(I175), """", GOOGLETRANSLATE(I175, ""es"", ""en""))"),"Description of the executing institution")</f>
        <v>Description of the executing institution</v>
      </c>
      <c r="K175" s="42"/>
    </row>
    <row r="176" ht="15.75" customHeight="1">
      <c r="A176" s="8"/>
      <c r="B176" s="30" t="s">
        <v>113</v>
      </c>
      <c r="C176" s="31" t="s">
        <v>82</v>
      </c>
      <c r="D176" s="31">
        <v>1.0</v>
      </c>
      <c r="E176" s="30"/>
      <c r="F176" s="30"/>
      <c r="G176" s="32" t="s">
        <v>100</v>
      </c>
      <c r="H176" s="32" t="s">
        <v>66</v>
      </c>
      <c r="I176" s="31" t="s">
        <v>618</v>
      </c>
      <c r="J176" s="31" t="str">
        <f>IFERROR(__xludf.DUMMYFUNCTION("IF(ISBLANK(I176), """", GOOGLETRANSLATE(I176, ""es"", ""en""))"),"Type of Institution")</f>
        <v>Type of Institution</v>
      </c>
      <c r="K176" s="42"/>
    </row>
    <row r="177" ht="15.75" customHeight="1">
      <c r="A177" s="8"/>
      <c r="B177" s="30" t="s">
        <v>378</v>
      </c>
      <c r="C177" s="31" t="s">
        <v>82</v>
      </c>
      <c r="D177" s="31">
        <v>2048.0</v>
      </c>
      <c r="E177" s="30"/>
      <c r="F177" s="30"/>
      <c r="G177" s="32" t="s">
        <v>100</v>
      </c>
      <c r="H177" s="32"/>
      <c r="I177" s="50" t="s">
        <v>619</v>
      </c>
      <c r="J177" s="31" t="str">
        <f>IFERROR(__xludf.DUMMYFUNCTION("IF(ISBLANK(I177), """", GOOGLETRANSLATE(I177, ""es"", ""en""))"),"(I think the beneficiaries are to be defined)")</f>
        <v>(I think the beneficiaries are to be defined)</v>
      </c>
      <c r="K177" s="42"/>
    </row>
    <row r="178" ht="15.75" customHeight="1">
      <c r="A178" s="8"/>
      <c r="B178" s="30" t="s">
        <v>379</v>
      </c>
      <c r="C178" s="31" t="s">
        <v>60</v>
      </c>
      <c r="D178" s="31">
        <v>4.0</v>
      </c>
      <c r="E178" s="30">
        <v>10.0</v>
      </c>
      <c r="F178" s="30">
        <v>0.0</v>
      </c>
      <c r="G178" s="32" t="s">
        <v>61</v>
      </c>
      <c r="H178" s="32">
        <v>3.0</v>
      </c>
      <c r="I178" s="31" t="s">
        <v>620</v>
      </c>
      <c r="J178" s="31" t="str">
        <f>IFERROR(__xludf.DUMMYFUNCTION("IF(ISBLANK(I178), """", GOOGLETRANSLATE(I178, ""es"", ""en""))"),"Identifier Area of ​​Influence of the Project (Provincial or Municipal)")</f>
        <v>Identifier Area of ​​Influence of the Project (Provincial or Municipal)</v>
      </c>
      <c r="K178" s="42"/>
    </row>
    <row r="179" ht="15.75" customHeight="1">
      <c r="A179" s="8"/>
      <c r="B179" s="30" t="s">
        <v>380</v>
      </c>
      <c r="C179" s="31" t="s">
        <v>82</v>
      </c>
      <c r="D179" s="31">
        <v>16.0</v>
      </c>
      <c r="E179" s="30"/>
      <c r="F179" s="30"/>
      <c r="G179" s="32" t="s">
        <v>61</v>
      </c>
      <c r="H179" s="32" t="s">
        <v>466</v>
      </c>
      <c r="I179" s="31" t="s">
        <v>621</v>
      </c>
      <c r="J179" s="31" t="str">
        <f>IFERROR(__xludf.DUMMYFUNCTION("IF(ISBLANK(I179), """", GOOGLETRANSLATE(I179, ""es"", ""en""))"),"Text Area of ​​Influence of the Project")</f>
        <v>Text Area of ​​Influence of the Project</v>
      </c>
      <c r="K179" s="42"/>
    </row>
    <row r="180" ht="15.75" customHeight="1">
      <c r="A180" s="8"/>
      <c r="B180" s="30" t="s">
        <v>381</v>
      </c>
      <c r="C180" s="31" t="s">
        <v>60</v>
      </c>
      <c r="D180" s="31">
        <v>4.0</v>
      </c>
      <c r="E180" s="30">
        <v>10.0</v>
      </c>
      <c r="F180" s="30">
        <v>0.0</v>
      </c>
      <c r="G180" s="32" t="s">
        <v>100</v>
      </c>
      <c r="H180" s="32">
        <v>346000.0</v>
      </c>
      <c r="I180" s="31" t="s">
        <v>622</v>
      </c>
      <c r="J180" s="31" t="str">
        <f>IFERROR(__xludf.DUMMYFUNCTION("IF(ISBLANK(I180), """", GOOGLETRANSLATE(I180, ""es"", ""en""))"),"Beneficiary population")</f>
        <v>Beneficiary population</v>
      </c>
      <c r="K180" s="42"/>
    </row>
    <row r="181" ht="15.75" customHeight="1">
      <c r="A181" s="8"/>
      <c r="B181" s="30" t="s">
        <v>382</v>
      </c>
      <c r="C181" s="31" t="s">
        <v>82</v>
      </c>
      <c r="D181" s="31">
        <v>1024.0</v>
      </c>
      <c r="E181" s="30"/>
      <c r="F181" s="30"/>
      <c r="G181" s="32" t="s">
        <v>100</v>
      </c>
      <c r="H181" s="32" t="s">
        <v>467</v>
      </c>
      <c r="I181" s="31" t="s">
        <v>623</v>
      </c>
      <c r="J181" s="31" t="str">
        <f>IFERROR(__xludf.DUMMYFUNCTION("IF(ISBLANK(I181), """", GOOGLETRANSLATE(I181, ""es"", ""en""))"),"Description of the Population or Unit Measurement of the Beneficiary Population")</f>
        <v>Description of the Population or Unit Measurement of the Beneficiary Population</v>
      </c>
      <c r="K181" s="42"/>
    </row>
    <row r="182" ht="15.75" customHeight="1">
      <c r="A182" s="8"/>
      <c r="B182" s="30" t="s">
        <v>383</v>
      </c>
      <c r="C182" s="31" t="s">
        <v>82</v>
      </c>
      <c r="D182" s="31">
        <v>7168.0</v>
      </c>
      <c r="E182" s="30"/>
      <c r="F182" s="30"/>
      <c r="G182" s="32" t="s">
        <v>100</v>
      </c>
      <c r="H182" s="32" t="s">
        <v>468</v>
      </c>
      <c r="I182" s="31" t="s">
        <v>624</v>
      </c>
      <c r="J182" s="31" t="str">
        <f>IFERROR(__xludf.DUMMYFUNCTION("IF(ISBLANK(I182), """", GOOGLETRANSLATE(I182, ""es"", ""en""))"),"Project motivation")</f>
        <v>Project motivation</v>
      </c>
      <c r="K182" s="42"/>
    </row>
    <row r="183" ht="15.75" customHeight="1">
      <c r="A183" s="8"/>
      <c r="B183" s="30" t="s">
        <v>384</v>
      </c>
      <c r="C183" s="31" t="s">
        <v>82</v>
      </c>
      <c r="D183" s="31">
        <v>1024.0</v>
      </c>
      <c r="E183" s="30"/>
      <c r="F183" s="30"/>
      <c r="G183" s="32" t="s">
        <v>100</v>
      </c>
      <c r="H183" s="32" t="s">
        <v>469</v>
      </c>
      <c r="I183" s="31" t="s">
        <v>625</v>
      </c>
      <c r="J183" s="31" t="str">
        <f>IFERROR(__xludf.DUMMYFUNCTION("IF(ISBLANK(I183), """", GOOGLETRANSLATE(I183, ""es"", ""en""))"),"Purpose of the project")</f>
        <v>Purpose of the project</v>
      </c>
      <c r="K183" s="42"/>
    </row>
    <row r="184" ht="15.75" customHeight="1">
      <c r="A184" s="8"/>
      <c r="B184" s="30" t="s">
        <v>385</v>
      </c>
      <c r="C184" s="31" t="s">
        <v>82</v>
      </c>
      <c r="D184" s="31">
        <v>1.0</v>
      </c>
      <c r="E184" s="30"/>
      <c r="F184" s="30"/>
      <c r="G184" s="32" t="s">
        <v>61</v>
      </c>
      <c r="H184" s="32" t="s">
        <v>66</v>
      </c>
      <c r="I184" s="31" t="s">
        <v>626</v>
      </c>
      <c r="J184" s="31" t="str">
        <f>IFERROR(__xludf.DUMMYFUNCTION("IF(ISBLANK(I184), """", GOOGLETRANSLATE(I184, ""es"", ""en""))"),"Definition if a prior concept existed (S is YES)")</f>
        <v>Definition if a prior concept existed (S is YES)</v>
      </c>
      <c r="K184" s="42"/>
    </row>
    <row r="185" ht="15.75" customHeight="1">
      <c r="A185" s="8"/>
      <c r="B185" s="30" t="s">
        <v>386</v>
      </c>
      <c r="C185" s="31" t="s">
        <v>82</v>
      </c>
      <c r="D185" s="31">
        <v>13.0</v>
      </c>
      <c r="E185" s="30"/>
      <c r="F185" s="30"/>
      <c r="G185" s="32" t="s">
        <v>61</v>
      </c>
      <c r="H185" s="32" t="s">
        <v>67</v>
      </c>
      <c r="I185" s="31" t="s">
        <v>627</v>
      </c>
      <c r="J185" s="31" t="str">
        <f>IFERROR(__xludf.DUMMYFUNCTION("IF(ISBLANK(I185), """", GOOGLETRANSLATE(I185, ""es"", ""en""))"),"Definition text previous concept")</f>
        <v>Definition text previous concept</v>
      </c>
      <c r="K185" s="42"/>
    </row>
    <row r="186" ht="15.75" customHeight="1">
      <c r="A186" s="8"/>
      <c r="B186" s="30" t="s">
        <v>387</v>
      </c>
      <c r="C186" s="31" t="s">
        <v>82</v>
      </c>
      <c r="D186" s="31">
        <v>1.0</v>
      </c>
      <c r="E186" s="30"/>
      <c r="F186" s="30"/>
      <c r="G186" s="32" t="s">
        <v>61</v>
      </c>
      <c r="H186" s="32" t="s">
        <v>422</v>
      </c>
      <c r="I186" s="31" t="s">
        <v>628</v>
      </c>
      <c r="J186" s="31" t="str">
        <f>IFERROR(__xludf.DUMMYFUNCTION("IF(ISBLANK(I186), """", GOOGLETRANSLATE(I186, ""es"", ""en""))"),"Indicates if the project is a subproject (N is NO)")</f>
        <v>Indicates if the project is a subproject (N is NO)</v>
      </c>
      <c r="K186" s="42"/>
    </row>
    <row r="187" ht="15.75" customHeight="1">
      <c r="A187" s="8"/>
      <c r="B187" s="30" t="s">
        <v>388</v>
      </c>
      <c r="C187" s="31" t="s">
        <v>82</v>
      </c>
      <c r="D187" s="31">
        <v>13.0</v>
      </c>
      <c r="E187" s="30"/>
      <c r="F187" s="30"/>
      <c r="G187" s="32" t="s">
        <v>61</v>
      </c>
      <c r="H187" s="32" t="s">
        <v>423</v>
      </c>
      <c r="I187" s="31" t="s">
        <v>629</v>
      </c>
      <c r="J187" s="31" t="str">
        <f>IFERROR(__xludf.DUMMYFUNCTION("IF(ISBLANK(I187), """", GOOGLETRANSLATE(I187, ""es"", ""en""))"),"Indicator in text if it is a subproject")</f>
        <v>Indicator in text if it is a subproject</v>
      </c>
      <c r="K187" s="42"/>
    </row>
    <row r="188" ht="15.75" customHeight="1">
      <c r="A188" s="8"/>
      <c r="B188" s="30" t="s">
        <v>389</v>
      </c>
      <c r="C188" s="31" t="s">
        <v>60</v>
      </c>
      <c r="D188" s="31">
        <v>4.0</v>
      </c>
      <c r="E188" s="30">
        <v>10.0</v>
      </c>
      <c r="F188" s="30">
        <v>0.0</v>
      </c>
      <c r="G188" s="32" t="s">
        <v>100</v>
      </c>
      <c r="H188" s="32">
        <v>0.0</v>
      </c>
      <c r="I188" s="31" t="s">
        <v>630</v>
      </c>
      <c r="J188" s="31" t="str">
        <f>IFERROR(__xludf.DUMMYFUNCTION("IF(ISBLANK(I188), """", GOOGLETRANSLATE(I188, ""es"", ""en""))"),"Reference population ")</f>
        <v>Reference population </v>
      </c>
      <c r="K188" s="42"/>
    </row>
    <row r="189" ht="15.75" customHeight="1">
      <c r="A189" s="8"/>
      <c r="B189" s="30" t="s">
        <v>390</v>
      </c>
      <c r="C189" s="31" t="s">
        <v>82</v>
      </c>
      <c r="D189" s="31">
        <v>1024.0</v>
      </c>
      <c r="E189" s="30"/>
      <c r="F189" s="30"/>
      <c r="G189" s="32" t="s">
        <v>100</v>
      </c>
      <c r="H189" s="32"/>
      <c r="I189" s="31" t="s">
        <v>623</v>
      </c>
      <c r="J189" s="31" t="str">
        <f>IFERROR(__xludf.DUMMYFUNCTION("IF(ISBLANK(I189), """", GOOGLETRANSLATE(I189, ""es"", ""en""))"),"Description of the Population or Unit Measurement of the Beneficiary Population")</f>
        <v>Description of the Population or Unit Measurement of the Beneficiary Population</v>
      </c>
      <c r="K189" s="42"/>
    </row>
    <row r="190" ht="15.75" customHeight="1">
      <c r="A190" s="8"/>
      <c r="B190" s="30" t="s">
        <v>391</v>
      </c>
      <c r="C190" s="31" t="s">
        <v>60</v>
      </c>
      <c r="D190" s="31">
        <v>4.0</v>
      </c>
      <c r="E190" s="30">
        <v>10.0</v>
      </c>
      <c r="F190" s="30">
        <v>0.0</v>
      </c>
      <c r="G190" s="32" t="s">
        <v>100</v>
      </c>
      <c r="H190" s="32">
        <v>0.0</v>
      </c>
      <c r="I190" s="31" t="s">
        <v>631</v>
      </c>
      <c r="J190" s="31" t="str">
        <f>IFERROR(__xludf.DUMMYFUNCTION("IF(ISBLANK(I190), """", GOOGLETRANSLATE(I190, ""es"", ""en""))"),"Affected population")</f>
        <v>Affected population</v>
      </c>
      <c r="K190" s="42"/>
    </row>
    <row r="191" ht="15.75" customHeight="1">
      <c r="A191" s="8"/>
      <c r="B191" s="30" t="s">
        <v>392</v>
      </c>
      <c r="C191" s="31" t="s">
        <v>82</v>
      </c>
      <c r="D191" s="31">
        <v>1024.0</v>
      </c>
      <c r="E191" s="30"/>
      <c r="F191" s="30"/>
      <c r="G191" s="32" t="s">
        <v>100</v>
      </c>
      <c r="H191" s="32"/>
      <c r="I191" s="31" t="s">
        <v>632</v>
      </c>
      <c r="J191" s="31" t="str">
        <f>IFERROR(__xludf.DUMMYFUNCTION("IF(ISBLANK(I191), """", GOOGLETRANSLATE(I191, ""es"", ""en""))"),"Description of the Population or Unit Measurement of the Affected Population")</f>
        <v>Description of the Population or Unit Measurement of the Affected Population</v>
      </c>
      <c r="K191" s="42"/>
    </row>
    <row r="192" ht="15.75" customHeight="1">
      <c r="A192" s="8"/>
      <c r="B192" s="30" t="s">
        <v>393</v>
      </c>
      <c r="C192" s="31" t="s">
        <v>82</v>
      </c>
      <c r="D192" s="31">
        <v>1.0</v>
      </c>
      <c r="E192" s="30"/>
      <c r="F192" s="30"/>
      <c r="G192" s="32" t="s">
        <v>61</v>
      </c>
      <c r="H192" s="32" t="s">
        <v>422</v>
      </c>
      <c r="I192" s="31" t="s">
        <v>633</v>
      </c>
      <c r="J192" s="31" t="str">
        <f>IFERROR(__xludf.DUMMYFUNCTION("IF(ISBLANK(I192), """", GOOGLETRANSLATE(I192, ""es"", ""en""))"),"Origin Identifier")</f>
        <v>Origin Identifier</v>
      </c>
      <c r="K192" s="42"/>
    </row>
    <row r="193" ht="15.75" customHeight="1">
      <c r="A193" s="8"/>
      <c r="B193" s="30" t="s">
        <v>394</v>
      </c>
      <c r="C193" s="31" t="s">
        <v>82</v>
      </c>
      <c r="D193" s="31">
        <v>27.0</v>
      </c>
      <c r="E193" s="30"/>
      <c r="F193" s="30"/>
      <c r="G193" s="32" t="s">
        <v>61</v>
      </c>
      <c r="H193" s="32" t="s">
        <v>424</v>
      </c>
      <c r="I193" s="31" t="s">
        <v>634</v>
      </c>
      <c r="J193" s="31" t="str">
        <f>IFERROR(__xludf.DUMMYFUNCTION("IF(ISBLANK(I193), """", GOOGLETRANSLATE(I193, ""es"", ""en""))"),"Origin identifier text)")</f>
        <v>Origin identifier text)</v>
      </c>
      <c r="K193" s="42"/>
    </row>
    <row r="194" ht="15.75" customHeight="1">
      <c r="A194" s="8"/>
      <c r="B194" s="30" t="s">
        <v>54</v>
      </c>
      <c r="C194" s="31" t="s">
        <v>82</v>
      </c>
      <c r="D194" s="31">
        <v>32.0</v>
      </c>
      <c r="E194" s="30"/>
      <c r="F194" s="30"/>
      <c r="G194" s="32" t="s">
        <v>61</v>
      </c>
      <c r="H194" s="32" t="s">
        <v>470</v>
      </c>
      <c r="I194" s="31" t="s">
        <v>635</v>
      </c>
      <c r="J194" s="31" t="str">
        <f>IFERROR(__xludf.DUMMYFUNCTION("IF(ISBLANK(I194), """", GOOGLETRANSLATE(I194, ""es"", ""en""))"),"Project status")</f>
        <v>Project status</v>
      </c>
      <c r="K194" s="42"/>
    </row>
    <row r="195" ht="15.75" customHeight="1">
      <c r="A195" s="8"/>
      <c r="B195" s="30" t="s">
        <v>55</v>
      </c>
      <c r="C195" s="31" t="s">
        <v>60</v>
      </c>
      <c r="D195" s="31">
        <v>4.0</v>
      </c>
      <c r="E195" s="30">
        <v>10.0</v>
      </c>
      <c r="F195" s="30">
        <v>0.0</v>
      </c>
      <c r="G195" s="32" t="s">
        <v>100</v>
      </c>
      <c r="H195" s="32">
        <v>0.0</v>
      </c>
      <c r="I195" s="31"/>
      <c r="J195" s="31" t="str">
        <f>IFERROR(__xludf.DUMMYFUNCTION("IF(ISBLANK(I195), """", GOOGLETRANSLATE(I195, ""es"", ""en""))"),"")</f>
        <v/>
      </c>
      <c r="K195" s="42"/>
    </row>
    <row r="196" ht="15.75" customHeight="1">
      <c r="A196" s="8"/>
      <c r="B196" s="30" t="s">
        <v>56</v>
      </c>
      <c r="C196" s="31" t="s">
        <v>60</v>
      </c>
      <c r="D196" s="31">
        <v>4.0</v>
      </c>
      <c r="E196" s="30">
        <v>10.0</v>
      </c>
      <c r="F196" s="30">
        <v>0.0</v>
      </c>
      <c r="G196" s="32" t="s">
        <v>61</v>
      </c>
      <c r="H196" s="32">
        <v>1.0</v>
      </c>
      <c r="I196" s="31" t="s">
        <v>101</v>
      </c>
      <c r="J196" s="31" t="str">
        <f>IFERROR(__xludf.DUMMYFUNCTION("IF(ISBLANK(I196), """", GOOGLETRANSLATE(I196, ""es"", ""en""))"),"User who inserted the record, Fields used by the institution for internal use")</f>
        <v>User who inserted the record, Fields used by the institution for internal use</v>
      </c>
      <c r="K196" s="42"/>
    </row>
    <row r="197" ht="15.75" customHeight="1">
      <c r="A197" s="8"/>
      <c r="B197" s="30" t="s">
        <v>57</v>
      </c>
      <c r="C197" s="31" t="s">
        <v>636</v>
      </c>
      <c r="D197" s="31">
        <v>7.0</v>
      </c>
      <c r="E197" s="30">
        <v>23.0</v>
      </c>
      <c r="F197" s="30">
        <v>3.0</v>
      </c>
      <c r="G197" s="32" t="s">
        <v>61</v>
      </c>
      <c r="H197" s="32" t="s">
        <v>426</v>
      </c>
      <c r="I197" s="31" t="s">
        <v>103</v>
      </c>
      <c r="J197" s="31" t="str">
        <f>IFERROR(__xludf.DUMMYFUNCTION("IF(ISBLANK(I197), """", GOOGLETRANSLATE(I197, ""es"", ""en""))"),"Insertion date, Fields used by the institution for internal use")</f>
        <v>Insertion date, Fields used by the institution for internal use</v>
      </c>
      <c r="K197" s="42"/>
    </row>
    <row r="198" ht="15.75" customHeight="1">
      <c r="A198" s="8"/>
      <c r="B198" s="30" t="s">
        <v>58</v>
      </c>
      <c r="C198" s="31" t="s">
        <v>60</v>
      </c>
      <c r="D198" s="31">
        <v>4.0</v>
      </c>
      <c r="E198" s="30">
        <v>10.0</v>
      </c>
      <c r="F198" s="30">
        <v>0.0</v>
      </c>
      <c r="G198" s="32" t="s">
        <v>100</v>
      </c>
      <c r="H198" s="32">
        <v>282.0</v>
      </c>
      <c r="I198" s="31" t="s">
        <v>104</v>
      </c>
      <c r="J198" s="31" t="str">
        <f>IFERROR(__xludf.DUMMYFUNCTION("IF(ISBLANK(I198), """", GOOGLETRANSLATE(I198, ""es"", ""en""))"),"Update User Callsign")</f>
        <v>Update User Callsign</v>
      </c>
      <c r="K198" s="42"/>
    </row>
    <row r="199" ht="15.75" customHeight="1">
      <c r="A199" s="8"/>
      <c r="B199" s="30" t="s">
        <v>59</v>
      </c>
      <c r="C199" s="31" t="s">
        <v>636</v>
      </c>
      <c r="D199" s="31">
        <v>7.0</v>
      </c>
      <c r="E199" s="30">
        <v>23.0</v>
      </c>
      <c r="F199" s="30">
        <v>3.0</v>
      </c>
      <c r="G199" s="32" t="s">
        <v>100</v>
      </c>
      <c r="H199" s="32" t="s">
        <v>471</v>
      </c>
      <c r="I199" s="31" t="s">
        <v>105</v>
      </c>
      <c r="J199" s="31" t="str">
        <f>IFERROR(__xludf.DUMMYFUNCTION("IF(ISBLANK(I199), """", GOOGLETRANSLATE(I199, ""es"", ""en""))"),"Update date")</f>
        <v>Update date</v>
      </c>
      <c r="K199" s="42"/>
    </row>
    <row r="200" ht="15.75" customHeight="1">
      <c r="A200" s="8"/>
      <c r="B200" s="30" t="s">
        <v>395</v>
      </c>
      <c r="C200" s="31" t="s">
        <v>82</v>
      </c>
      <c r="D200" s="31">
        <v>250.0</v>
      </c>
      <c r="E200" s="30"/>
      <c r="F200" s="30"/>
      <c r="G200" s="32" t="s">
        <v>100</v>
      </c>
      <c r="H200" s="32" t="s">
        <v>472</v>
      </c>
      <c r="I200" s="31" t="s">
        <v>637</v>
      </c>
      <c r="J200" s="31" t="str">
        <f>IFERROR(__xludf.DUMMYFUNCTION("IF(ISBLANK(I200), """", GOOGLETRANSLATE(I200, ""es"", ""en""))"),"Function to which the project belongs, the similar on other platforms is the equivalent of the project sector)")</f>
        <v>Function to which the project belongs, the similar on other platforms is the equivalent of the project sector)</v>
      </c>
      <c r="K200" s="42"/>
    </row>
    <row r="201" ht="15.75" customHeight="1">
      <c r="A201" s="8"/>
      <c r="B201" s="30" t="s">
        <v>396</v>
      </c>
      <c r="C201" s="31" t="s">
        <v>82</v>
      </c>
      <c r="D201" s="31">
        <v>17.0</v>
      </c>
      <c r="E201" s="30"/>
      <c r="F201" s="30"/>
      <c r="G201" s="32" t="s">
        <v>61</v>
      </c>
      <c r="H201" s="53">
        <v>36952.0</v>
      </c>
      <c r="I201" s="31" t="s">
        <v>638</v>
      </c>
      <c r="J201" s="31" t="str">
        <f>IFERROR(__xludf.DUMMYFUNCTION("IF(ISBLANK(I201), """", GOOGLETRANSLATE(I201, ""es"", ""en""))"),"Project subsection code")</f>
        <v>Project subsection code</v>
      </c>
      <c r="K201" s="42"/>
    </row>
    <row r="202" ht="15.75" customHeight="1">
      <c r="A202" s="8"/>
      <c r="B202" s="30" t="s">
        <v>397</v>
      </c>
      <c r="C202" s="31" t="s">
        <v>82</v>
      </c>
      <c r="D202" s="31">
        <v>120.0</v>
      </c>
      <c r="E202" s="30"/>
      <c r="F202" s="30"/>
      <c r="G202" s="32" t="s">
        <v>61</v>
      </c>
      <c r="H202" s="32" t="s">
        <v>473</v>
      </c>
      <c r="I202" s="31" t="s">
        <v>639</v>
      </c>
      <c r="J202" s="31" t="str">
        <f>IFERROR(__xludf.DUMMYFUNCTION("IF(ISBLANK(I202), """", GOOGLETRANSLATE(I202, ""es"", ""en""))"),"Project function in text")</f>
        <v>Project function in text</v>
      </c>
      <c r="K202" s="42"/>
    </row>
    <row r="203" ht="15.75" customHeight="1">
      <c r="A203" s="8"/>
      <c r="B203" s="30" t="s">
        <v>398</v>
      </c>
      <c r="C203" s="31" t="s">
        <v>60</v>
      </c>
      <c r="D203" s="31">
        <v>4.0</v>
      </c>
      <c r="E203" s="30">
        <v>10.0</v>
      </c>
      <c r="F203" s="30">
        <v>0.0</v>
      </c>
      <c r="G203" s="32" t="s">
        <v>100</v>
      </c>
      <c r="H203" s="32">
        <v>2010.0</v>
      </c>
      <c r="I203" s="31" t="s">
        <v>640</v>
      </c>
      <c r="J203" s="31" t="str">
        <f>IFERROR(__xludf.DUMMYFUNCTION("IF(ISBLANK(I203), """", GOOGLETRANSLATE(I203, ""es"", ""en""))"),"Project start date")</f>
        <v>Project start date</v>
      </c>
      <c r="K203" s="42"/>
    </row>
    <row r="204" ht="15.75" customHeight="1">
      <c r="A204" s="8"/>
      <c r="B204" s="30" t="s">
        <v>399</v>
      </c>
      <c r="C204" s="31" t="s">
        <v>60</v>
      </c>
      <c r="D204" s="31">
        <v>4.0</v>
      </c>
      <c r="E204" s="30">
        <v>10.0</v>
      </c>
      <c r="F204" s="30">
        <v>0.0</v>
      </c>
      <c r="G204" s="32" t="s">
        <v>100</v>
      </c>
      <c r="H204" s="32">
        <v>2024.0</v>
      </c>
      <c r="I204" s="31" t="s">
        <v>641</v>
      </c>
      <c r="J204" s="31" t="str">
        <f>IFERROR(__xludf.DUMMYFUNCTION("IF(ISBLANK(I204), """", GOOGLETRANSLATE(I204, ""es"", ""en""))"),"Project End Date")</f>
        <v>Project End Date</v>
      </c>
      <c r="K204" s="42"/>
    </row>
    <row r="205" ht="15.75" customHeight="1">
      <c r="A205" s="8"/>
      <c r="B205" s="30" t="s">
        <v>259</v>
      </c>
      <c r="C205" s="31" t="s">
        <v>60</v>
      </c>
      <c r="D205" s="31">
        <v>4.0</v>
      </c>
      <c r="E205" s="30">
        <v>10.0</v>
      </c>
      <c r="F205" s="30">
        <v>0.0</v>
      </c>
      <c r="G205" s="32" t="s">
        <v>100</v>
      </c>
      <c r="H205" s="32">
        <v>2024.0</v>
      </c>
      <c r="I205" s="31" t="s">
        <v>642</v>
      </c>
      <c r="J205" s="31" t="str">
        <f>IFERROR(__xludf.DUMMYFUNCTION("IF(ISBLANK(I205), """", GOOGLETRANSLATE(I205, ""es"", ""en""))"),"Schedule Date")</f>
        <v>Schedule Date</v>
      </c>
      <c r="K205" s="42"/>
    </row>
    <row r="206" ht="15.75" customHeight="1">
      <c r="A206" s="8"/>
      <c r="B206" s="30" t="s">
        <v>400</v>
      </c>
      <c r="C206" s="31" t="s">
        <v>82</v>
      </c>
      <c r="D206" s="31">
        <v>2048.0</v>
      </c>
      <c r="E206" s="30"/>
      <c r="F206" s="30"/>
      <c r="G206" s="32" t="s">
        <v>61</v>
      </c>
      <c r="H206" s="32" t="s">
        <v>474</v>
      </c>
      <c r="I206" s="31" t="s">
        <v>643</v>
      </c>
      <c r="J206" s="31" t="str">
        <f>IFERROR(__xludf.DUMMYFUNCTION("IF(ISBLANK(I206), """", GOOGLETRANSLATE(I206, ""es"", ""en""))"),"Description of the Final Project")</f>
        <v>Description of the Final Project</v>
      </c>
      <c r="K206" s="42"/>
    </row>
    <row r="207" ht="15.75" customHeight="1">
      <c r="A207" s="8"/>
      <c r="B207" s="30" t="s">
        <v>401</v>
      </c>
      <c r="C207" s="31" t="s">
        <v>60</v>
      </c>
      <c r="D207" s="31">
        <v>4.0</v>
      </c>
      <c r="E207" s="30">
        <v>10.0</v>
      </c>
      <c r="F207" s="30">
        <v>0.0</v>
      </c>
      <c r="G207" s="32" t="s">
        <v>100</v>
      </c>
      <c r="H207" s="32">
        <v>0.0</v>
      </c>
      <c r="I207" s="31" t="s">
        <v>644</v>
      </c>
      <c r="J207" s="31" t="str">
        <f>IFERROR(__xludf.DUMMYFUNCTION("IF(ISBLANK(I207), """", GOOGLETRANSLATE(I207, ""es"", ""en""))"),"Indentify if it is a project idea")</f>
        <v>Indentify if it is a project idea</v>
      </c>
      <c r="K207" s="42"/>
    </row>
    <row r="208" ht="15.75" customHeight="1">
      <c r="A208" s="8"/>
      <c r="B208" s="30" t="s">
        <v>402</v>
      </c>
      <c r="C208" s="31" t="s">
        <v>82</v>
      </c>
      <c r="D208" s="31">
        <v>104.0</v>
      </c>
      <c r="E208" s="30"/>
      <c r="F208" s="30"/>
      <c r="G208" s="32" t="s">
        <v>100</v>
      </c>
      <c r="H208" s="32" t="s">
        <v>475</v>
      </c>
      <c r="I208" s="31" t="s">
        <v>645</v>
      </c>
      <c r="J208" s="31" t="str">
        <f>IFERROR(__xludf.DUMMYFUNCTION("IF(ISBLANK(I208), """", GOOGLETRANSLATE(I208, ""es"", ""en""))"),"Section to which the project belongs ")</f>
        <v>Section to which the project belongs </v>
      </c>
      <c r="K208" s="42"/>
    </row>
    <row r="209" ht="15.75" customHeight="1">
      <c r="C209" s="4"/>
      <c r="D209" s="4"/>
      <c r="H209" s="3"/>
      <c r="I209" s="4"/>
    </row>
    <row r="210" ht="15.75" customHeight="1">
      <c r="C210" s="4"/>
      <c r="D210" s="4"/>
      <c r="H210" s="3"/>
      <c r="I210" s="4"/>
    </row>
    <row r="211" ht="15.75" customHeight="1">
      <c r="C211" s="4"/>
      <c r="D211" s="4"/>
      <c r="H211" s="3"/>
      <c r="I211" s="4"/>
    </row>
    <row r="212" ht="15.75" customHeight="1">
      <c r="C212" s="4"/>
      <c r="D212" s="4"/>
      <c r="H212" s="3"/>
      <c r="I212" s="4"/>
    </row>
    <row r="213" ht="15.75" customHeight="1">
      <c r="A213" s="17"/>
      <c r="B213" s="38" t="s">
        <v>646</v>
      </c>
      <c r="C213" s="20"/>
      <c r="D213" s="20"/>
      <c r="E213" s="20"/>
      <c r="F213" s="20"/>
      <c r="G213" s="20"/>
      <c r="H213" s="20"/>
      <c r="I213" s="20"/>
      <c r="J213" s="22"/>
    </row>
    <row r="214" ht="33.75" customHeight="1">
      <c r="A214" s="34"/>
      <c r="B214" s="35" t="s">
        <v>647</v>
      </c>
      <c r="C214" s="20"/>
      <c r="D214" s="20"/>
      <c r="E214" s="20"/>
      <c r="F214" s="20"/>
      <c r="G214" s="20"/>
      <c r="H214" s="35" t="str">
        <f>IFERROR(__xludf.DUMMYFUNCTION("IF(ISBLANK(B214), """", GOOGLETRANSLATE(B214, ""es"", ""en""))"),"Budget associated with investment projects by period/year")</f>
        <v>Budget associated with investment projects by period/year</v>
      </c>
      <c r="I214" s="20"/>
      <c r="J214" s="22"/>
      <c r="K214" s="23"/>
      <c r="L214" s="23"/>
      <c r="M214" s="24" t="s">
        <v>33</v>
      </c>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c r="AZ214" s="23"/>
      <c r="BA214" s="23"/>
      <c r="BB214" s="23"/>
      <c r="BC214" s="23"/>
      <c r="BD214" s="23"/>
      <c r="BE214" s="23"/>
      <c r="BF214" s="23"/>
      <c r="BG214" s="39"/>
      <c r="BH214" s="23"/>
      <c r="BI214" s="39"/>
      <c r="BJ214" s="23"/>
      <c r="BK214" s="23"/>
      <c r="BL214" s="23"/>
      <c r="BM214" s="23"/>
      <c r="BN214" s="23"/>
      <c r="BO214" s="23"/>
      <c r="BP214" s="23"/>
      <c r="BQ214" s="23"/>
      <c r="BR214" s="23"/>
      <c r="BS214" s="23"/>
      <c r="BT214" s="23"/>
      <c r="BU214" s="23"/>
      <c r="BV214" s="23"/>
      <c r="BW214" s="23"/>
      <c r="BX214" s="23"/>
      <c r="BY214" s="23"/>
      <c r="BZ214" s="23"/>
      <c r="CA214" s="23"/>
      <c r="CB214" s="23"/>
    </row>
    <row r="215" ht="15.75" customHeight="1">
      <c r="A215" s="25"/>
      <c r="B215" s="26" t="s">
        <v>34</v>
      </c>
      <c r="C215" s="27" t="s">
        <v>35</v>
      </c>
      <c r="D215" s="27" t="s">
        <v>36</v>
      </c>
      <c r="E215" s="26" t="s">
        <v>37</v>
      </c>
      <c r="F215" s="26" t="s">
        <v>38</v>
      </c>
      <c r="G215" s="26" t="s">
        <v>39</v>
      </c>
      <c r="H215" s="28" t="s">
        <v>40</v>
      </c>
      <c r="I215" s="28" t="s">
        <v>41</v>
      </c>
      <c r="J215" s="28" t="s">
        <v>42</v>
      </c>
      <c r="K215" s="40" t="s">
        <v>648</v>
      </c>
      <c r="M215" s="6" t="s">
        <v>649</v>
      </c>
      <c r="N215" s="6" t="s">
        <v>650</v>
      </c>
      <c r="O215" s="6" t="s">
        <v>108</v>
      </c>
      <c r="P215" s="6" t="s">
        <v>651</v>
      </c>
      <c r="Q215" s="6" t="s">
        <v>652</v>
      </c>
      <c r="R215" s="6" t="s">
        <v>158</v>
      </c>
      <c r="S215" s="6" t="s">
        <v>248</v>
      </c>
      <c r="T215" s="6" t="s">
        <v>346</v>
      </c>
      <c r="U215" s="6" t="s">
        <v>186</v>
      </c>
      <c r="V215" s="6" t="s">
        <v>160</v>
      </c>
      <c r="W215" s="6" t="s">
        <v>161</v>
      </c>
      <c r="X215" s="6" t="s">
        <v>653</v>
      </c>
      <c r="Y215" s="6" t="s">
        <v>654</v>
      </c>
      <c r="Z215" s="6" t="s">
        <v>655</v>
      </c>
      <c r="AA215" s="6" t="s">
        <v>656</v>
      </c>
      <c r="AB215" s="6" t="s">
        <v>657</v>
      </c>
      <c r="AC215" s="6" t="s">
        <v>658</v>
      </c>
      <c r="AD215" s="6" t="s">
        <v>659</v>
      </c>
      <c r="AE215" s="6" t="s">
        <v>660</v>
      </c>
      <c r="AF215" s="6" t="s">
        <v>661</v>
      </c>
      <c r="AG215" s="6" t="s">
        <v>662</v>
      </c>
      <c r="AH215" s="6" t="s">
        <v>663</v>
      </c>
      <c r="AI215" s="6" t="s">
        <v>664</v>
      </c>
      <c r="AJ215" s="6" t="s">
        <v>665</v>
      </c>
      <c r="AK215" s="6" t="s">
        <v>666</v>
      </c>
      <c r="AL215" s="6" t="s">
        <v>667</v>
      </c>
      <c r="AM215" s="6" t="s">
        <v>668</v>
      </c>
      <c r="AN215" s="6" t="s">
        <v>669</v>
      </c>
      <c r="AO215" s="6" t="s">
        <v>670</v>
      </c>
      <c r="AP215" s="6" t="s">
        <v>671</v>
      </c>
      <c r="AQ215" s="6" t="s">
        <v>672</v>
      </c>
      <c r="AR215" s="6" t="s">
        <v>673</v>
      </c>
      <c r="AS215" s="6" t="s">
        <v>674</v>
      </c>
      <c r="AT215" s="6" t="s">
        <v>675</v>
      </c>
      <c r="AU215" s="6" t="s">
        <v>676</v>
      </c>
      <c r="AV215" s="6" t="s">
        <v>677</v>
      </c>
      <c r="AW215" s="6" t="s">
        <v>678</v>
      </c>
      <c r="AX215" s="6" t="s">
        <v>679</v>
      </c>
      <c r="AY215" s="6" t="s">
        <v>680</v>
      </c>
      <c r="AZ215" s="6" t="s">
        <v>681</v>
      </c>
      <c r="BA215" s="6" t="s">
        <v>682</v>
      </c>
      <c r="BB215" s="6" t="s">
        <v>683</v>
      </c>
      <c r="BC215" s="6" t="s">
        <v>684</v>
      </c>
      <c r="BD215" s="6" t="s">
        <v>393</v>
      </c>
      <c r="BE215" s="6" t="s">
        <v>394</v>
      </c>
      <c r="BF215" s="6" t="s">
        <v>685</v>
      </c>
      <c r="BG215" s="6" t="s">
        <v>54</v>
      </c>
      <c r="BH215" s="6" t="s">
        <v>55</v>
      </c>
      <c r="BI215" s="6" t="s">
        <v>56</v>
      </c>
      <c r="BJ215" s="6" t="s">
        <v>57</v>
      </c>
      <c r="BK215" s="6" t="s">
        <v>58</v>
      </c>
      <c r="BL215" s="6" t="s">
        <v>59</v>
      </c>
    </row>
    <row r="216" ht="15.75" customHeight="1">
      <c r="A216" s="8"/>
      <c r="B216" s="30" t="s">
        <v>649</v>
      </c>
      <c r="C216" s="31" t="s">
        <v>60</v>
      </c>
      <c r="D216" s="31">
        <v>4.0</v>
      </c>
      <c r="E216" s="30">
        <v>10.0</v>
      </c>
      <c r="F216" s="30">
        <v>0.0</v>
      </c>
      <c r="G216" s="32" t="s">
        <v>61</v>
      </c>
      <c r="H216" s="32">
        <v>13391.0</v>
      </c>
      <c r="I216" s="31" t="s">
        <v>686</v>
      </c>
      <c r="J216" s="31" t="str">
        <f>IFERROR(__xludf.DUMMYFUNCTION("IF(ISBLANK(I216), """", GOOGLETRANSLATE(I216, ""es"", ""en""))"),"Budget identifier")</f>
        <v>Budget identifier</v>
      </c>
      <c r="K216" s="47" t="s">
        <v>687</v>
      </c>
      <c r="M216" s="30">
        <v>13389.0</v>
      </c>
      <c r="N216" s="30">
        <v>2017.0</v>
      </c>
      <c r="O216" s="30">
        <v>26.0</v>
      </c>
      <c r="P216" s="30" t="s">
        <v>134</v>
      </c>
      <c r="Q216" s="30" t="s">
        <v>135</v>
      </c>
      <c r="R216" s="30">
        <v>24.0</v>
      </c>
      <c r="S216" s="30" t="s">
        <v>512</v>
      </c>
      <c r="T216" s="30">
        <v>11352.0</v>
      </c>
      <c r="U216" s="30">
        <v>17.0</v>
      </c>
      <c r="V216" s="30">
        <v>35.0</v>
      </c>
      <c r="W216" s="30" t="s">
        <v>688</v>
      </c>
      <c r="X216" s="30">
        <v>6.0</v>
      </c>
      <c r="Y216" s="30" t="s">
        <v>689</v>
      </c>
      <c r="Z216" s="30">
        <v>60.0</v>
      </c>
      <c r="AA216" s="30">
        <v>272.0</v>
      </c>
      <c r="AB216" s="30" t="s">
        <v>690</v>
      </c>
      <c r="AC216" s="30">
        <v>800.0</v>
      </c>
      <c r="AD216" s="30">
        <v>110.0</v>
      </c>
      <c r="AE216" s="30" t="s">
        <v>691</v>
      </c>
      <c r="AF216" s="30">
        <v>599.0</v>
      </c>
      <c r="AG216" s="30">
        <v>163.0</v>
      </c>
      <c r="AH216" s="30" t="s">
        <v>692</v>
      </c>
      <c r="AI216" s="30" t="s">
        <v>693</v>
      </c>
      <c r="AJ216" s="30" t="s">
        <v>694</v>
      </c>
      <c r="AK216" s="30" t="s">
        <v>695</v>
      </c>
      <c r="AL216" s="30" t="s">
        <v>694</v>
      </c>
      <c r="AM216" s="30" t="s">
        <v>695</v>
      </c>
      <c r="AN216" s="30" t="s">
        <v>194</v>
      </c>
      <c r="AO216" s="30" t="s">
        <v>195</v>
      </c>
      <c r="AP216" s="30" t="s">
        <v>194</v>
      </c>
      <c r="AQ216" s="30" t="s">
        <v>195</v>
      </c>
      <c r="AR216" s="30" t="s">
        <v>694</v>
      </c>
      <c r="AS216" s="30" t="s">
        <v>695</v>
      </c>
      <c r="AT216" s="30" t="s">
        <v>194</v>
      </c>
      <c r="AU216" s="30" t="s">
        <v>195</v>
      </c>
      <c r="AV216" s="30" t="s">
        <v>194</v>
      </c>
      <c r="AW216" s="30" t="s">
        <v>195</v>
      </c>
      <c r="AX216" s="30" t="s">
        <v>194</v>
      </c>
      <c r="AY216" s="30" t="s">
        <v>195</v>
      </c>
      <c r="AZ216" s="30" t="s">
        <v>194</v>
      </c>
      <c r="BA216" s="30" t="s">
        <v>195</v>
      </c>
      <c r="BB216" s="30" t="s">
        <v>194</v>
      </c>
      <c r="BC216" s="30" t="s">
        <v>195</v>
      </c>
      <c r="BD216" s="30" t="s">
        <v>696</v>
      </c>
      <c r="BE216" s="30" t="s">
        <v>697</v>
      </c>
      <c r="BF216" s="30">
        <v>22501.0</v>
      </c>
      <c r="BG216" s="30" t="s">
        <v>68</v>
      </c>
      <c r="BH216" s="30">
        <v>0.0</v>
      </c>
      <c r="BI216" s="30">
        <v>100.0</v>
      </c>
      <c r="BJ216" s="33">
        <v>42699.55486111111</v>
      </c>
      <c r="BK216" s="30">
        <v>100.0</v>
      </c>
      <c r="BL216" s="33">
        <v>43060.36388888889</v>
      </c>
    </row>
    <row r="217" ht="15.75" customHeight="1">
      <c r="A217" s="8"/>
      <c r="B217" s="30" t="s">
        <v>650</v>
      </c>
      <c r="C217" s="31" t="s">
        <v>60</v>
      </c>
      <c r="D217" s="31">
        <v>4.0</v>
      </c>
      <c r="E217" s="30">
        <v>10.0</v>
      </c>
      <c r="F217" s="30">
        <v>0.0</v>
      </c>
      <c r="G217" s="32" t="s">
        <v>61</v>
      </c>
      <c r="H217" s="32">
        <v>2017.0</v>
      </c>
      <c r="I217" s="31" t="s">
        <v>698</v>
      </c>
      <c r="J217" s="31" t="str">
        <f>IFERROR(__xludf.DUMMYFUNCTION("IF(ISBLANK(I217), """", GOOGLETRANSLATE(I217, ""es"", ""en""))"),"Budget line period")</f>
        <v>Budget line period</v>
      </c>
      <c r="M217" s="30">
        <v>13390.0</v>
      </c>
      <c r="N217" s="30">
        <v>2017.0</v>
      </c>
      <c r="O217" s="30">
        <v>26.0</v>
      </c>
      <c r="P217" s="30" t="s">
        <v>134</v>
      </c>
      <c r="Q217" s="30" t="s">
        <v>135</v>
      </c>
      <c r="R217" s="30">
        <v>24.0</v>
      </c>
      <c r="S217" s="30" t="s">
        <v>512</v>
      </c>
      <c r="T217" s="30">
        <v>11352.0</v>
      </c>
      <c r="U217" s="30">
        <v>17.0</v>
      </c>
      <c r="V217" s="30">
        <v>35.0</v>
      </c>
      <c r="W217" s="30" t="s">
        <v>688</v>
      </c>
      <c r="X217" s="30">
        <v>6.0</v>
      </c>
      <c r="Y217" s="30" t="s">
        <v>689</v>
      </c>
      <c r="Z217" s="30">
        <v>60.0</v>
      </c>
      <c r="AA217" s="30">
        <v>272.0</v>
      </c>
      <c r="AB217" s="30" t="s">
        <v>690</v>
      </c>
      <c r="AC217" s="30">
        <v>800.0</v>
      </c>
      <c r="AD217" s="30">
        <v>110.0</v>
      </c>
      <c r="AE217" s="30" t="s">
        <v>691</v>
      </c>
      <c r="AF217" s="30">
        <v>599.0</v>
      </c>
      <c r="AG217" s="30">
        <v>1558.0</v>
      </c>
      <c r="AH217" s="30" t="s">
        <v>699</v>
      </c>
      <c r="AI217" s="30" t="s">
        <v>700</v>
      </c>
      <c r="AJ217" s="30" t="s">
        <v>701</v>
      </c>
      <c r="AK217" s="30" t="s">
        <v>702</v>
      </c>
      <c r="AL217" s="30" t="s">
        <v>701</v>
      </c>
      <c r="AM217" s="30" t="s">
        <v>702</v>
      </c>
      <c r="AN217" s="30" t="s">
        <v>194</v>
      </c>
      <c r="AO217" s="30" t="s">
        <v>195</v>
      </c>
      <c r="AP217" s="30" t="s">
        <v>194</v>
      </c>
      <c r="AQ217" s="30" t="s">
        <v>195</v>
      </c>
      <c r="AR217" s="30" t="s">
        <v>701</v>
      </c>
      <c r="AS217" s="30" t="s">
        <v>702</v>
      </c>
      <c r="AT217" s="30" t="s">
        <v>194</v>
      </c>
      <c r="AU217" s="30" t="s">
        <v>195</v>
      </c>
      <c r="AV217" s="30" t="s">
        <v>194</v>
      </c>
      <c r="AW217" s="30" t="s">
        <v>195</v>
      </c>
      <c r="AX217" s="30" t="s">
        <v>194</v>
      </c>
      <c r="AY217" s="30" t="s">
        <v>195</v>
      </c>
      <c r="AZ217" s="30" t="s">
        <v>194</v>
      </c>
      <c r="BA217" s="30" t="s">
        <v>195</v>
      </c>
      <c r="BB217" s="30" t="s">
        <v>194</v>
      </c>
      <c r="BC217" s="30" t="s">
        <v>195</v>
      </c>
      <c r="BD217" s="30" t="s">
        <v>696</v>
      </c>
      <c r="BE217" s="30" t="s">
        <v>697</v>
      </c>
      <c r="BF217" s="30">
        <v>22502.0</v>
      </c>
      <c r="BG217" s="30" t="s">
        <v>68</v>
      </c>
      <c r="BH217" s="30">
        <v>0.0</v>
      </c>
      <c r="BI217" s="30">
        <v>100.0</v>
      </c>
      <c r="BJ217" s="33">
        <v>42699.55486111111</v>
      </c>
      <c r="BK217" s="30">
        <v>100.0</v>
      </c>
      <c r="BL217" s="33">
        <v>43060.36388888889</v>
      </c>
    </row>
    <row r="218" ht="15.75" customHeight="1">
      <c r="A218" s="8"/>
      <c r="B218" s="30" t="s">
        <v>108</v>
      </c>
      <c r="C218" s="31" t="s">
        <v>60</v>
      </c>
      <c r="D218" s="31">
        <v>4.0</v>
      </c>
      <c r="E218" s="30">
        <v>10.0</v>
      </c>
      <c r="F218" s="30">
        <v>0.0</v>
      </c>
      <c r="G218" s="32" t="s">
        <v>61</v>
      </c>
      <c r="H218" s="32">
        <v>26.0</v>
      </c>
      <c r="I218" s="31" t="s">
        <v>703</v>
      </c>
      <c r="J218" s="31" t="str">
        <f>IFERROR(__xludf.DUMMYFUNCTION("IF(ISBLANK(I218), """", GOOGLETRANSLATE(I218, ""es"", ""en""))"),"Institution identifier")</f>
        <v>Institution identifier</v>
      </c>
      <c r="M218" s="30">
        <v>13391.0</v>
      </c>
      <c r="N218" s="30">
        <v>2017.0</v>
      </c>
      <c r="O218" s="30">
        <v>26.0</v>
      </c>
      <c r="P218" s="30" t="s">
        <v>134</v>
      </c>
      <c r="Q218" s="30" t="s">
        <v>135</v>
      </c>
      <c r="R218" s="30">
        <v>24.0</v>
      </c>
      <c r="S218" s="30" t="s">
        <v>512</v>
      </c>
      <c r="T218" s="30">
        <v>11352.0</v>
      </c>
      <c r="U218" s="30">
        <v>17.0</v>
      </c>
      <c r="V218" s="30">
        <v>35.0</v>
      </c>
      <c r="W218" s="30" t="s">
        <v>688</v>
      </c>
      <c r="X218" s="30">
        <v>6.0</v>
      </c>
      <c r="Y218" s="30" t="s">
        <v>689</v>
      </c>
      <c r="Z218" s="30">
        <v>60.0</v>
      </c>
      <c r="AA218" s="30">
        <v>272.0</v>
      </c>
      <c r="AB218" s="30" t="s">
        <v>690</v>
      </c>
      <c r="AC218" s="30">
        <v>800.0</v>
      </c>
      <c r="AD218" s="30">
        <v>110.0</v>
      </c>
      <c r="AE218" s="30" t="s">
        <v>691</v>
      </c>
      <c r="AF218" s="30">
        <v>599.0</v>
      </c>
      <c r="AG218" s="30">
        <v>1510.0</v>
      </c>
      <c r="AH218" s="30" t="s">
        <v>704</v>
      </c>
      <c r="AI218" s="30" t="s">
        <v>705</v>
      </c>
      <c r="AJ218" s="30" t="s">
        <v>706</v>
      </c>
      <c r="AK218" s="30" t="s">
        <v>707</v>
      </c>
      <c r="AL218" s="30" t="s">
        <v>706</v>
      </c>
      <c r="AM218" s="30" t="s">
        <v>707</v>
      </c>
      <c r="AN218" s="30" t="s">
        <v>194</v>
      </c>
      <c r="AO218" s="30" t="s">
        <v>195</v>
      </c>
      <c r="AP218" s="30" t="s">
        <v>194</v>
      </c>
      <c r="AQ218" s="30" t="s">
        <v>195</v>
      </c>
      <c r="AR218" s="30" t="s">
        <v>706</v>
      </c>
      <c r="AS218" s="30" t="s">
        <v>707</v>
      </c>
      <c r="AT218" s="30" t="s">
        <v>194</v>
      </c>
      <c r="AU218" s="30" t="s">
        <v>195</v>
      </c>
      <c r="AV218" s="30" t="s">
        <v>194</v>
      </c>
      <c r="AW218" s="30" t="s">
        <v>195</v>
      </c>
      <c r="AX218" s="30" t="s">
        <v>194</v>
      </c>
      <c r="AY218" s="30" t="s">
        <v>195</v>
      </c>
      <c r="AZ218" s="30" t="s">
        <v>194</v>
      </c>
      <c r="BA218" s="30" t="s">
        <v>195</v>
      </c>
      <c r="BB218" s="30" t="s">
        <v>194</v>
      </c>
      <c r="BC218" s="30" t="s">
        <v>195</v>
      </c>
      <c r="BD218" s="30" t="s">
        <v>696</v>
      </c>
      <c r="BE218" s="30" t="s">
        <v>697</v>
      </c>
      <c r="BF218" s="30">
        <v>22503.0</v>
      </c>
      <c r="BG218" s="30" t="s">
        <v>68</v>
      </c>
      <c r="BH218" s="30">
        <v>0.0</v>
      </c>
      <c r="BI218" s="30">
        <v>100.0</v>
      </c>
      <c r="BJ218" s="33">
        <v>42699.55486111111</v>
      </c>
      <c r="BK218" s="30">
        <v>100.0</v>
      </c>
      <c r="BL218" s="33">
        <v>43060.36388888889</v>
      </c>
    </row>
    <row r="219" ht="15.75" customHeight="1">
      <c r="A219" s="8"/>
      <c r="B219" s="30" t="s">
        <v>651</v>
      </c>
      <c r="C219" s="31" t="s">
        <v>82</v>
      </c>
      <c r="D219" s="31">
        <v>120.0</v>
      </c>
      <c r="E219" s="30"/>
      <c r="F219" s="30"/>
      <c r="G219" s="32" t="s">
        <v>100</v>
      </c>
      <c r="H219" s="32" t="s">
        <v>134</v>
      </c>
      <c r="I219" s="31" t="s">
        <v>708</v>
      </c>
      <c r="J219" s="31" t="str">
        <f>IFERROR(__xludf.DUMMYFUNCTION("IF(ISBLANK(I219), """", GOOGLETRANSLATE(I219, ""es"", ""en""))"),"Description of the institution")</f>
        <v>Description of the institution</v>
      </c>
      <c r="M219" s="30">
        <v>13392.0</v>
      </c>
      <c r="N219" s="30">
        <v>2017.0</v>
      </c>
      <c r="O219" s="30">
        <v>26.0</v>
      </c>
      <c r="P219" s="30" t="s">
        <v>134</v>
      </c>
      <c r="Q219" s="30" t="s">
        <v>135</v>
      </c>
      <c r="R219" s="30">
        <v>24.0</v>
      </c>
      <c r="S219" s="30" t="s">
        <v>512</v>
      </c>
      <c r="T219" s="30">
        <v>11352.0</v>
      </c>
      <c r="U219" s="30">
        <v>17.0</v>
      </c>
      <c r="V219" s="30">
        <v>35.0</v>
      </c>
      <c r="W219" s="30" t="s">
        <v>688</v>
      </c>
      <c r="X219" s="30">
        <v>6.0</v>
      </c>
      <c r="Y219" s="30" t="s">
        <v>689</v>
      </c>
      <c r="Z219" s="30">
        <v>60.0</v>
      </c>
      <c r="AA219" s="30">
        <v>272.0</v>
      </c>
      <c r="AB219" s="30" t="s">
        <v>690</v>
      </c>
      <c r="AC219" s="30">
        <v>800.0</v>
      </c>
      <c r="AD219" s="30">
        <v>110.0</v>
      </c>
      <c r="AE219" s="30" t="s">
        <v>691</v>
      </c>
      <c r="AF219" s="30">
        <v>599.0</v>
      </c>
      <c r="AG219" s="30">
        <v>409.0</v>
      </c>
      <c r="AH219" s="30" t="s">
        <v>709</v>
      </c>
      <c r="AI219" s="30" t="s">
        <v>710</v>
      </c>
      <c r="AJ219" s="30" t="s">
        <v>711</v>
      </c>
      <c r="AK219" s="30" t="s">
        <v>712</v>
      </c>
      <c r="AL219" s="30" t="s">
        <v>711</v>
      </c>
      <c r="AM219" s="30" t="s">
        <v>712</v>
      </c>
      <c r="AN219" s="30" t="s">
        <v>194</v>
      </c>
      <c r="AO219" s="30" t="s">
        <v>195</v>
      </c>
      <c r="AP219" s="30" t="s">
        <v>194</v>
      </c>
      <c r="AQ219" s="30" t="s">
        <v>195</v>
      </c>
      <c r="AR219" s="30" t="s">
        <v>711</v>
      </c>
      <c r="AS219" s="30" t="s">
        <v>712</v>
      </c>
      <c r="AT219" s="30" t="s">
        <v>194</v>
      </c>
      <c r="AU219" s="30" t="s">
        <v>195</v>
      </c>
      <c r="AV219" s="30" t="s">
        <v>194</v>
      </c>
      <c r="AW219" s="30" t="s">
        <v>195</v>
      </c>
      <c r="AX219" s="30" t="s">
        <v>194</v>
      </c>
      <c r="AY219" s="30" t="s">
        <v>195</v>
      </c>
      <c r="AZ219" s="30" t="s">
        <v>194</v>
      </c>
      <c r="BA219" s="30" t="s">
        <v>195</v>
      </c>
      <c r="BB219" s="30" t="s">
        <v>194</v>
      </c>
      <c r="BC219" s="30" t="s">
        <v>195</v>
      </c>
      <c r="BD219" s="30" t="s">
        <v>696</v>
      </c>
      <c r="BE219" s="30" t="s">
        <v>697</v>
      </c>
      <c r="BF219" s="30">
        <v>22504.0</v>
      </c>
      <c r="BG219" s="30" t="s">
        <v>68</v>
      </c>
      <c r="BH219" s="30">
        <v>0.0</v>
      </c>
      <c r="BI219" s="30">
        <v>100.0</v>
      </c>
      <c r="BJ219" s="33">
        <v>42699.55486111111</v>
      </c>
      <c r="BK219" s="30">
        <v>100.0</v>
      </c>
      <c r="BL219" s="33">
        <v>43060.36388888889</v>
      </c>
    </row>
    <row r="220" ht="15.75" customHeight="1">
      <c r="A220" s="8"/>
      <c r="B220" s="30" t="s">
        <v>652</v>
      </c>
      <c r="C220" s="31" t="s">
        <v>82</v>
      </c>
      <c r="D220" s="31">
        <v>30.0</v>
      </c>
      <c r="E220" s="30"/>
      <c r="F220" s="30"/>
      <c r="G220" s="32" t="s">
        <v>100</v>
      </c>
      <c r="H220" s="32" t="s">
        <v>135</v>
      </c>
      <c r="I220" s="31" t="s">
        <v>713</v>
      </c>
      <c r="J220" s="31" t="str">
        <f>IFERROR(__xludf.DUMMYFUNCTION("IF(ISBLANK(I220), """", GOOGLETRANSLATE(I220, ""es"", ""en""))"),"Acronyms of the institution")</f>
        <v>Acronyms of the institution</v>
      </c>
      <c r="M220" s="30">
        <v>13393.0</v>
      </c>
      <c r="N220" s="30">
        <v>2017.0</v>
      </c>
      <c r="O220" s="30">
        <v>26.0</v>
      </c>
      <c r="P220" s="30" t="s">
        <v>134</v>
      </c>
      <c r="Q220" s="30" t="s">
        <v>135</v>
      </c>
      <c r="R220" s="30">
        <v>24.0</v>
      </c>
      <c r="S220" s="30" t="s">
        <v>512</v>
      </c>
      <c r="T220" s="30">
        <v>11352.0</v>
      </c>
      <c r="U220" s="30">
        <v>17.0</v>
      </c>
      <c r="V220" s="30">
        <v>35.0</v>
      </c>
      <c r="W220" s="30" t="s">
        <v>688</v>
      </c>
      <c r="X220" s="30">
        <v>6.0</v>
      </c>
      <c r="Y220" s="30" t="s">
        <v>689</v>
      </c>
      <c r="Z220" s="30">
        <v>60.0</v>
      </c>
      <c r="AA220" s="30">
        <v>272.0</v>
      </c>
      <c r="AB220" s="30" t="s">
        <v>690</v>
      </c>
      <c r="AC220" s="30">
        <v>800.0</v>
      </c>
      <c r="AD220" s="30">
        <v>110.0</v>
      </c>
      <c r="AE220" s="30" t="s">
        <v>691</v>
      </c>
      <c r="AF220" s="30">
        <v>599.0</v>
      </c>
      <c r="AG220" s="30">
        <v>1408.0</v>
      </c>
      <c r="AH220" s="30" t="s">
        <v>714</v>
      </c>
      <c r="AI220" s="30" t="s">
        <v>715</v>
      </c>
      <c r="AJ220" s="30" t="s">
        <v>701</v>
      </c>
      <c r="AK220" s="30" t="s">
        <v>702</v>
      </c>
      <c r="AL220" s="30" t="s">
        <v>701</v>
      </c>
      <c r="AM220" s="30" t="s">
        <v>702</v>
      </c>
      <c r="AN220" s="30" t="s">
        <v>194</v>
      </c>
      <c r="AO220" s="30" t="s">
        <v>195</v>
      </c>
      <c r="AP220" s="30" t="s">
        <v>194</v>
      </c>
      <c r="AQ220" s="30" t="s">
        <v>195</v>
      </c>
      <c r="AR220" s="30" t="s">
        <v>701</v>
      </c>
      <c r="AS220" s="30" t="s">
        <v>702</v>
      </c>
      <c r="AT220" s="30" t="s">
        <v>194</v>
      </c>
      <c r="AU220" s="30" t="s">
        <v>195</v>
      </c>
      <c r="AV220" s="30" t="s">
        <v>194</v>
      </c>
      <c r="AW220" s="30" t="s">
        <v>195</v>
      </c>
      <c r="AX220" s="30" t="s">
        <v>194</v>
      </c>
      <c r="AY220" s="30" t="s">
        <v>195</v>
      </c>
      <c r="AZ220" s="30" t="s">
        <v>194</v>
      </c>
      <c r="BA220" s="30" t="s">
        <v>195</v>
      </c>
      <c r="BB220" s="30" t="s">
        <v>194</v>
      </c>
      <c r="BC220" s="30" t="s">
        <v>195</v>
      </c>
      <c r="BD220" s="30" t="s">
        <v>696</v>
      </c>
      <c r="BE220" s="30" t="s">
        <v>697</v>
      </c>
      <c r="BF220" s="30">
        <v>22505.0</v>
      </c>
      <c r="BG220" s="30" t="s">
        <v>68</v>
      </c>
      <c r="BH220" s="30">
        <v>0.0</v>
      </c>
      <c r="BI220" s="30">
        <v>100.0</v>
      </c>
      <c r="BJ220" s="33">
        <v>42699.55486111111</v>
      </c>
      <c r="BK220" s="30">
        <v>100.0</v>
      </c>
      <c r="BL220" s="33">
        <v>43060.36388888889</v>
      </c>
    </row>
    <row r="221" ht="15.75" customHeight="1">
      <c r="A221" s="8"/>
      <c r="B221" s="30" t="s">
        <v>158</v>
      </c>
      <c r="C221" s="31" t="s">
        <v>60</v>
      </c>
      <c r="D221" s="31">
        <v>4.0</v>
      </c>
      <c r="E221" s="30">
        <v>10.0</v>
      </c>
      <c r="F221" s="30">
        <v>0.0</v>
      </c>
      <c r="G221" s="32" t="s">
        <v>61</v>
      </c>
      <c r="H221" s="32">
        <v>24.0</v>
      </c>
      <c r="I221" s="31" t="s">
        <v>196</v>
      </c>
      <c r="J221" s="31" t="str">
        <f>IFERROR(__xludf.DUMMYFUNCTION("IF(ISBLANK(I221), """", GOOGLETRANSLATE(I221, ""es"", ""en""))"),"Unique identifier of the Investment project (SNIP System)")</f>
        <v>Unique identifier of the Investment project (SNIP System)</v>
      </c>
      <c r="M221" s="30">
        <v>13394.0</v>
      </c>
      <c r="N221" s="30">
        <v>2017.0</v>
      </c>
      <c r="O221" s="30">
        <v>26.0</v>
      </c>
      <c r="P221" s="30" t="s">
        <v>134</v>
      </c>
      <c r="Q221" s="30" t="s">
        <v>135</v>
      </c>
      <c r="R221" s="30">
        <v>24.0</v>
      </c>
      <c r="S221" s="30" t="s">
        <v>512</v>
      </c>
      <c r="T221" s="30">
        <v>11352.0</v>
      </c>
      <c r="U221" s="30">
        <v>17.0</v>
      </c>
      <c r="V221" s="30">
        <v>35.0</v>
      </c>
      <c r="W221" s="30" t="s">
        <v>688</v>
      </c>
      <c r="X221" s="30">
        <v>6.0</v>
      </c>
      <c r="Y221" s="30" t="s">
        <v>689</v>
      </c>
      <c r="Z221" s="30">
        <v>60.0</v>
      </c>
      <c r="AA221" s="30">
        <v>272.0</v>
      </c>
      <c r="AB221" s="30" t="s">
        <v>690</v>
      </c>
      <c r="AC221" s="30">
        <v>800.0</v>
      </c>
      <c r="AD221" s="30">
        <v>110.0</v>
      </c>
      <c r="AE221" s="30" t="s">
        <v>691</v>
      </c>
      <c r="AF221" s="30">
        <v>599.0</v>
      </c>
      <c r="AG221" s="30">
        <v>1556.0</v>
      </c>
      <c r="AH221" s="30" t="s">
        <v>716</v>
      </c>
      <c r="AI221" s="30" t="s">
        <v>717</v>
      </c>
      <c r="AJ221" s="30" t="s">
        <v>718</v>
      </c>
      <c r="AK221" s="30" t="s">
        <v>719</v>
      </c>
      <c r="AL221" s="30" t="s">
        <v>718</v>
      </c>
      <c r="AM221" s="30" t="s">
        <v>719</v>
      </c>
      <c r="AN221" s="30" t="s">
        <v>194</v>
      </c>
      <c r="AO221" s="30" t="s">
        <v>195</v>
      </c>
      <c r="AP221" s="30" t="s">
        <v>194</v>
      </c>
      <c r="AQ221" s="30" t="s">
        <v>195</v>
      </c>
      <c r="AR221" s="30" t="s">
        <v>718</v>
      </c>
      <c r="AS221" s="30" t="s">
        <v>719</v>
      </c>
      <c r="AT221" s="30" t="s">
        <v>194</v>
      </c>
      <c r="AU221" s="30" t="s">
        <v>195</v>
      </c>
      <c r="AV221" s="30" t="s">
        <v>194</v>
      </c>
      <c r="AW221" s="30" t="s">
        <v>195</v>
      </c>
      <c r="AX221" s="30" t="s">
        <v>194</v>
      </c>
      <c r="AY221" s="30" t="s">
        <v>195</v>
      </c>
      <c r="AZ221" s="30" t="s">
        <v>194</v>
      </c>
      <c r="BA221" s="30" t="s">
        <v>195</v>
      </c>
      <c r="BB221" s="30" t="s">
        <v>194</v>
      </c>
      <c r="BC221" s="30" t="s">
        <v>195</v>
      </c>
      <c r="BD221" s="30" t="s">
        <v>696</v>
      </c>
      <c r="BE221" s="30" t="s">
        <v>697</v>
      </c>
      <c r="BF221" s="30">
        <v>22506.0</v>
      </c>
      <c r="BG221" s="30" t="s">
        <v>68</v>
      </c>
      <c r="BH221" s="30">
        <v>0.0</v>
      </c>
      <c r="BI221" s="30">
        <v>100.0</v>
      </c>
      <c r="BJ221" s="33">
        <v>42699.55486111111</v>
      </c>
      <c r="BK221" s="30">
        <v>100.0</v>
      </c>
      <c r="BL221" s="33">
        <v>43060.36388888889</v>
      </c>
    </row>
    <row r="222" ht="15.75" customHeight="1">
      <c r="A222" s="8"/>
      <c r="B222" s="30" t="s">
        <v>248</v>
      </c>
      <c r="C222" s="31" t="s">
        <v>82</v>
      </c>
      <c r="D222" s="31">
        <v>250.0</v>
      </c>
      <c r="E222" s="30"/>
      <c r="F222" s="30"/>
      <c r="G222" s="32" t="s">
        <v>100</v>
      </c>
      <c r="H222" s="32" t="s">
        <v>512</v>
      </c>
      <c r="I222" s="31" t="s">
        <v>720</v>
      </c>
      <c r="J222" s="31" t="str">
        <f>IFERROR(__xludf.DUMMYFUNCTION("IF(ISBLANK(I222), """", GOOGLETRANSLATE(I222, ""es"", ""en""))"),"Associated project description")</f>
        <v>Associated project description</v>
      </c>
      <c r="M222" s="30">
        <v>13395.0</v>
      </c>
      <c r="N222" s="30">
        <v>2017.0</v>
      </c>
      <c r="O222" s="30">
        <v>26.0</v>
      </c>
      <c r="P222" s="30" t="s">
        <v>134</v>
      </c>
      <c r="Q222" s="30" t="s">
        <v>135</v>
      </c>
      <c r="R222" s="30">
        <v>24.0</v>
      </c>
      <c r="S222" s="30" t="s">
        <v>512</v>
      </c>
      <c r="T222" s="30">
        <v>11352.0</v>
      </c>
      <c r="U222" s="30">
        <v>17.0</v>
      </c>
      <c r="V222" s="30">
        <v>35.0</v>
      </c>
      <c r="W222" s="30" t="s">
        <v>688</v>
      </c>
      <c r="X222" s="30">
        <v>6.0</v>
      </c>
      <c r="Y222" s="30" t="s">
        <v>689</v>
      </c>
      <c r="Z222" s="30">
        <v>60.0</v>
      </c>
      <c r="AA222" s="30">
        <v>272.0</v>
      </c>
      <c r="AB222" s="30" t="s">
        <v>690</v>
      </c>
      <c r="AC222" s="30">
        <v>800.0</v>
      </c>
      <c r="AD222" s="30">
        <v>110.0</v>
      </c>
      <c r="AE222" s="30" t="s">
        <v>691</v>
      </c>
      <c r="AF222" s="30">
        <v>599.0</v>
      </c>
      <c r="AG222" s="30">
        <v>1659.0</v>
      </c>
      <c r="AH222" s="30" t="s">
        <v>721</v>
      </c>
      <c r="AI222" s="30" t="s">
        <v>722</v>
      </c>
      <c r="AJ222" s="30" t="s">
        <v>723</v>
      </c>
      <c r="AK222" s="30" t="s">
        <v>724</v>
      </c>
      <c r="AL222" s="30" t="s">
        <v>723</v>
      </c>
      <c r="AM222" s="30" t="s">
        <v>724</v>
      </c>
      <c r="AN222" s="30" t="s">
        <v>194</v>
      </c>
      <c r="AO222" s="30" t="s">
        <v>195</v>
      </c>
      <c r="AP222" s="30" t="s">
        <v>194</v>
      </c>
      <c r="AQ222" s="30" t="s">
        <v>195</v>
      </c>
      <c r="AR222" s="30" t="s">
        <v>723</v>
      </c>
      <c r="AS222" s="30" t="s">
        <v>724</v>
      </c>
      <c r="AT222" s="30" t="s">
        <v>194</v>
      </c>
      <c r="AU222" s="30" t="s">
        <v>195</v>
      </c>
      <c r="AV222" s="30" t="s">
        <v>194</v>
      </c>
      <c r="AW222" s="30" t="s">
        <v>195</v>
      </c>
      <c r="AX222" s="30" t="s">
        <v>194</v>
      </c>
      <c r="AY222" s="30" t="s">
        <v>195</v>
      </c>
      <c r="AZ222" s="30" t="s">
        <v>194</v>
      </c>
      <c r="BA222" s="30" t="s">
        <v>195</v>
      </c>
      <c r="BB222" s="30" t="s">
        <v>194</v>
      </c>
      <c r="BC222" s="30" t="s">
        <v>195</v>
      </c>
      <c r="BD222" s="30" t="s">
        <v>696</v>
      </c>
      <c r="BE222" s="30" t="s">
        <v>697</v>
      </c>
      <c r="BF222" s="30">
        <v>22507.0</v>
      </c>
      <c r="BG222" s="30" t="s">
        <v>68</v>
      </c>
      <c r="BH222" s="30">
        <v>0.0</v>
      </c>
      <c r="BI222" s="30">
        <v>100.0</v>
      </c>
      <c r="BJ222" s="33">
        <v>42699.55486111111</v>
      </c>
      <c r="BK222" s="30">
        <v>100.0</v>
      </c>
      <c r="BL222" s="33">
        <v>43060.36388888889</v>
      </c>
    </row>
    <row r="223" ht="15.75" customHeight="1">
      <c r="A223" s="8"/>
      <c r="B223" s="30" t="s">
        <v>346</v>
      </c>
      <c r="C223" s="31" t="s">
        <v>60</v>
      </c>
      <c r="D223" s="31">
        <v>4.0</v>
      </c>
      <c r="E223" s="30">
        <v>10.0</v>
      </c>
      <c r="F223" s="30">
        <v>0.0</v>
      </c>
      <c r="G223" s="32" t="s">
        <v>100</v>
      </c>
      <c r="H223" s="32">
        <v>11352.0</v>
      </c>
      <c r="I223" s="31" t="s">
        <v>725</v>
      </c>
      <c r="J223" s="31" t="str">
        <f>IFERROR(__xludf.DUMMYFUNCTION("IF(ISBLANK(I223), """", GOOGLETRANSLATE(I223, ""es"", ""en""))"),"Investment project identifier")</f>
        <v>Investment project identifier</v>
      </c>
      <c r="M223" s="30">
        <v>13396.0</v>
      </c>
      <c r="N223" s="30">
        <v>2017.0</v>
      </c>
      <c r="O223" s="30">
        <v>26.0</v>
      </c>
      <c r="P223" s="30" t="s">
        <v>134</v>
      </c>
      <c r="Q223" s="30" t="s">
        <v>135</v>
      </c>
      <c r="R223" s="30">
        <v>24.0</v>
      </c>
      <c r="S223" s="30" t="s">
        <v>512</v>
      </c>
      <c r="T223" s="30">
        <v>11352.0</v>
      </c>
      <c r="U223" s="30">
        <v>17.0</v>
      </c>
      <c r="V223" s="30">
        <v>35.0</v>
      </c>
      <c r="W223" s="30" t="s">
        <v>688</v>
      </c>
      <c r="X223" s="30">
        <v>6.0</v>
      </c>
      <c r="Y223" s="30" t="s">
        <v>689</v>
      </c>
      <c r="Z223" s="30">
        <v>60.0</v>
      </c>
      <c r="AA223" s="30">
        <v>272.0</v>
      </c>
      <c r="AB223" s="30" t="s">
        <v>690</v>
      </c>
      <c r="AC223" s="30">
        <v>800.0</v>
      </c>
      <c r="AD223" s="30">
        <v>110.0</v>
      </c>
      <c r="AE223" s="30" t="s">
        <v>691</v>
      </c>
      <c r="AF223" s="30">
        <v>599.0</v>
      </c>
      <c r="AG223" s="30">
        <v>1410.0</v>
      </c>
      <c r="AH223" s="30" t="s">
        <v>726</v>
      </c>
      <c r="AI223" s="30" t="s">
        <v>727</v>
      </c>
      <c r="AJ223" s="30" t="s">
        <v>728</v>
      </c>
      <c r="AK223" s="30" t="s">
        <v>729</v>
      </c>
      <c r="AL223" s="30" t="s">
        <v>728</v>
      </c>
      <c r="AM223" s="30" t="s">
        <v>729</v>
      </c>
      <c r="AN223" s="30" t="s">
        <v>194</v>
      </c>
      <c r="AO223" s="30" t="s">
        <v>195</v>
      </c>
      <c r="AP223" s="30" t="s">
        <v>194</v>
      </c>
      <c r="AQ223" s="30" t="s">
        <v>195</v>
      </c>
      <c r="AR223" s="30" t="s">
        <v>728</v>
      </c>
      <c r="AS223" s="30" t="s">
        <v>729</v>
      </c>
      <c r="AT223" s="30" t="s">
        <v>194</v>
      </c>
      <c r="AU223" s="30" t="s">
        <v>195</v>
      </c>
      <c r="AV223" s="30" t="s">
        <v>194</v>
      </c>
      <c r="AW223" s="30" t="s">
        <v>195</v>
      </c>
      <c r="AX223" s="30" t="s">
        <v>194</v>
      </c>
      <c r="AY223" s="30" t="s">
        <v>195</v>
      </c>
      <c r="AZ223" s="30" t="s">
        <v>194</v>
      </c>
      <c r="BA223" s="30" t="s">
        <v>195</v>
      </c>
      <c r="BB223" s="30" t="s">
        <v>194</v>
      </c>
      <c r="BC223" s="30" t="s">
        <v>195</v>
      </c>
      <c r="BD223" s="30" t="s">
        <v>696</v>
      </c>
      <c r="BE223" s="30" t="s">
        <v>697</v>
      </c>
      <c r="BF223" s="30">
        <v>22508.0</v>
      </c>
      <c r="BG223" s="30" t="s">
        <v>68</v>
      </c>
      <c r="BH223" s="30">
        <v>0.0</v>
      </c>
      <c r="BI223" s="30">
        <v>100.0</v>
      </c>
      <c r="BJ223" s="33">
        <v>42699.55486111111</v>
      </c>
      <c r="BK223" s="30">
        <v>100.0</v>
      </c>
      <c r="BL223" s="33">
        <v>43060.36388888889</v>
      </c>
    </row>
    <row r="224" ht="15.75" customHeight="1">
      <c r="A224" s="8"/>
      <c r="B224" s="30" t="s">
        <v>186</v>
      </c>
      <c r="C224" s="31" t="s">
        <v>60</v>
      </c>
      <c r="D224" s="31">
        <v>4.0</v>
      </c>
      <c r="E224" s="30">
        <v>10.0</v>
      </c>
      <c r="F224" s="30">
        <v>0.0</v>
      </c>
      <c r="G224" s="32" t="s">
        <v>61</v>
      </c>
      <c r="H224" s="32">
        <v>17.0</v>
      </c>
      <c r="I224" s="31"/>
      <c r="J224" s="31" t="str">
        <f>IFERROR(__xludf.DUMMYFUNCTION("IF(ISBLANK(I224), """", GOOGLETRANSLATE(I224, ""es"", ""en""))"),"")</f>
        <v/>
      </c>
      <c r="M224" s="30">
        <v>13397.0</v>
      </c>
      <c r="N224" s="30">
        <v>2017.0</v>
      </c>
      <c r="O224" s="30">
        <v>26.0</v>
      </c>
      <c r="P224" s="30" t="s">
        <v>134</v>
      </c>
      <c r="Q224" s="30" t="s">
        <v>135</v>
      </c>
      <c r="R224" s="30">
        <v>24.0</v>
      </c>
      <c r="S224" s="30" t="s">
        <v>512</v>
      </c>
      <c r="T224" s="30">
        <v>11352.0</v>
      </c>
      <c r="U224" s="30">
        <v>17.0</v>
      </c>
      <c r="V224" s="30">
        <v>35.0</v>
      </c>
      <c r="W224" s="30" t="s">
        <v>688</v>
      </c>
      <c r="X224" s="30">
        <v>6.0</v>
      </c>
      <c r="Y224" s="30" t="s">
        <v>689</v>
      </c>
      <c r="Z224" s="30">
        <v>60.0</v>
      </c>
      <c r="AA224" s="30">
        <v>272.0</v>
      </c>
      <c r="AB224" s="30" t="s">
        <v>690</v>
      </c>
      <c r="AC224" s="30">
        <v>800.0</v>
      </c>
      <c r="AD224" s="30">
        <v>110.0</v>
      </c>
      <c r="AE224" s="30" t="s">
        <v>691</v>
      </c>
      <c r="AF224" s="30">
        <v>599.0</v>
      </c>
      <c r="AG224" s="30">
        <v>1415.0</v>
      </c>
      <c r="AH224" s="30" t="s">
        <v>730</v>
      </c>
      <c r="AI224" s="30" t="s">
        <v>731</v>
      </c>
      <c r="AJ224" s="30" t="s">
        <v>732</v>
      </c>
      <c r="AK224" s="30" t="s">
        <v>733</v>
      </c>
      <c r="AL224" s="30" t="s">
        <v>732</v>
      </c>
      <c r="AM224" s="30" t="s">
        <v>733</v>
      </c>
      <c r="AN224" s="30" t="s">
        <v>194</v>
      </c>
      <c r="AO224" s="30" t="s">
        <v>195</v>
      </c>
      <c r="AP224" s="30" t="s">
        <v>194</v>
      </c>
      <c r="AQ224" s="30" t="s">
        <v>195</v>
      </c>
      <c r="AR224" s="30" t="s">
        <v>732</v>
      </c>
      <c r="AS224" s="30" t="s">
        <v>733</v>
      </c>
      <c r="AT224" s="30" t="s">
        <v>194</v>
      </c>
      <c r="AU224" s="30" t="s">
        <v>195</v>
      </c>
      <c r="AV224" s="30" t="s">
        <v>194</v>
      </c>
      <c r="AW224" s="30" t="s">
        <v>195</v>
      </c>
      <c r="AX224" s="30" t="s">
        <v>194</v>
      </c>
      <c r="AY224" s="30" t="s">
        <v>195</v>
      </c>
      <c r="AZ224" s="30" t="s">
        <v>194</v>
      </c>
      <c r="BA224" s="30" t="s">
        <v>195</v>
      </c>
      <c r="BB224" s="30" t="s">
        <v>194</v>
      </c>
      <c r="BC224" s="30" t="s">
        <v>195</v>
      </c>
      <c r="BD224" s="30" t="s">
        <v>696</v>
      </c>
      <c r="BE224" s="30" t="s">
        <v>697</v>
      </c>
      <c r="BF224" s="30">
        <v>22509.0</v>
      </c>
      <c r="BG224" s="30" t="s">
        <v>68</v>
      </c>
      <c r="BH224" s="30">
        <v>0.0</v>
      </c>
      <c r="BI224" s="30">
        <v>100.0</v>
      </c>
      <c r="BJ224" s="33">
        <v>42699.55486111111</v>
      </c>
      <c r="BK224" s="30">
        <v>100.0</v>
      </c>
      <c r="BL224" s="33">
        <v>43060.36388888889</v>
      </c>
    </row>
    <row r="225" ht="15.75" customHeight="1">
      <c r="A225" s="8"/>
      <c r="B225" s="30" t="s">
        <v>160</v>
      </c>
      <c r="C225" s="31" t="s">
        <v>60</v>
      </c>
      <c r="D225" s="31">
        <v>4.0</v>
      </c>
      <c r="E225" s="30">
        <v>10.0</v>
      </c>
      <c r="F225" s="30">
        <v>0.0</v>
      </c>
      <c r="G225" s="32" t="s">
        <v>61</v>
      </c>
      <c r="H225" s="32">
        <v>35.0</v>
      </c>
      <c r="I225" s="31" t="s">
        <v>734</v>
      </c>
      <c r="J225" s="31" t="str">
        <f>IFERROR(__xludf.DUMMYFUNCTION("IF(ISBLANK(I225), """", GOOGLETRANSLATE(I225, ""es"", ""en""))"),"component identifier")</f>
        <v>component identifier</v>
      </c>
      <c r="M225" s="30">
        <v>13398.0</v>
      </c>
      <c r="N225" s="30">
        <v>2017.0</v>
      </c>
      <c r="O225" s="30">
        <v>26.0</v>
      </c>
      <c r="P225" s="30" t="s">
        <v>134</v>
      </c>
      <c r="Q225" s="30" t="s">
        <v>135</v>
      </c>
      <c r="R225" s="30">
        <v>24.0</v>
      </c>
      <c r="S225" s="30" t="s">
        <v>512</v>
      </c>
      <c r="T225" s="30">
        <v>11352.0</v>
      </c>
      <c r="U225" s="30">
        <v>17.0</v>
      </c>
      <c r="V225" s="30">
        <v>35.0</v>
      </c>
      <c r="W225" s="30" t="s">
        <v>688</v>
      </c>
      <c r="X225" s="30">
        <v>6.0</v>
      </c>
      <c r="Y225" s="30" t="s">
        <v>689</v>
      </c>
      <c r="Z225" s="30">
        <v>60.0</v>
      </c>
      <c r="AA225" s="30">
        <v>272.0</v>
      </c>
      <c r="AB225" s="30" t="s">
        <v>690</v>
      </c>
      <c r="AC225" s="30">
        <v>800.0</v>
      </c>
      <c r="AD225" s="30">
        <v>110.0</v>
      </c>
      <c r="AE225" s="30" t="s">
        <v>691</v>
      </c>
      <c r="AF225" s="30">
        <v>599.0</v>
      </c>
      <c r="AG225" s="30">
        <v>1421.0</v>
      </c>
      <c r="AH225" s="30" t="s">
        <v>735</v>
      </c>
      <c r="AI225" s="30" t="s">
        <v>736</v>
      </c>
      <c r="AJ225" s="30" t="s">
        <v>732</v>
      </c>
      <c r="AK225" s="30" t="s">
        <v>733</v>
      </c>
      <c r="AL225" s="30" t="s">
        <v>732</v>
      </c>
      <c r="AM225" s="30" t="s">
        <v>733</v>
      </c>
      <c r="AN225" s="30" t="s">
        <v>194</v>
      </c>
      <c r="AO225" s="30" t="s">
        <v>195</v>
      </c>
      <c r="AP225" s="30" t="s">
        <v>194</v>
      </c>
      <c r="AQ225" s="30" t="s">
        <v>195</v>
      </c>
      <c r="AR225" s="30" t="s">
        <v>732</v>
      </c>
      <c r="AS225" s="30" t="s">
        <v>733</v>
      </c>
      <c r="AT225" s="30" t="s">
        <v>194</v>
      </c>
      <c r="AU225" s="30" t="s">
        <v>195</v>
      </c>
      <c r="AV225" s="30" t="s">
        <v>194</v>
      </c>
      <c r="AW225" s="30" t="s">
        <v>195</v>
      </c>
      <c r="AX225" s="30" t="s">
        <v>194</v>
      </c>
      <c r="AY225" s="30" t="s">
        <v>195</v>
      </c>
      <c r="AZ225" s="30" t="s">
        <v>194</v>
      </c>
      <c r="BA225" s="30" t="s">
        <v>195</v>
      </c>
      <c r="BB225" s="30" t="s">
        <v>194</v>
      </c>
      <c r="BC225" s="30" t="s">
        <v>195</v>
      </c>
      <c r="BD225" s="30" t="s">
        <v>696</v>
      </c>
      <c r="BE225" s="30" t="s">
        <v>697</v>
      </c>
      <c r="BF225" s="30">
        <v>22510.0</v>
      </c>
      <c r="BG225" s="30" t="s">
        <v>68</v>
      </c>
      <c r="BH225" s="30">
        <v>0.0</v>
      </c>
      <c r="BI225" s="30">
        <v>100.0</v>
      </c>
      <c r="BJ225" s="33">
        <v>42699.55486111111</v>
      </c>
      <c r="BK225" s="30">
        <v>100.0</v>
      </c>
      <c r="BL225" s="33">
        <v>43060.36388888889</v>
      </c>
    </row>
    <row r="226" ht="15.75" customHeight="1">
      <c r="A226" s="8"/>
      <c r="B226" s="30" t="s">
        <v>161</v>
      </c>
      <c r="C226" s="31" t="s">
        <v>82</v>
      </c>
      <c r="D226" s="31">
        <v>250.0</v>
      </c>
      <c r="E226" s="30"/>
      <c r="F226" s="30"/>
      <c r="G226" s="32" t="s">
        <v>100</v>
      </c>
      <c r="H226" s="32" t="s">
        <v>688</v>
      </c>
      <c r="I226" s="31" t="s">
        <v>206</v>
      </c>
      <c r="J226" s="31" t="str">
        <f>IFERROR(__xludf.DUMMYFUNCTION("IF(ISBLANK(I226), """", GOOGLETRANSLATE(I226, ""es"", ""en""))"),"Component Description")</f>
        <v>Component Description</v>
      </c>
    </row>
    <row r="227" ht="15.75" customHeight="1">
      <c r="A227" s="8"/>
      <c r="B227" s="30" t="s">
        <v>653</v>
      </c>
      <c r="C227" s="31" t="s">
        <v>60</v>
      </c>
      <c r="D227" s="31">
        <v>4.0</v>
      </c>
      <c r="E227" s="30">
        <v>10.0</v>
      </c>
      <c r="F227" s="30">
        <v>0.0</v>
      </c>
      <c r="G227" s="32" t="s">
        <v>61</v>
      </c>
      <c r="H227" s="32">
        <v>6.0</v>
      </c>
      <c r="I227" s="31" t="s">
        <v>737</v>
      </c>
      <c r="J227" s="31" t="str">
        <f>IFERROR(__xludf.DUMMYFUNCTION("IF(ISBLANK(I227), """", GOOGLETRANSLATE(I227, ""es"", ""en""))"),"Generated Source Identifier")</f>
        <v>Generated Source Identifier</v>
      </c>
    </row>
    <row r="228" ht="15.75" customHeight="1">
      <c r="A228" s="8"/>
      <c r="B228" s="30" t="s">
        <v>654</v>
      </c>
      <c r="C228" s="31" t="s">
        <v>82</v>
      </c>
      <c r="D228" s="31">
        <v>120.0</v>
      </c>
      <c r="E228" s="30"/>
      <c r="F228" s="30"/>
      <c r="G228" s="32" t="s">
        <v>100</v>
      </c>
      <c r="H228" s="32" t="s">
        <v>689</v>
      </c>
      <c r="I228" s="31" t="s">
        <v>738</v>
      </c>
      <c r="J228" s="31" t="str">
        <f>IFERROR(__xludf.DUMMYFUNCTION("IF(ISBLANK(I228), """", GOOGLETRANSLATE(I228, ""es"", ""en""))"),"Description of the Genera Source")</f>
        <v>Description of the Genera Source</v>
      </c>
    </row>
    <row r="229" ht="15.75" customHeight="1">
      <c r="A229" s="8"/>
      <c r="B229" s="30" t="s">
        <v>655</v>
      </c>
      <c r="C229" s="31" t="s">
        <v>82</v>
      </c>
      <c r="D229" s="31">
        <v>10.0</v>
      </c>
      <c r="E229" s="30"/>
      <c r="F229" s="30"/>
      <c r="G229" s="32" t="s">
        <v>100</v>
      </c>
      <c r="H229" s="32">
        <v>60.0</v>
      </c>
      <c r="I229" s="31" t="s">
        <v>739</v>
      </c>
      <c r="J229" s="31" t="str">
        <f>IFERROR(__xludf.DUMMYFUNCTION("IF(ISBLANK(I229), """", GOOGLETRANSLATE(I229, ""es"", ""en""))"),"General Source Code")</f>
        <v>General Source Code</v>
      </c>
    </row>
    <row r="230" ht="15.75" customHeight="1">
      <c r="A230" s="8"/>
      <c r="B230" s="30" t="s">
        <v>656</v>
      </c>
      <c r="C230" s="31" t="s">
        <v>60</v>
      </c>
      <c r="D230" s="31">
        <v>4.0</v>
      </c>
      <c r="E230" s="30">
        <v>10.0</v>
      </c>
      <c r="F230" s="30">
        <v>0.0</v>
      </c>
      <c r="G230" s="32" t="s">
        <v>61</v>
      </c>
      <c r="H230" s="32">
        <v>272.0</v>
      </c>
      <c r="I230" s="31" t="s">
        <v>740</v>
      </c>
      <c r="J230" s="31" t="str">
        <f>IFERROR(__xludf.DUMMYFUNCTION("IF(ISBLANK(I230), """", GOOGLETRANSLATE(I230, ""es"", ""en""))"),"Specific Source Identifier")</f>
        <v>Specific Source Identifier</v>
      </c>
      <c r="K230" s="47"/>
    </row>
    <row r="231" ht="15.75" customHeight="1">
      <c r="A231" s="8"/>
      <c r="B231" s="30" t="s">
        <v>657</v>
      </c>
      <c r="C231" s="31" t="s">
        <v>82</v>
      </c>
      <c r="D231" s="31">
        <v>120.0</v>
      </c>
      <c r="E231" s="30"/>
      <c r="F231" s="30"/>
      <c r="G231" s="32" t="s">
        <v>100</v>
      </c>
      <c r="H231" s="32" t="s">
        <v>690</v>
      </c>
      <c r="I231" s="31" t="s">
        <v>741</v>
      </c>
      <c r="J231" s="31" t="str">
        <f>IFERROR(__xludf.DUMMYFUNCTION("IF(ISBLANK(I231), """", GOOGLETRANSLATE(I231, ""es"", ""en""))"),"Specific Source Description")</f>
        <v>Specific Source Description</v>
      </c>
      <c r="K231" s="40" t="s">
        <v>742</v>
      </c>
    </row>
    <row r="232" ht="15.75" customHeight="1">
      <c r="A232" s="8"/>
      <c r="B232" s="30" t="s">
        <v>658</v>
      </c>
      <c r="C232" s="31" t="s">
        <v>82</v>
      </c>
      <c r="D232" s="31">
        <v>10.0</v>
      </c>
      <c r="E232" s="30"/>
      <c r="F232" s="30"/>
      <c r="G232" s="32" t="s">
        <v>100</v>
      </c>
      <c r="H232" s="32">
        <v>800.0</v>
      </c>
      <c r="I232" s="31" t="s">
        <v>743</v>
      </c>
      <c r="J232" s="31" t="str">
        <f>IFERROR(__xludf.DUMMYFUNCTION("IF(ISBLANK(I232), """", GOOGLETRANSLATE(I232, ""es"", ""en""))"),"Specific Source Code")</f>
        <v>Specific Source Code</v>
      </c>
      <c r="K232" s="47" t="s">
        <v>744</v>
      </c>
    </row>
    <row r="233" ht="15.75" customHeight="1">
      <c r="A233" s="8"/>
      <c r="B233" s="30" t="s">
        <v>659</v>
      </c>
      <c r="C233" s="31" t="s">
        <v>60</v>
      </c>
      <c r="D233" s="31">
        <v>4.0</v>
      </c>
      <c r="E233" s="30">
        <v>10.0</v>
      </c>
      <c r="F233" s="30">
        <v>0.0</v>
      </c>
      <c r="G233" s="32" t="s">
        <v>61</v>
      </c>
      <c r="H233" s="32">
        <v>110.0</v>
      </c>
      <c r="I233" s="31" t="s">
        <v>745</v>
      </c>
      <c r="J233" s="31" t="str">
        <f>IFERROR(__xludf.DUMMYFUNCTION("IF(ISBLANK(I233), """", GOOGLETRANSLATE(I233, ""es"", ""en""))"),"Financing Agency Identifier")</f>
        <v>Financing Agency Identifier</v>
      </c>
    </row>
    <row r="234" ht="15.75" customHeight="1">
      <c r="A234" s="8"/>
      <c r="B234" s="30" t="s">
        <v>660</v>
      </c>
      <c r="C234" s="31" t="s">
        <v>82</v>
      </c>
      <c r="D234" s="31">
        <v>120.0</v>
      </c>
      <c r="E234" s="30"/>
      <c r="F234" s="30"/>
      <c r="G234" s="32" t="s">
        <v>100</v>
      </c>
      <c r="H234" s="32" t="s">
        <v>691</v>
      </c>
      <c r="I234" s="31" t="s">
        <v>746</v>
      </c>
      <c r="J234" s="31" t="str">
        <f>IFERROR(__xludf.DUMMYFUNCTION("IF(ISBLANK(I234), """", GOOGLETRANSLATE(I234, ""es"", ""en""))"),"Description of the Financing Organization")</f>
        <v>Description of the Financing Organization</v>
      </c>
    </row>
    <row r="235" ht="15.75" customHeight="1">
      <c r="A235" s="8"/>
      <c r="B235" s="30" t="s">
        <v>661</v>
      </c>
      <c r="C235" s="31" t="s">
        <v>82</v>
      </c>
      <c r="D235" s="31">
        <v>10.0</v>
      </c>
      <c r="E235" s="30"/>
      <c r="F235" s="30"/>
      <c r="G235" s="32" t="s">
        <v>100</v>
      </c>
      <c r="H235" s="32">
        <v>599.0</v>
      </c>
      <c r="I235" s="31" t="s">
        <v>747</v>
      </c>
      <c r="J235" s="31" t="str">
        <f>IFERROR(__xludf.DUMMYFUNCTION("IF(ISBLANK(I235), """", GOOGLETRANSLATE(I235, ""es"", ""en""))"),"Financing Agency Code")</f>
        <v>Financing Agency Code</v>
      </c>
    </row>
    <row r="236" ht="15.75" customHeight="1">
      <c r="A236" s="8"/>
      <c r="B236" s="30" t="s">
        <v>662</v>
      </c>
      <c r="C236" s="31" t="s">
        <v>60</v>
      </c>
      <c r="D236" s="31">
        <v>4.0</v>
      </c>
      <c r="E236" s="30">
        <v>10.0</v>
      </c>
      <c r="F236" s="30">
        <v>0.0</v>
      </c>
      <c r="G236" s="32" t="s">
        <v>61</v>
      </c>
      <c r="H236" s="32">
        <v>1510.0</v>
      </c>
      <c r="I236" s="31" t="s">
        <v>748</v>
      </c>
      <c r="J236" s="31" t="str">
        <f>IFERROR(__xludf.DUMMYFUNCTION("IF(ISBLANK(I236), """", GOOGLETRANSLATE(I236, ""es"", ""en""))"),"Expenditure Object Identifier")</f>
        <v>Expenditure Object Identifier</v>
      </c>
    </row>
    <row r="237" ht="15.75" customHeight="1">
      <c r="A237" s="8"/>
      <c r="B237" s="30" t="s">
        <v>663</v>
      </c>
      <c r="C237" s="31" t="s">
        <v>82</v>
      </c>
      <c r="D237" s="31">
        <v>120.0</v>
      </c>
      <c r="E237" s="30"/>
      <c r="F237" s="30"/>
      <c r="G237" s="32" t="s">
        <v>100</v>
      </c>
      <c r="H237" s="32" t="s">
        <v>704</v>
      </c>
      <c r="I237" s="31" t="s">
        <v>749</v>
      </c>
      <c r="J237" s="31" t="str">
        <f>IFERROR(__xludf.DUMMYFUNCTION("IF(ISBLANK(I237), """", GOOGLETRANSLATE(I237, ""es"", ""en""))"),"Description of the Expense Object")</f>
        <v>Description of the Expense Object</v>
      </c>
    </row>
    <row r="238" ht="15.75" customHeight="1">
      <c r="A238" s="8"/>
      <c r="B238" s="30" t="s">
        <v>664</v>
      </c>
      <c r="C238" s="31" t="s">
        <v>82</v>
      </c>
      <c r="D238" s="31">
        <v>15.0</v>
      </c>
      <c r="E238" s="30"/>
      <c r="F238" s="30"/>
      <c r="G238" s="32" t="s">
        <v>100</v>
      </c>
      <c r="H238" s="32" t="s">
        <v>705</v>
      </c>
      <c r="I238" s="31" t="s">
        <v>750</v>
      </c>
      <c r="J238" s="31" t="str">
        <f>IFERROR(__xludf.DUMMYFUNCTION("IF(ISBLANK(I238), """", GOOGLETRANSLATE(I238, ""es"", ""en""))"),"Expense object code")</f>
        <v>Expense object code</v>
      </c>
      <c r="K238" s="47"/>
    </row>
    <row r="239" ht="15.75" customHeight="1">
      <c r="A239" s="8"/>
      <c r="B239" s="30" t="s">
        <v>665</v>
      </c>
      <c r="C239" s="31" t="s">
        <v>220</v>
      </c>
      <c r="D239" s="31">
        <v>9.0</v>
      </c>
      <c r="E239" s="30">
        <v>19.0</v>
      </c>
      <c r="F239" s="30">
        <v>2.0</v>
      </c>
      <c r="G239" s="32" t="s">
        <v>61</v>
      </c>
      <c r="H239" s="32" t="s">
        <v>706</v>
      </c>
      <c r="I239" s="31" t="s">
        <v>751</v>
      </c>
      <c r="J239" s="31" t="str">
        <f>IFERROR(__xludf.DUMMYFUNCTION("IF(ISBLANK(I239), """", GOOGLETRANSLATE(I239, ""es"", ""en""))"),"Initial Value Scheduled for the project")</f>
        <v>Initial Value Scheduled for the project</v>
      </c>
      <c r="K239" s="40" t="s">
        <v>752</v>
      </c>
    </row>
    <row r="240" ht="15.75" customHeight="1">
      <c r="A240" s="8"/>
      <c r="B240" s="30" t="s">
        <v>666</v>
      </c>
      <c r="C240" s="31" t="s">
        <v>225</v>
      </c>
      <c r="D240" s="31">
        <v>8000.0</v>
      </c>
      <c r="E240" s="30"/>
      <c r="F240" s="30"/>
      <c r="G240" s="32" t="s">
        <v>100</v>
      </c>
      <c r="H240" s="32" t="s">
        <v>707</v>
      </c>
      <c r="I240" s="31" t="s">
        <v>753</v>
      </c>
      <c r="J240" s="31" t="str">
        <f>IFERROR(__xludf.DUMMYFUNCTION("IF(ISBLANK(I240), """", GOOGLETRANSLATE(I240, ""es"", ""en""))"),"Initial value programmed for the project in text")</f>
        <v>Initial value programmed for the project in text</v>
      </c>
      <c r="K240" s="47" t="s">
        <v>754</v>
      </c>
    </row>
    <row r="241" ht="15.75" customHeight="1">
      <c r="A241" s="8"/>
      <c r="B241" s="30" t="s">
        <v>667</v>
      </c>
      <c r="C241" s="31" t="s">
        <v>220</v>
      </c>
      <c r="D241" s="31">
        <v>9.0</v>
      </c>
      <c r="E241" s="30">
        <v>19.0</v>
      </c>
      <c r="F241" s="30">
        <v>2.0</v>
      </c>
      <c r="G241" s="32" t="s">
        <v>61</v>
      </c>
      <c r="H241" s="32" t="s">
        <v>706</v>
      </c>
      <c r="I241" s="31" t="s">
        <v>755</v>
      </c>
      <c r="J241" s="31" t="str">
        <f>IFERROR(__xludf.DUMMYFUNCTION("IF(ISBLANK(I241), """", GOOGLETRANSLATE(I241, ""es"", ""en""))"),"Approved Initial Value for the project")</f>
        <v>Approved Initial Value for the project</v>
      </c>
    </row>
    <row r="242" ht="15.75" customHeight="1">
      <c r="A242" s="8"/>
      <c r="B242" s="30" t="s">
        <v>668</v>
      </c>
      <c r="C242" s="31" t="s">
        <v>225</v>
      </c>
      <c r="D242" s="31">
        <v>8000.0</v>
      </c>
      <c r="E242" s="30"/>
      <c r="F242" s="30"/>
      <c r="G242" s="32" t="s">
        <v>100</v>
      </c>
      <c r="H242" s="32" t="s">
        <v>707</v>
      </c>
      <c r="I242" s="31" t="s">
        <v>756</v>
      </c>
      <c r="J242" s="31" t="str">
        <f>IFERROR(__xludf.DUMMYFUNCTION("IF(ISBLANK(I242), """", GOOGLETRANSLATE(I242, ""es"", ""en""))"),"Approved initial value for the project in text")</f>
        <v>Approved initial value for the project in text</v>
      </c>
    </row>
    <row r="243" ht="15.75" customHeight="1">
      <c r="A243" s="8"/>
      <c r="B243" s="30" t="s">
        <v>669</v>
      </c>
      <c r="C243" s="31" t="s">
        <v>220</v>
      </c>
      <c r="D243" s="31">
        <v>9.0</v>
      </c>
      <c r="E243" s="30">
        <v>19.0</v>
      </c>
      <c r="F243" s="30">
        <v>2.0</v>
      </c>
      <c r="G243" s="32" t="s">
        <v>61</v>
      </c>
      <c r="H243" s="32" t="s">
        <v>194</v>
      </c>
      <c r="I243" s="31" t="s">
        <v>757</v>
      </c>
      <c r="J243" s="31" t="str">
        <f>IFERROR(__xludf.DUMMYFUNCTION("IF(ISBLANK(I243), """", GOOGLETRANSLATE(I243, ""es"", ""en""))"),"Increase value for the project ")</f>
        <v>Increase value for the project </v>
      </c>
    </row>
    <row r="244" ht="15.75" customHeight="1">
      <c r="A244" s="8"/>
      <c r="B244" s="30" t="s">
        <v>670</v>
      </c>
      <c r="C244" s="31" t="s">
        <v>225</v>
      </c>
      <c r="D244" s="31">
        <v>8000.0</v>
      </c>
      <c r="E244" s="30"/>
      <c r="F244" s="30"/>
      <c r="G244" s="32" t="s">
        <v>100</v>
      </c>
      <c r="H244" s="32" t="s">
        <v>195</v>
      </c>
      <c r="I244" s="31" t="s">
        <v>758</v>
      </c>
      <c r="J244" s="31" t="str">
        <f>IFERROR(__xludf.DUMMYFUNCTION("IF(ISBLANK(I244), """", GOOGLETRANSLATE(I244, ""es"", ""en""))"),"Increase value for project in text")</f>
        <v>Increase value for project in text</v>
      </c>
    </row>
    <row r="245" ht="15.75" customHeight="1">
      <c r="A245" s="8"/>
      <c r="B245" s="30" t="s">
        <v>671</v>
      </c>
      <c r="C245" s="31" t="s">
        <v>220</v>
      </c>
      <c r="D245" s="31">
        <v>9.0</v>
      </c>
      <c r="E245" s="30">
        <v>19.0</v>
      </c>
      <c r="F245" s="30">
        <v>2.0</v>
      </c>
      <c r="G245" s="32" t="s">
        <v>61</v>
      </c>
      <c r="H245" s="32" t="s">
        <v>194</v>
      </c>
      <c r="I245" s="31" t="s">
        <v>759</v>
      </c>
      <c r="J245" s="31" t="str">
        <f>IFERROR(__xludf.DUMMYFUNCTION("IF(ISBLANK(I245), """", GOOGLETRANSLATE(I245, ""es"", ""en""))"),"Decrease value for the project")</f>
        <v>Decrease value for the project</v>
      </c>
    </row>
    <row r="246" ht="15.75" customHeight="1">
      <c r="A246" s="8"/>
      <c r="B246" s="30" t="s">
        <v>672</v>
      </c>
      <c r="C246" s="31" t="s">
        <v>225</v>
      </c>
      <c r="D246" s="31">
        <v>8000.0</v>
      </c>
      <c r="E246" s="30"/>
      <c r="F246" s="30"/>
      <c r="G246" s="32" t="s">
        <v>100</v>
      </c>
      <c r="H246" s="32" t="s">
        <v>195</v>
      </c>
      <c r="I246" s="31" t="s">
        <v>760</v>
      </c>
      <c r="J246" s="31" t="str">
        <f>IFERROR(__xludf.DUMMYFUNCTION("IF(ISBLANK(I246), """", GOOGLETRANSLATE(I246, ""es"", ""en""))"),"Decrease value for the project in text")</f>
        <v>Decrease value for the project in text</v>
      </c>
    </row>
    <row r="247" ht="15.75" customHeight="1">
      <c r="A247" s="8"/>
      <c r="B247" s="30" t="s">
        <v>673</v>
      </c>
      <c r="C247" s="31" t="s">
        <v>220</v>
      </c>
      <c r="D247" s="31">
        <v>9.0</v>
      </c>
      <c r="E247" s="30">
        <v>19.0</v>
      </c>
      <c r="F247" s="30">
        <v>2.0</v>
      </c>
      <c r="G247" s="32" t="s">
        <v>61</v>
      </c>
      <c r="H247" s="32" t="s">
        <v>706</v>
      </c>
      <c r="I247" s="31" t="s">
        <v>761</v>
      </c>
      <c r="J247" s="31" t="str">
        <f>IFERROR(__xludf.DUMMYFUNCTION("IF(ISBLANK(I247), """", GOOGLETRANSLATE(I247, ""es"", ""en""))"),"Current Value of the Project (RD$)")</f>
        <v>Current Value of the Project (RD$)</v>
      </c>
    </row>
    <row r="248" ht="15.75" customHeight="1">
      <c r="A248" s="8"/>
      <c r="B248" s="30" t="s">
        <v>674</v>
      </c>
      <c r="C248" s="31" t="s">
        <v>225</v>
      </c>
      <c r="D248" s="31">
        <v>8000.0</v>
      </c>
      <c r="E248" s="30"/>
      <c r="F248" s="30"/>
      <c r="G248" s="32" t="s">
        <v>100</v>
      </c>
      <c r="H248" s="32" t="s">
        <v>707</v>
      </c>
      <c r="I248" s="31" t="s">
        <v>762</v>
      </c>
      <c r="J248" s="31" t="str">
        <f>IFERROR(__xludf.DUMMYFUNCTION("IF(ISBLANK(I248), """", GOOGLETRANSLATE(I248, ""es"", ""en""))"),"Current Project Value (RD$) in text")</f>
        <v>Current Project Value (RD$) in text</v>
      </c>
    </row>
    <row r="249" ht="15.75" customHeight="1">
      <c r="A249" s="8"/>
      <c r="B249" s="30" t="s">
        <v>675</v>
      </c>
      <c r="C249" s="31" t="s">
        <v>220</v>
      </c>
      <c r="D249" s="31">
        <v>9.0</v>
      </c>
      <c r="E249" s="30">
        <v>19.0</v>
      </c>
      <c r="F249" s="30">
        <v>2.0</v>
      </c>
      <c r="G249" s="32" t="s">
        <v>61</v>
      </c>
      <c r="H249" s="32" t="s">
        <v>194</v>
      </c>
      <c r="I249" s="31" t="s">
        <v>763</v>
      </c>
      <c r="J249" s="31" t="str">
        <f>IFERROR(__xludf.DUMMYFUNCTION("IF(ISBLANK(I249), """", GOOGLETRANSLATE(I249, ""es"", ""en""))"),"Project Executed Value")</f>
        <v>Project Executed Value</v>
      </c>
    </row>
    <row r="250" ht="15.75" customHeight="1">
      <c r="A250" s="8"/>
      <c r="B250" s="30" t="s">
        <v>676</v>
      </c>
      <c r="C250" s="31" t="s">
        <v>225</v>
      </c>
      <c r="D250" s="31">
        <v>8000.0</v>
      </c>
      <c r="E250" s="30"/>
      <c r="F250" s="30"/>
      <c r="G250" s="32" t="s">
        <v>100</v>
      </c>
      <c r="H250" s="32" t="s">
        <v>195</v>
      </c>
      <c r="I250" s="31" t="s">
        <v>764</v>
      </c>
      <c r="J250" s="31" t="str">
        <f>IFERROR(__xludf.DUMMYFUNCTION("IF(ISBLANK(I250), """", GOOGLETRANSLATE(I250, ""es"", ""en""))"),"Project executed value in text")</f>
        <v>Project executed value in text</v>
      </c>
    </row>
    <row r="251" ht="15.75" customHeight="1">
      <c r="A251" s="8"/>
      <c r="B251" s="30" t="s">
        <v>677</v>
      </c>
      <c r="C251" s="31" t="s">
        <v>220</v>
      </c>
      <c r="D251" s="31">
        <v>9.0</v>
      </c>
      <c r="E251" s="30">
        <v>19.0</v>
      </c>
      <c r="F251" s="30">
        <v>2.0</v>
      </c>
      <c r="G251" s="32" t="s">
        <v>61</v>
      </c>
      <c r="H251" s="32" t="s">
        <v>194</v>
      </c>
      <c r="I251" s="31" t="s">
        <v>765</v>
      </c>
      <c r="J251" s="31" t="str">
        <f>IFERROR(__xludf.DUMMYFUNCTION("IF(ISBLANK(I251), """", GOOGLETRANSLATE(I251, ""es"", ""en""))"),"Executed value of the project in the first quarter")</f>
        <v>Executed value of the project in the first quarter</v>
      </c>
      <c r="K251" s="47"/>
    </row>
    <row r="252" ht="15.75" customHeight="1">
      <c r="A252" s="8"/>
      <c r="B252" s="30" t="s">
        <v>678</v>
      </c>
      <c r="C252" s="31" t="s">
        <v>225</v>
      </c>
      <c r="D252" s="31">
        <v>8000.0</v>
      </c>
      <c r="E252" s="30"/>
      <c r="F252" s="30"/>
      <c r="G252" s="32" t="s">
        <v>100</v>
      </c>
      <c r="H252" s="32" t="s">
        <v>195</v>
      </c>
      <c r="I252" s="31" t="s">
        <v>766</v>
      </c>
      <c r="J252" s="31" t="str">
        <f>IFERROR(__xludf.DUMMYFUNCTION("IF(ISBLANK(I252), """", GOOGLETRANSLATE(I252, ""es"", ""en""))"),"Executed value of the project in the first quarter in text")</f>
        <v>Executed value of the project in the first quarter in text</v>
      </c>
      <c r="K252" s="47"/>
    </row>
    <row r="253" ht="15.75" customHeight="1">
      <c r="A253" s="8"/>
      <c r="B253" s="30" t="s">
        <v>679</v>
      </c>
      <c r="C253" s="31" t="s">
        <v>220</v>
      </c>
      <c r="D253" s="31">
        <v>9.0</v>
      </c>
      <c r="E253" s="30">
        <v>19.0</v>
      </c>
      <c r="F253" s="30">
        <v>2.0</v>
      </c>
      <c r="G253" s="32" t="s">
        <v>61</v>
      </c>
      <c r="H253" s="32" t="s">
        <v>194</v>
      </c>
      <c r="I253" s="31" t="s">
        <v>767</v>
      </c>
      <c r="J253" s="31" t="str">
        <f>IFERROR(__xludf.DUMMYFUNCTION("IF(ISBLANK(I253), """", GOOGLETRANSLATE(I253, ""es"", ""en""))"),"Executed value of the project in the second quarter")</f>
        <v>Executed value of the project in the second quarter</v>
      </c>
      <c r="K253" s="47"/>
    </row>
    <row r="254" ht="15.75" customHeight="1">
      <c r="A254" s="8"/>
      <c r="B254" s="30" t="s">
        <v>680</v>
      </c>
      <c r="C254" s="31" t="s">
        <v>225</v>
      </c>
      <c r="D254" s="31">
        <v>8000.0</v>
      </c>
      <c r="E254" s="30"/>
      <c r="F254" s="30"/>
      <c r="G254" s="32" t="s">
        <v>100</v>
      </c>
      <c r="H254" s="32" t="s">
        <v>195</v>
      </c>
      <c r="I254" s="31" t="s">
        <v>768</v>
      </c>
      <c r="J254" s="31" t="str">
        <f>IFERROR(__xludf.DUMMYFUNCTION("IF(ISBLANK(I254), """", GOOGLETRANSLATE(I254, ""es"", ""en""))"),"Executed value of the project in the second quarter in text")</f>
        <v>Executed value of the project in the second quarter in text</v>
      </c>
      <c r="K254" s="47"/>
    </row>
    <row r="255" ht="15.75" customHeight="1">
      <c r="A255" s="8"/>
      <c r="B255" s="30" t="s">
        <v>681</v>
      </c>
      <c r="C255" s="31" t="s">
        <v>220</v>
      </c>
      <c r="D255" s="31">
        <v>9.0</v>
      </c>
      <c r="E255" s="30">
        <v>19.0</v>
      </c>
      <c r="F255" s="30">
        <v>2.0</v>
      </c>
      <c r="G255" s="32" t="s">
        <v>61</v>
      </c>
      <c r="H255" s="32" t="s">
        <v>194</v>
      </c>
      <c r="I255" s="31" t="s">
        <v>769</v>
      </c>
      <c r="J255" s="31" t="str">
        <f>IFERROR(__xludf.DUMMYFUNCTION("IF(ISBLANK(I255), """", GOOGLETRANSLATE(I255, ""es"", ""en""))"),"Executed value of the project in the third quarter")</f>
        <v>Executed value of the project in the third quarter</v>
      </c>
      <c r="K255" s="47"/>
    </row>
    <row r="256" ht="15.75" customHeight="1">
      <c r="A256" s="8"/>
      <c r="B256" s="30" t="s">
        <v>682</v>
      </c>
      <c r="C256" s="31" t="s">
        <v>225</v>
      </c>
      <c r="D256" s="31">
        <v>8000.0</v>
      </c>
      <c r="E256" s="30"/>
      <c r="F256" s="30"/>
      <c r="G256" s="32" t="s">
        <v>100</v>
      </c>
      <c r="H256" s="32" t="s">
        <v>195</v>
      </c>
      <c r="I256" s="31" t="s">
        <v>770</v>
      </c>
      <c r="J256" s="31" t="str">
        <f>IFERROR(__xludf.DUMMYFUNCTION("IF(ISBLANK(I256), """", GOOGLETRANSLATE(I256, ""es"", ""en""))"),"Executed value of the project in the third quarter in text")</f>
        <v>Executed value of the project in the third quarter in text</v>
      </c>
      <c r="K256" s="47"/>
    </row>
    <row r="257" ht="15.75" customHeight="1">
      <c r="A257" s="8"/>
      <c r="B257" s="30" t="s">
        <v>683</v>
      </c>
      <c r="C257" s="31" t="s">
        <v>220</v>
      </c>
      <c r="D257" s="31">
        <v>9.0</v>
      </c>
      <c r="E257" s="30">
        <v>19.0</v>
      </c>
      <c r="F257" s="30">
        <v>2.0</v>
      </c>
      <c r="G257" s="32" t="s">
        <v>61</v>
      </c>
      <c r="H257" s="32" t="s">
        <v>194</v>
      </c>
      <c r="I257" s="31" t="s">
        <v>771</v>
      </c>
      <c r="J257" s="31" t="str">
        <f>IFERROR(__xludf.DUMMYFUNCTION("IF(ISBLANK(I257), """", GOOGLETRANSLATE(I257, ""es"", ""en""))"),"Executed value of the project in the fourth quarter")</f>
        <v>Executed value of the project in the fourth quarter</v>
      </c>
      <c r="K257" s="47"/>
    </row>
    <row r="258" ht="15.75" customHeight="1">
      <c r="A258" s="8"/>
      <c r="B258" s="30" t="s">
        <v>684</v>
      </c>
      <c r="C258" s="31" t="s">
        <v>225</v>
      </c>
      <c r="D258" s="31">
        <v>8000.0</v>
      </c>
      <c r="E258" s="30"/>
      <c r="F258" s="30"/>
      <c r="G258" s="32" t="s">
        <v>100</v>
      </c>
      <c r="H258" s="32" t="s">
        <v>195</v>
      </c>
      <c r="I258" s="31" t="s">
        <v>772</v>
      </c>
      <c r="J258" s="31" t="str">
        <f>IFERROR(__xludf.DUMMYFUNCTION("IF(ISBLANK(I258), """", GOOGLETRANSLATE(I258, ""es"", ""en""))"),"Executed value of the project in the fourth quarter in text")</f>
        <v>Executed value of the project in the fourth quarter in text</v>
      </c>
      <c r="K258" s="47"/>
    </row>
    <row r="259" ht="15.75" customHeight="1">
      <c r="A259" s="8"/>
      <c r="B259" s="30" t="s">
        <v>393</v>
      </c>
      <c r="C259" s="31" t="s">
        <v>82</v>
      </c>
      <c r="D259" s="31">
        <v>1.0</v>
      </c>
      <c r="E259" s="30"/>
      <c r="F259" s="30"/>
      <c r="G259" s="32" t="s">
        <v>61</v>
      </c>
      <c r="H259" s="32" t="s">
        <v>696</v>
      </c>
      <c r="I259" s="31" t="s">
        <v>773</v>
      </c>
      <c r="J259" s="31" t="str">
        <f>IFERROR(__xludf.DUMMYFUNCTION("IF(ISBLANK(I259), """", GOOGLETRANSLATE(I259, ""es"", ""en""))"),"Project Origin (P= Prioritization)")</f>
        <v>Project Origin (P= Prioritization)</v>
      </c>
      <c r="K259" s="47"/>
    </row>
    <row r="260" ht="15.75" customHeight="1">
      <c r="A260" s="8"/>
      <c r="B260" s="30" t="s">
        <v>394</v>
      </c>
      <c r="C260" s="31" t="s">
        <v>82</v>
      </c>
      <c r="D260" s="31">
        <v>30.0</v>
      </c>
      <c r="E260" s="30"/>
      <c r="F260" s="30"/>
      <c r="G260" s="32" t="s">
        <v>61</v>
      </c>
      <c r="H260" s="32" t="s">
        <v>697</v>
      </c>
      <c r="I260" s="31" t="s">
        <v>773</v>
      </c>
      <c r="J260" s="31" t="str">
        <f>IFERROR(__xludf.DUMMYFUNCTION("IF(ISBLANK(I260), """", GOOGLETRANSLATE(I260, ""es"", ""en""))"),"Project Origin (P= Prioritization)")</f>
        <v>Project Origin (P= Prioritization)</v>
      </c>
      <c r="K260" s="47"/>
    </row>
    <row r="261" ht="15.75" customHeight="1">
      <c r="A261" s="8"/>
      <c r="B261" s="30" t="s">
        <v>685</v>
      </c>
      <c r="C261" s="31" t="s">
        <v>60</v>
      </c>
      <c r="D261" s="31">
        <v>4.0</v>
      </c>
      <c r="E261" s="30">
        <v>10.0</v>
      </c>
      <c r="F261" s="30">
        <v>0.0</v>
      </c>
      <c r="G261" s="32" t="s">
        <v>61</v>
      </c>
      <c r="H261" s="32">
        <v>22503.0</v>
      </c>
      <c r="I261" s="50" t="s">
        <v>774</v>
      </c>
      <c r="J261" s="50" t="str">
        <f>IFERROR(__xludf.DUMMYFUNCTION("IF(ISBLANK(I261), """", GOOGLETRANSLATE(I261, ""es"", ""en""))"),"Budget Identifier (To be reviewed)")</f>
        <v>Budget Identifier (To be reviewed)</v>
      </c>
      <c r="K261" s="47"/>
    </row>
    <row r="262" ht="15.75" customHeight="1">
      <c r="A262" s="8"/>
      <c r="B262" s="30" t="s">
        <v>54</v>
      </c>
      <c r="C262" s="31" t="s">
        <v>82</v>
      </c>
      <c r="D262" s="31">
        <v>32.0</v>
      </c>
      <c r="E262" s="30"/>
      <c r="F262" s="30"/>
      <c r="G262" s="32" t="s">
        <v>61</v>
      </c>
      <c r="H262" s="32" t="s">
        <v>68</v>
      </c>
      <c r="I262" s="31" t="s">
        <v>153</v>
      </c>
      <c r="J262" s="31" t="str">
        <f>IFERROR(__xludf.DUMMYFUNCTION("IF(ISBLANK(I262), """", GOOGLETRANSLATE(I262, ""es"", ""en""))"),"Registration Status")</f>
        <v>Registration Status</v>
      </c>
      <c r="K262" s="47"/>
    </row>
    <row r="263" ht="15.75" customHeight="1">
      <c r="A263" s="8"/>
      <c r="B263" s="30" t="s">
        <v>55</v>
      </c>
      <c r="C263" s="31" t="s">
        <v>60</v>
      </c>
      <c r="D263" s="31">
        <v>4.0</v>
      </c>
      <c r="E263" s="30">
        <v>10.0</v>
      </c>
      <c r="F263" s="30">
        <v>0.0</v>
      </c>
      <c r="G263" s="32" t="s">
        <v>100</v>
      </c>
      <c r="H263" s="32">
        <v>0.0</v>
      </c>
      <c r="I263" s="31"/>
      <c r="J263" s="31" t="str">
        <f>IFERROR(__xludf.DUMMYFUNCTION("IF(ISBLANK(I263), """", GOOGLETRANSLATE(I263, ""es"", ""en""))"),"")</f>
        <v/>
      </c>
      <c r="K263" s="47"/>
    </row>
    <row r="264" ht="15.75" customHeight="1">
      <c r="A264" s="8"/>
      <c r="B264" s="30" t="s">
        <v>56</v>
      </c>
      <c r="C264" s="31" t="s">
        <v>60</v>
      </c>
      <c r="D264" s="31">
        <v>4.0</v>
      </c>
      <c r="E264" s="30">
        <v>10.0</v>
      </c>
      <c r="F264" s="30">
        <v>0.0</v>
      </c>
      <c r="G264" s="32" t="s">
        <v>61</v>
      </c>
      <c r="H264" s="32">
        <v>100.0</v>
      </c>
      <c r="I264" s="31" t="s">
        <v>101</v>
      </c>
      <c r="J264" s="31" t="str">
        <f>IFERROR(__xludf.DUMMYFUNCTION("IF(ISBLANK(I264), """", GOOGLETRANSLATE(I264, ""es"", ""en""))"),"User who inserted the record, Fields used by the institution for internal use")</f>
        <v>User who inserted the record, Fields used by the institution for internal use</v>
      </c>
      <c r="K264" s="47"/>
    </row>
    <row r="265" ht="15.75" customHeight="1">
      <c r="A265" s="8"/>
      <c r="B265" s="30" t="s">
        <v>57</v>
      </c>
      <c r="C265" s="31" t="s">
        <v>102</v>
      </c>
      <c r="D265" s="31">
        <v>4.0</v>
      </c>
      <c r="E265" s="30"/>
      <c r="F265" s="30"/>
      <c r="G265" s="32" t="s">
        <v>61</v>
      </c>
      <c r="H265" s="44">
        <v>42699.55486111111</v>
      </c>
      <c r="I265" s="31" t="s">
        <v>103</v>
      </c>
      <c r="J265" s="31" t="str">
        <f>IFERROR(__xludf.DUMMYFUNCTION("IF(ISBLANK(I265), """", GOOGLETRANSLATE(I265, ""es"", ""en""))"),"Insertion date, Fields used by the institution for internal use")</f>
        <v>Insertion date, Fields used by the institution for internal use</v>
      </c>
      <c r="K265" s="47"/>
    </row>
    <row r="266" ht="15.75" customHeight="1">
      <c r="A266" s="8"/>
      <c r="B266" s="30" t="s">
        <v>58</v>
      </c>
      <c r="C266" s="31" t="s">
        <v>60</v>
      </c>
      <c r="D266" s="31">
        <v>4.0</v>
      </c>
      <c r="E266" s="30">
        <v>10.0</v>
      </c>
      <c r="F266" s="30">
        <v>0.0</v>
      </c>
      <c r="G266" s="32" t="s">
        <v>100</v>
      </c>
      <c r="H266" s="32">
        <v>100.0</v>
      </c>
      <c r="I266" s="31" t="s">
        <v>104</v>
      </c>
      <c r="J266" s="31" t="str">
        <f>IFERROR(__xludf.DUMMYFUNCTION("IF(ISBLANK(I266), """", GOOGLETRANSLATE(I266, ""es"", ""en""))"),"Update User Callsign")</f>
        <v>Update User Callsign</v>
      </c>
      <c r="K266" s="47"/>
    </row>
    <row r="267" ht="15.75" customHeight="1">
      <c r="A267" s="8"/>
      <c r="B267" s="30" t="s">
        <v>59</v>
      </c>
      <c r="C267" s="31" t="s">
        <v>102</v>
      </c>
      <c r="D267" s="31">
        <v>4.0</v>
      </c>
      <c r="E267" s="30"/>
      <c r="F267" s="30"/>
      <c r="G267" s="32" t="s">
        <v>100</v>
      </c>
      <c r="H267" s="44">
        <v>43060.36388888889</v>
      </c>
      <c r="I267" s="31" t="s">
        <v>105</v>
      </c>
      <c r="J267" s="31" t="str">
        <f>IFERROR(__xludf.DUMMYFUNCTION("IF(ISBLANK(I267), """", GOOGLETRANSLATE(I267, ""es"", ""en""))"),"Update date")</f>
        <v>Update date</v>
      </c>
      <c r="K267" s="47"/>
    </row>
    <row r="268" ht="15.75" customHeight="1">
      <c r="C268" s="4"/>
      <c r="D268" s="4"/>
      <c r="H268" s="3"/>
      <c r="I268" s="4"/>
    </row>
    <row r="269" ht="15.75" customHeight="1">
      <c r="C269" s="4"/>
      <c r="D269" s="4"/>
      <c r="H269" s="3"/>
      <c r="I269" s="4"/>
    </row>
    <row r="270" ht="15.75" customHeight="1">
      <c r="C270" s="4"/>
      <c r="D270" s="4"/>
      <c r="H270" s="3"/>
      <c r="I270" s="4"/>
    </row>
    <row r="271" ht="15.75" customHeight="1">
      <c r="C271" s="4"/>
      <c r="D271" s="4"/>
      <c r="H271" s="3"/>
      <c r="I271" s="4"/>
    </row>
    <row r="272" ht="15.75" customHeight="1">
      <c r="C272" s="4"/>
      <c r="D272" s="4"/>
      <c r="H272" s="3"/>
      <c r="I272" s="4"/>
    </row>
    <row r="273" ht="15.75" customHeight="1">
      <c r="A273" s="17"/>
      <c r="B273" s="38" t="s">
        <v>775</v>
      </c>
      <c r="C273" s="20"/>
      <c r="D273" s="20"/>
      <c r="E273" s="20"/>
      <c r="F273" s="20"/>
      <c r="G273" s="20"/>
      <c r="H273" s="20"/>
      <c r="I273" s="20"/>
      <c r="J273" s="22"/>
    </row>
    <row r="274" ht="33.75" customHeight="1">
      <c r="A274" s="18"/>
      <c r="B274" s="19" t="s">
        <v>776</v>
      </c>
      <c r="C274" s="20"/>
      <c r="D274" s="20"/>
      <c r="E274" s="20"/>
      <c r="F274" s="20"/>
      <c r="G274" s="20"/>
      <c r="H274" s="35" t="str">
        <f>IFERROR(__xludf.DUMMYFUNCTION("IF(ISBLANK(B274), """", GOOGLETRANSLATE(B274, ""es"", ""en""))"),"Projects with physical progress")</f>
        <v>Projects with physical progress</v>
      </c>
      <c r="I274" s="20"/>
      <c r="J274" s="22"/>
      <c r="K274" s="23"/>
      <c r="L274" s="23"/>
      <c r="M274" s="24" t="s">
        <v>33</v>
      </c>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c r="AY274" s="23"/>
      <c r="AZ274" s="23"/>
      <c r="BA274" s="23"/>
      <c r="BB274" s="23"/>
      <c r="BC274" s="23"/>
      <c r="BD274" s="23"/>
      <c r="BE274" s="23"/>
      <c r="BF274" s="23"/>
      <c r="BG274" s="23"/>
      <c r="BH274" s="23"/>
      <c r="BI274" s="23"/>
      <c r="BJ274" s="23"/>
      <c r="BK274" s="23"/>
      <c r="BL274" s="23"/>
      <c r="BM274" s="23"/>
      <c r="BN274" s="23"/>
      <c r="BO274" s="23"/>
      <c r="BP274" s="23"/>
      <c r="BQ274" s="23"/>
      <c r="BR274" s="23"/>
      <c r="BS274" s="23"/>
      <c r="BT274" s="23"/>
      <c r="BU274" s="23"/>
      <c r="BV274" s="23"/>
      <c r="BW274" s="23"/>
      <c r="BX274" s="23"/>
      <c r="BY274" s="23"/>
      <c r="BZ274" s="23"/>
      <c r="CA274" s="23"/>
      <c r="CB274" s="23"/>
    </row>
    <row r="275" ht="15.75" customHeight="1">
      <c r="A275" s="25"/>
      <c r="B275" s="26" t="s">
        <v>34</v>
      </c>
      <c r="C275" s="27" t="s">
        <v>35</v>
      </c>
      <c r="D275" s="27" t="s">
        <v>36</v>
      </c>
      <c r="E275" s="26" t="s">
        <v>37</v>
      </c>
      <c r="F275" s="26" t="s">
        <v>38</v>
      </c>
      <c r="G275" s="26" t="s">
        <v>39</v>
      </c>
      <c r="H275" s="28" t="s">
        <v>40</v>
      </c>
      <c r="I275" s="28" t="s">
        <v>41</v>
      </c>
      <c r="J275" s="28" t="s">
        <v>42</v>
      </c>
      <c r="K275" s="40" t="s">
        <v>777</v>
      </c>
      <c r="M275" s="6" t="s">
        <v>778</v>
      </c>
      <c r="N275" s="6" t="s">
        <v>779</v>
      </c>
      <c r="O275" s="6" t="s">
        <v>650</v>
      </c>
      <c r="P275" s="6" t="s">
        <v>157</v>
      </c>
      <c r="Q275" s="6" t="s">
        <v>162</v>
      </c>
      <c r="R275" s="6" t="s">
        <v>780</v>
      </c>
      <c r="S275" s="6" t="s">
        <v>163</v>
      </c>
      <c r="T275" s="6" t="s">
        <v>164</v>
      </c>
      <c r="U275" s="6" t="s">
        <v>165</v>
      </c>
      <c r="V275" s="6" t="s">
        <v>160</v>
      </c>
      <c r="W275" s="6" t="s">
        <v>161</v>
      </c>
      <c r="X275" s="6" t="s">
        <v>781</v>
      </c>
      <c r="Y275" s="6" t="s">
        <v>166</v>
      </c>
      <c r="Z275" s="6" t="s">
        <v>167</v>
      </c>
      <c r="AA275" s="6" t="s">
        <v>782</v>
      </c>
      <c r="AB275" s="6" t="s">
        <v>783</v>
      </c>
      <c r="AC275" s="6" t="s">
        <v>784</v>
      </c>
      <c r="AD275" s="6" t="s">
        <v>785</v>
      </c>
      <c r="AE275" s="6" t="s">
        <v>786</v>
      </c>
      <c r="AF275" s="6" t="s">
        <v>787</v>
      </c>
      <c r="AG275" s="6" t="s">
        <v>788</v>
      </c>
      <c r="AH275" s="6" t="s">
        <v>789</v>
      </c>
      <c r="AI275" s="6" t="s">
        <v>790</v>
      </c>
      <c r="AJ275" s="6" t="s">
        <v>791</v>
      </c>
      <c r="AK275" s="6" t="s">
        <v>792</v>
      </c>
      <c r="AL275" s="6" t="s">
        <v>793</v>
      </c>
      <c r="AM275" s="6" t="s">
        <v>794</v>
      </c>
      <c r="AN275" s="6" t="s">
        <v>795</v>
      </c>
      <c r="AO275" s="6" t="s">
        <v>796</v>
      </c>
      <c r="AP275" s="6" t="s">
        <v>797</v>
      </c>
      <c r="AQ275" s="6" t="s">
        <v>798</v>
      </c>
      <c r="AR275" s="6" t="s">
        <v>799</v>
      </c>
      <c r="AS275" s="6" t="s">
        <v>800</v>
      </c>
      <c r="AT275" s="6" t="s">
        <v>801</v>
      </c>
      <c r="AU275" s="6" t="s">
        <v>802</v>
      </c>
      <c r="AV275" s="6" t="s">
        <v>803</v>
      </c>
      <c r="AW275" s="6" t="s">
        <v>804</v>
      </c>
      <c r="AX275" s="6" t="s">
        <v>805</v>
      </c>
      <c r="AY275" s="6" t="s">
        <v>184</v>
      </c>
      <c r="AZ275" s="6" t="s">
        <v>185</v>
      </c>
      <c r="BA275" s="6" t="s">
        <v>158</v>
      </c>
      <c r="BB275" s="6" t="s">
        <v>248</v>
      </c>
      <c r="BC275" s="6" t="s">
        <v>186</v>
      </c>
      <c r="BD275" s="6" t="s">
        <v>346</v>
      </c>
      <c r="BE275" s="6" t="s">
        <v>249</v>
      </c>
      <c r="BF275" s="6" t="s">
        <v>387</v>
      </c>
      <c r="BG275" s="6" t="s">
        <v>388</v>
      </c>
      <c r="BH275" s="6" t="s">
        <v>54</v>
      </c>
      <c r="BI275" s="6" t="s">
        <v>55</v>
      </c>
      <c r="BJ275" s="6" t="s">
        <v>56</v>
      </c>
      <c r="BK275" s="6" t="s">
        <v>57</v>
      </c>
      <c r="BL275" s="6" t="s">
        <v>58</v>
      </c>
      <c r="BM275" s="6" t="s">
        <v>59</v>
      </c>
    </row>
    <row r="276" ht="15.75" customHeight="1">
      <c r="A276" s="8"/>
      <c r="B276" s="30" t="s">
        <v>778</v>
      </c>
      <c r="C276" s="31" t="s">
        <v>60</v>
      </c>
      <c r="D276" s="31">
        <v>4.0</v>
      </c>
      <c r="E276" s="30">
        <v>10.0</v>
      </c>
      <c r="F276" s="30">
        <v>0.0</v>
      </c>
      <c r="G276" s="32" t="s">
        <v>61</v>
      </c>
      <c r="H276" s="32">
        <v>23.0</v>
      </c>
      <c r="I276" s="31" t="s">
        <v>806</v>
      </c>
      <c r="J276" s="31" t="str">
        <f>IFERROR(__xludf.DUMMYFUNCTION("IF(ISBLANK(I276), """", GOOGLETRANSLATE(I276, ""es"", ""en""))"),"Unique identifier of the Physical Execution")</f>
        <v>Unique identifier of the Physical Execution</v>
      </c>
      <c r="K276" s="54" t="s">
        <v>807</v>
      </c>
      <c r="M276" s="30">
        <v>8.0</v>
      </c>
      <c r="N276" s="30">
        <v>24.0</v>
      </c>
      <c r="O276" s="30">
        <v>2017.0</v>
      </c>
      <c r="P276" s="30">
        <v>15.0</v>
      </c>
      <c r="Q276" s="30">
        <v>6314.0</v>
      </c>
      <c r="R276" s="30">
        <v>58.0</v>
      </c>
      <c r="S276" s="30" t="s">
        <v>808</v>
      </c>
      <c r="T276" s="30">
        <v>30.0</v>
      </c>
      <c r="U276" s="30" t="s">
        <v>809</v>
      </c>
      <c r="V276" s="30">
        <v>0.0</v>
      </c>
      <c r="W276" s="30" t="s">
        <v>810</v>
      </c>
      <c r="X276" s="30">
        <v>0.0</v>
      </c>
      <c r="Y276" s="30" t="s">
        <v>811</v>
      </c>
      <c r="Z276" s="30" t="s">
        <v>811</v>
      </c>
      <c r="AA276" s="30" t="s">
        <v>812</v>
      </c>
      <c r="AB276" s="30" t="s">
        <v>812</v>
      </c>
      <c r="AC276" s="30" t="s">
        <v>812</v>
      </c>
      <c r="AD276" s="30" t="s">
        <v>812</v>
      </c>
      <c r="AE276" s="30" t="s">
        <v>198</v>
      </c>
      <c r="AF276" s="30" t="s">
        <v>198</v>
      </c>
      <c r="AG276" s="30" t="s">
        <v>812</v>
      </c>
      <c r="AH276" s="30" t="s">
        <v>812</v>
      </c>
      <c r="AI276" s="30" t="s">
        <v>812</v>
      </c>
      <c r="AJ276" s="30" t="s">
        <v>812</v>
      </c>
      <c r="AK276" s="30" t="s">
        <v>198</v>
      </c>
      <c r="AL276" s="30" t="s">
        <v>198</v>
      </c>
      <c r="AM276" s="30" t="s">
        <v>812</v>
      </c>
      <c r="AN276" s="30" t="s">
        <v>812</v>
      </c>
      <c r="AO276" s="30" t="s">
        <v>812</v>
      </c>
      <c r="AP276" s="30" t="s">
        <v>812</v>
      </c>
      <c r="AQ276" s="30" t="s">
        <v>812</v>
      </c>
      <c r="AR276" s="30" t="s">
        <v>812</v>
      </c>
      <c r="AS276" s="30" t="s">
        <v>812</v>
      </c>
      <c r="AT276" s="30" t="s">
        <v>812</v>
      </c>
      <c r="AU276" s="30" t="s">
        <v>812</v>
      </c>
      <c r="AV276" s="30" t="s">
        <v>812</v>
      </c>
      <c r="AW276" s="30" t="s">
        <v>812</v>
      </c>
      <c r="AX276" s="30" t="s">
        <v>812</v>
      </c>
      <c r="AY276" s="30" t="s">
        <v>811</v>
      </c>
      <c r="AZ276" s="30" t="s">
        <v>811</v>
      </c>
      <c r="BA276" s="30">
        <v>3907.0</v>
      </c>
      <c r="BB276" s="30" t="s">
        <v>813</v>
      </c>
      <c r="BC276" s="30">
        <v>4062.0</v>
      </c>
      <c r="BD276" s="30">
        <v>13880.0</v>
      </c>
      <c r="BE276" s="30" t="s">
        <v>189</v>
      </c>
      <c r="BF276" s="30" t="s">
        <v>422</v>
      </c>
      <c r="BG276" s="30" t="s">
        <v>423</v>
      </c>
      <c r="BH276" s="30" t="s">
        <v>68</v>
      </c>
      <c r="BI276" s="30">
        <v>0.0</v>
      </c>
      <c r="BJ276" s="30">
        <v>41.0</v>
      </c>
      <c r="BK276" s="33">
        <v>42674.59861111111</v>
      </c>
      <c r="BL276" s="30">
        <v>41.0</v>
      </c>
      <c r="BM276" s="33">
        <v>42674.59930555556</v>
      </c>
    </row>
    <row r="277" ht="15.75" customHeight="1">
      <c r="A277" s="8"/>
      <c r="B277" s="30" t="s">
        <v>779</v>
      </c>
      <c r="C277" s="31" t="s">
        <v>60</v>
      </c>
      <c r="D277" s="31">
        <v>4.0</v>
      </c>
      <c r="E277" s="30">
        <v>10.0</v>
      </c>
      <c r="F277" s="30">
        <v>0.0</v>
      </c>
      <c r="G277" s="32" t="s">
        <v>61</v>
      </c>
      <c r="H277" s="32">
        <v>39.0</v>
      </c>
      <c r="I277" s="31" t="s">
        <v>814</v>
      </c>
      <c r="J277" s="31" t="str">
        <f>IFERROR(__xludf.DUMMYFUNCTION("IF(ISBLANK(I277), """", GOOGLETRANSLATE(I277, ""es"", ""en""))"),"Document identifier (To be reviewed)")</f>
        <v>Document identifier (To be reviewed)</v>
      </c>
      <c r="M277" s="30">
        <v>10.0</v>
      </c>
      <c r="N277" s="30">
        <v>26.0</v>
      </c>
      <c r="O277" s="30">
        <v>2017.0</v>
      </c>
      <c r="P277" s="30">
        <v>17.0</v>
      </c>
      <c r="Q277" s="30">
        <v>6316.0</v>
      </c>
      <c r="R277" s="30">
        <v>58.0</v>
      </c>
      <c r="S277" s="30" t="s">
        <v>808</v>
      </c>
      <c r="T277" s="30">
        <v>30.0</v>
      </c>
      <c r="U277" s="30" t="s">
        <v>809</v>
      </c>
      <c r="V277" s="30">
        <v>0.0</v>
      </c>
      <c r="W277" s="30" t="s">
        <v>810</v>
      </c>
      <c r="X277" s="30">
        <v>0.0</v>
      </c>
      <c r="Y277" s="30" t="s">
        <v>815</v>
      </c>
      <c r="Z277" s="30" t="s">
        <v>815</v>
      </c>
      <c r="AA277" s="30" t="s">
        <v>198</v>
      </c>
      <c r="AB277" s="30" t="s">
        <v>198</v>
      </c>
      <c r="AC277" s="30" t="s">
        <v>198</v>
      </c>
      <c r="AD277" s="30" t="s">
        <v>198</v>
      </c>
      <c r="AE277" s="30" t="s">
        <v>198</v>
      </c>
      <c r="AF277" s="30" t="s">
        <v>198</v>
      </c>
      <c r="AG277" s="30" t="s">
        <v>198</v>
      </c>
      <c r="AH277" s="30" t="s">
        <v>198</v>
      </c>
      <c r="AI277" s="30" t="s">
        <v>816</v>
      </c>
      <c r="AJ277" s="30" t="s">
        <v>816</v>
      </c>
      <c r="AK277" s="30" t="s">
        <v>198</v>
      </c>
      <c r="AL277" s="30" t="s">
        <v>198</v>
      </c>
      <c r="AM277" s="30" t="s">
        <v>198</v>
      </c>
      <c r="AN277" s="30" t="s">
        <v>198</v>
      </c>
      <c r="AO277" s="30" t="s">
        <v>198</v>
      </c>
      <c r="AP277" s="30" t="s">
        <v>198</v>
      </c>
      <c r="AQ277" s="30" t="s">
        <v>198</v>
      </c>
      <c r="AR277" s="30" t="s">
        <v>198</v>
      </c>
      <c r="AS277" s="30" t="s">
        <v>198</v>
      </c>
      <c r="AT277" s="30" t="s">
        <v>198</v>
      </c>
      <c r="AU277" s="30" t="s">
        <v>198</v>
      </c>
      <c r="AV277" s="30" t="s">
        <v>198</v>
      </c>
      <c r="AW277" s="30" t="s">
        <v>198</v>
      </c>
      <c r="AX277" s="30" t="s">
        <v>198</v>
      </c>
      <c r="AY277" s="30" t="s">
        <v>815</v>
      </c>
      <c r="AZ277" s="30" t="s">
        <v>815</v>
      </c>
      <c r="BA277" s="30">
        <v>3911.0</v>
      </c>
      <c r="BB277" s="30" t="s">
        <v>817</v>
      </c>
      <c r="BC277" s="30">
        <v>4069.0</v>
      </c>
      <c r="BD277" s="30">
        <v>13896.0</v>
      </c>
      <c r="BE277" s="30" t="s">
        <v>189</v>
      </c>
      <c r="BF277" s="30" t="s">
        <v>422</v>
      </c>
      <c r="BG277" s="30" t="s">
        <v>423</v>
      </c>
      <c r="BH277" s="30" t="s">
        <v>68</v>
      </c>
      <c r="BI277" s="30">
        <v>0.0</v>
      </c>
      <c r="BJ277" s="30">
        <v>41.0</v>
      </c>
      <c r="BK277" s="33">
        <v>42674.61388888889</v>
      </c>
      <c r="BL277" s="30">
        <v>41.0</v>
      </c>
      <c r="BM277" s="33">
        <v>42674.61388888889</v>
      </c>
    </row>
    <row r="278" ht="15.75" customHeight="1">
      <c r="A278" s="8"/>
      <c r="B278" s="30" t="s">
        <v>650</v>
      </c>
      <c r="C278" s="31" t="s">
        <v>60</v>
      </c>
      <c r="D278" s="31">
        <v>4.0</v>
      </c>
      <c r="E278" s="30">
        <v>10.0</v>
      </c>
      <c r="F278" s="30">
        <v>0.0</v>
      </c>
      <c r="G278" s="32" t="s">
        <v>61</v>
      </c>
      <c r="H278" s="32">
        <v>2017.0</v>
      </c>
      <c r="I278" s="31" t="s">
        <v>818</v>
      </c>
      <c r="J278" s="31" t="str">
        <f>IFERROR(__xludf.DUMMYFUNCTION("IF(ISBLANK(I278), """", GOOGLETRANSLATE(I278, ""es"", ""en""))"),"Reporting Period or Year")</f>
        <v>Reporting Period or Year</v>
      </c>
      <c r="M278" s="30">
        <v>23.0</v>
      </c>
      <c r="N278" s="30">
        <v>39.0</v>
      </c>
      <c r="O278" s="30">
        <v>2017.0</v>
      </c>
      <c r="P278" s="30">
        <v>30.0</v>
      </c>
      <c r="Q278" s="30">
        <v>6329.0</v>
      </c>
      <c r="R278" s="30">
        <v>58.0</v>
      </c>
      <c r="S278" s="30" t="s">
        <v>808</v>
      </c>
      <c r="T278" s="30">
        <v>30.0</v>
      </c>
      <c r="U278" s="30" t="s">
        <v>809</v>
      </c>
      <c r="V278" s="30">
        <v>0.0</v>
      </c>
      <c r="W278" s="30" t="s">
        <v>810</v>
      </c>
      <c r="X278" s="30">
        <v>0.0</v>
      </c>
      <c r="Y278" s="30" t="s">
        <v>819</v>
      </c>
      <c r="Z278" s="30" t="s">
        <v>819</v>
      </c>
      <c r="AA278" s="30" t="s">
        <v>820</v>
      </c>
      <c r="AB278" s="30" t="s">
        <v>820</v>
      </c>
      <c r="AC278" s="30" t="s">
        <v>820</v>
      </c>
      <c r="AD278" s="30" t="s">
        <v>820</v>
      </c>
      <c r="AE278" s="30" t="s">
        <v>820</v>
      </c>
      <c r="AF278" s="30" t="s">
        <v>820</v>
      </c>
      <c r="AG278" s="30" t="s">
        <v>820</v>
      </c>
      <c r="AH278" s="30" t="s">
        <v>820</v>
      </c>
      <c r="AI278" s="30" t="s">
        <v>820</v>
      </c>
      <c r="AJ278" s="30" t="s">
        <v>820</v>
      </c>
      <c r="AK278" s="30" t="s">
        <v>821</v>
      </c>
      <c r="AL278" s="30" t="s">
        <v>821</v>
      </c>
      <c r="AM278" s="30" t="s">
        <v>820</v>
      </c>
      <c r="AN278" s="30" t="s">
        <v>820</v>
      </c>
      <c r="AO278" s="30" t="s">
        <v>820</v>
      </c>
      <c r="AP278" s="30" t="s">
        <v>820</v>
      </c>
      <c r="AQ278" s="30" t="s">
        <v>820</v>
      </c>
      <c r="AR278" s="30" t="s">
        <v>820</v>
      </c>
      <c r="AS278" s="30" t="s">
        <v>820</v>
      </c>
      <c r="AT278" s="30" t="s">
        <v>820</v>
      </c>
      <c r="AU278" s="30" t="s">
        <v>820</v>
      </c>
      <c r="AV278" s="30" t="s">
        <v>820</v>
      </c>
      <c r="AW278" s="30" t="s">
        <v>820</v>
      </c>
      <c r="AX278" s="30" t="s">
        <v>820</v>
      </c>
      <c r="AY278" s="30" t="s">
        <v>819</v>
      </c>
      <c r="AZ278" s="30" t="s">
        <v>819</v>
      </c>
      <c r="BA278" s="30">
        <v>3922.0</v>
      </c>
      <c r="BB278" s="30" t="s">
        <v>822</v>
      </c>
      <c r="BC278" s="30">
        <v>4081.0</v>
      </c>
      <c r="BD278" s="30">
        <v>13879.0</v>
      </c>
      <c r="BE278" s="30" t="s">
        <v>189</v>
      </c>
      <c r="BF278" s="30" t="s">
        <v>422</v>
      </c>
      <c r="BG278" s="30" t="s">
        <v>423</v>
      </c>
      <c r="BH278" s="30" t="s">
        <v>68</v>
      </c>
      <c r="BI278" s="30">
        <v>0.0</v>
      </c>
      <c r="BJ278" s="30">
        <v>41.0</v>
      </c>
      <c r="BK278" s="33">
        <v>42675.38888888889</v>
      </c>
      <c r="BL278" s="30">
        <v>41.0</v>
      </c>
      <c r="BM278" s="33">
        <v>42675.38888888889</v>
      </c>
    </row>
    <row r="279" ht="15.75" customHeight="1">
      <c r="A279" s="8"/>
      <c r="B279" s="30" t="s">
        <v>157</v>
      </c>
      <c r="C279" s="31" t="s">
        <v>60</v>
      </c>
      <c r="D279" s="31">
        <v>4.0</v>
      </c>
      <c r="E279" s="30">
        <v>10.0</v>
      </c>
      <c r="F279" s="30">
        <v>0.0</v>
      </c>
      <c r="G279" s="32" t="s">
        <v>61</v>
      </c>
      <c r="H279" s="32">
        <v>30.0</v>
      </c>
      <c r="I279" s="31" t="s">
        <v>187</v>
      </c>
      <c r="J279" s="31" t="str">
        <f>IFERROR(__xludf.DUMMYFUNCTION("IF(ISBLANK(I279), """", GOOGLETRANSLATE(I279, ""es"", ""en""))"),"Project Physical Schedule Identifier")</f>
        <v>Project Physical Schedule Identifier</v>
      </c>
      <c r="M279" s="30">
        <v>31.0</v>
      </c>
      <c r="N279" s="30">
        <v>47.0</v>
      </c>
      <c r="O279" s="30">
        <v>2017.0</v>
      </c>
      <c r="P279" s="30">
        <v>39.0</v>
      </c>
      <c r="Q279" s="30">
        <v>6338.0</v>
      </c>
      <c r="R279" s="30">
        <v>58.0</v>
      </c>
      <c r="S279" s="30" t="s">
        <v>808</v>
      </c>
      <c r="T279" s="30">
        <v>30.0</v>
      </c>
      <c r="U279" s="30" t="s">
        <v>809</v>
      </c>
      <c r="V279" s="30">
        <v>0.0</v>
      </c>
      <c r="W279" s="30" t="s">
        <v>810</v>
      </c>
      <c r="X279" s="30">
        <v>0.0</v>
      </c>
      <c r="Y279" s="30" t="s">
        <v>815</v>
      </c>
      <c r="Z279" s="30" t="s">
        <v>815</v>
      </c>
      <c r="AA279" s="30" t="s">
        <v>198</v>
      </c>
      <c r="AB279" s="30" t="s">
        <v>198</v>
      </c>
      <c r="AC279" s="30" t="s">
        <v>198</v>
      </c>
      <c r="AD279" s="30" t="s">
        <v>198</v>
      </c>
      <c r="AE279" s="30" t="s">
        <v>198</v>
      </c>
      <c r="AF279" s="30" t="s">
        <v>198</v>
      </c>
      <c r="AG279" s="30" t="s">
        <v>198</v>
      </c>
      <c r="AH279" s="30" t="s">
        <v>198</v>
      </c>
      <c r="AI279" s="30" t="s">
        <v>823</v>
      </c>
      <c r="AJ279" s="30" t="s">
        <v>823</v>
      </c>
      <c r="AK279" s="30" t="s">
        <v>198</v>
      </c>
      <c r="AL279" s="30" t="s">
        <v>198</v>
      </c>
      <c r="AM279" s="30" t="s">
        <v>198</v>
      </c>
      <c r="AN279" s="30" t="s">
        <v>198</v>
      </c>
      <c r="AO279" s="30" t="s">
        <v>198</v>
      </c>
      <c r="AP279" s="30" t="s">
        <v>198</v>
      </c>
      <c r="AQ279" s="30" t="s">
        <v>198</v>
      </c>
      <c r="AR279" s="30" t="s">
        <v>198</v>
      </c>
      <c r="AS279" s="30" t="s">
        <v>198</v>
      </c>
      <c r="AT279" s="30" t="s">
        <v>198</v>
      </c>
      <c r="AU279" s="30" t="s">
        <v>823</v>
      </c>
      <c r="AV279" s="30" t="s">
        <v>823</v>
      </c>
      <c r="AW279" s="30" t="s">
        <v>198</v>
      </c>
      <c r="AX279" s="30" t="s">
        <v>198</v>
      </c>
      <c r="AY279" s="30" t="s">
        <v>815</v>
      </c>
      <c r="AZ279" s="30" t="s">
        <v>815</v>
      </c>
      <c r="BA279" s="30">
        <v>3935.0</v>
      </c>
      <c r="BB279" s="30" t="s">
        <v>824</v>
      </c>
      <c r="BC279" s="30">
        <v>4096.0</v>
      </c>
      <c r="BD279" s="30">
        <v>13890.0</v>
      </c>
      <c r="BE279" s="30" t="s">
        <v>189</v>
      </c>
      <c r="BF279" s="30" t="s">
        <v>422</v>
      </c>
      <c r="BG279" s="30" t="s">
        <v>423</v>
      </c>
      <c r="BH279" s="30" t="s">
        <v>68</v>
      </c>
      <c r="BI279" s="30">
        <v>0.0</v>
      </c>
      <c r="BJ279" s="30">
        <v>41.0</v>
      </c>
      <c r="BK279" s="33">
        <v>42675.40902777778</v>
      </c>
      <c r="BL279" s="30">
        <v>41.0</v>
      </c>
      <c r="BM279" s="33">
        <v>42675.40972222222</v>
      </c>
    </row>
    <row r="280" ht="15.75" customHeight="1">
      <c r="A280" s="8"/>
      <c r="B280" s="30" t="s">
        <v>162</v>
      </c>
      <c r="C280" s="31" t="s">
        <v>60</v>
      </c>
      <c r="D280" s="31">
        <v>4.0</v>
      </c>
      <c r="E280" s="30">
        <v>10.0</v>
      </c>
      <c r="F280" s="30">
        <v>0.0</v>
      </c>
      <c r="G280" s="32" t="s">
        <v>100</v>
      </c>
      <c r="H280" s="32">
        <v>6329.0</v>
      </c>
      <c r="I280" s="31" t="s">
        <v>209</v>
      </c>
      <c r="J280" s="31" t="str">
        <f>IFERROR(__xludf.DUMMYFUNCTION("IF(ISBLANK(I280), """", GOOGLETRANSLATE(I280, ""es"", ""en""))"),"Product identifier")</f>
        <v>Product identifier</v>
      </c>
      <c r="M280" s="30">
        <v>33.0</v>
      </c>
      <c r="N280" s="30">
        <v>50.0</v>
      </c>
      <c r="O280" s="30">
        <v>2017.0</v>
      </c>
      <c r="P280" s="30">
        <v>41.0</v>
      </c>
      <c r="Q280" s="30">
        <v>6340.0</v>
      </c>
      <c r="R280" s="30">
        <v>58.0</v>
      </c>
      <c r="S280" s="30" t="s">
        <v>808</v>
      </c>
      <c r="T280" s="30">
        <v>30.0</v>
      </c>
      <c r="U280" s="30" t="s">
        <v>809</v>
      </c>
      <c r="V280" s="30">
        <v>0.0</v>
      </c>
      <c r="W280" s="30" t="s">
        <v>810</v>
      </c>
      <c r="X280" s="30">
        <v>0.0</v>
      </c>
      <c r="Y280" s="30" t="s">
        <v>811</v>
      </c>
      <c r="Z280" s="30" t="s">
        <v>811</v>
      </c>
      <c r="AA280" s="30" t="s">
        <v>812</v>
      </c>
      <c r="AB280" s="30" t="s">
        <v>812</v>
      </c>
      <c r="AC280" s="30" t="s">
        <v>812</v>
      </c>
      <c r="AD280" s="30" t="s">
        <v>812</v>
      </c>
      <c r="AE280" s="30" t="s">
        <v>812</v>
      </c>
      <c r="AF280" s="30" t="s">
        <v>812</v>
      </c>
      <c r="AG280" s="30" t="s">
        <v>812</v>
      </c>
      <c r="AH280" s="30" t="s">
        <v>812</v>
      </c>
      <c r="AI280" s="30" t="s">
        <v>198</v>
      </c>
      <c r="AJ280" s="30" t="s">
        <v>198</v>
      </c>
      <c r="AK280" s="30" t="s">
        <v>812</v>
      </c>
      <c r="AL280" s="30" t="s">
        <v>812</v>
      </c>
      <c r="AM280" s="30" t="s">
        <v>812</v>
      </c>
      <c r="AN280" s="30" t="s">
        <v>812</v>
      </c>
      <c r="AO280" s="30" t="s">
        <v>198</v>
      </c>
      <c r="AP280" s="30" t="s">
        <v>198</v>
      </c>
      <c r="AQ280" s="30" t="s">
        <v>812</v>
      </c>
      <c r="AR280" s="30" t="s">
        <v>812</v>
      </c>
      <c r="AS280" s="30" t="s">
        <v>812</v>
      </c>
      <c r="AT280" s="30" t="s">
        <v>812</v>
      </c>
      <c r="AU280" s="30" t="s">
        <v>812</v>
      </c>
      <c r="AV280" s="30" t="s">
        <v>812</v>
      </c>
      <c r="AW280" s="30" t="s">
        <v>812</v>
      </c>
      <c r="AX280" s="30" t="s">
        <v>812</v>
      </c>
      <c r="AY280" s="30" t="s">
        <v>811</v>
      </c>
      <c r="AZ280" s="30" t="s">
        <v>811</v>
      </c>
      <c r="BA280" s="30">
        <v>3928.0</v>
      </c>
      <c r="BB280" s="30" t="s">
        <v>825</v>
      </c>
      <c r="BC280" s="30">
        <v>4089.0</v>
      </c>
      <c r="BD280" s="30">
        <v>13894.0</v>
      </c>
      <c r="BE280" s="30" t="s">
        <v>189</v>
      </c>
      <c r="BF280" s="30" t="s">
        <v>422</v>
      </c>
      <c r="BG280" s="30" t="s">
        <v>423</v>
      </c>
      <c r="BH280" s="30" t="s">
        <v>68</v>
      </c>
      <c r="BI280" s="30">
        <v>0.0</v>
      </c>
      <c r="BJ280" s="30">
        <v>41.0</v>
      </c>
      <c r="BK280" s="33">
        <v>42675.41388888889</v>
      </c>
      <c r="BL280" s="30">
        <v>41.0</v>
      </c>
      <c r="BM280" s="33">
        <v>42675.41458333333</v>
      </c>
    </row>
    <row r="281" ht="15.75" customHeight="1">
      <c r="A281" s="8"/>
      <c r="B281" s="30" t="s">
        <v>780</v>
      </c>
      <c r="C281" s="31" t="s">
        <v>60</v>
      </c>
      <c r="D281" s="31">
        <v>4.0</v>
      </c>
      <c r="E281" s="30">
        <v>10.0</v>
      </c>
      <c r="F281" s="30">
        <v>0.0</v>
      </c>
      <c r="G281" s="32" t="s">
        <v>61</v>
      </c>
      <c r="H281" s="32">
        <v>58.0</v>
      </c>
      <c r="I281" s="31" t="s">
        <v>826</v>
      </c>
      <c r="J281" s="31" t="str">
        <f>IFERROR(__xludf.DUMMYFUNCTION("IF(ISBLANK(I281), """", GOOGLETRANSLATE(I281, ""es"", ""en""))"),"Product identifier cla (To be reviewed)")</f>
        <v>Product identifier cla (To be reviewed)</v>
      </c>
      <c r="M281" s="30">
        <v>37.0</v>
      </c>
      <c r="N281" s="30">
        <v>49.0</v>
      </c>
      <c r="O281" s="30">
        <v>2017.0</v>
      </c>
      <c r="P281" s="30">
        <v>45.0</v>
      </c>
      <c r="Q281" s="30">
        <v>6345.0</v>
      </c>
      <c r="R281" s="30">
        <v>58.0</v>
      </c>
      <c r="S281" s="30" t="s">
        <v>808</v>
      </c>
      <c r="T281" s="30">
        <v>30.0</v>
      </c>
      <c r="U281" s="30" t="s">
        <v>809</v>
      </c>
      <c r="V281" s="30">
        <v>0.0</v>
      </c>
      <c r="W281" s="30" t="s">
        <v>810</v>
      </c>
      <c r="X281" s="30">
        <v>0.0</v>
      </c>
      <c r="Y281" s="30" t="s">
        <v>815</v>
      </c>
      <c r="Z281" s="30" t="s">
        <v>815</v>
      </c>
      <c r="AA281" s="30" t="s">
        <v>198</v>
      </c>
      <c r="AB281" s="30" t="s">
        <v>198</v>
      </c>
      <c r="AC281" s="30" t="s">
        <v>198</v>
      </c>
      <c r="AD281" s="30" t="s">
        <v>198</v>
      </c>
      <c r="AE281" s="30" t="s">
        <v>198</v>
      </c>
      <c r="AF281" s="30" t="s">
        <v>198</v>
      </c>
      <c r="AG281" s="30" t="s">
        <v>198</v>
      </c>
      <c r="AH281" s="30" t="s">
        <v>198</v>
      </c>
      <c r="AI281" s="30" t="s">
        <v>823</v>
      </c>
      <c r="AJ281" s="30" t="s">
        <v>823</v>
      </c>
      <c r="AK281" s="30" t="s">
        <v>198</v>
      </c>
      <c r="AL281" s="30" t="s">
        <v>198</v>
      </c>
      <c r="AM281" s="30" t="s">
        <v>198</v>
      </c>
      <c r="AN281" s="30" t="s">
        <v>198</v>
      </c>
      <c r="AO281" s="30" t="s">
        <v>823</v>
      </c>
      <c r="AP281" s="30" t="s">
        <v>823</v>
      </c>
      <c r="AQ281" s="30" t="s">
        <v>198</v>
      </c>
      <c r="AR281" s="30" t="s">
        <v>198</v>
      </c>
      <c r="AS281" s="30" t="s">
        <v>198</v>
      </c>
      <c r="AT281" s="30" t="s">
        <v>198</v>
      </c>
      <c r="AU281" s="30" t="s">
        <v>198</v>
      </c>
      <c r="AV281" s="30" t="s">
        <v>198</v>
      </c>
      <c r="AW281" s="30" t="s">
        <v>198</v>
      </c>
      <c r="AX281" s="30" t="s">
        <v>198</v>
      </c>
      <c r="AY281" s="30" t="s">
        <v>815</v>
      </c>
      <c r="AZ281" s="30" t="s">
        <v>815</v>
      </c>
      <c r="BA281" s="30">
        <v>3938.0</v>
      </c>
      <c r="BB281" s="30" t="s">
        <v>827</v>
      </c>
      <c r="BC281" s="30">
        <v>4100.0</v>
      </c>
      <c r="BD281" s="30">
        <v>13892.0</v>
      </c>
      <c r="BE281" s="30" t="s">
        <v>189</v>
      </c>
      <c r="BF281" s="30" t="s">
        <v>422</v>
      </c>
      <c r="BG281" s="30" t="s">
        <v>423</v>
      </c>
      <c r="BH281" s="30" t="s">
        <v>68</v>
      </c>
      <c r="BI281" s="30">
        <v>0.0</v>
      </c>
      <c r="BJ281" s="30">
        <v>41.0</v>
      </c>
      <c r="BK281" s="33">
        <v>42675.42013888889</v>
      </c>
      <c r="BL281" s="30">
        <v>41.0</v>
      </c>
      <c r="BM281" s="33">
        <v>42675.42083333333</v>
      </c>
    </row>
    <row r="282" ht="15.75" customHeight="1">
      <c r="A282" s="8"/>
      <c r="B282" s="30" t="s">
        <v>163</v>
      </c>
      <c r="C282" s="31" t="s">
        <v>82</v>
      </c>
      <c r="D282" s="31">
        <v>200.0</v>
      </c>
      <c r="E282" s="30"/>
      <c r="F282" s="30"/>
      <c r="G282" s="32" t="s">
        <v>61</v>
      </c>
      <c r="H282" s="32" t="s">
        <v>808</v>
      </c>
      <c r="I282" s="31" t="s">
        <v>212</v>
      </c>
      <c r="J282" s="31" t="str">
        <f>IFERROR(__xludf.DUMMYFUNCTION("IF(ISBLANK(I282), """", GOOGLETRANSLATE(I282, ""es"", ""en""))"),"Product description")</f>
        <v>Product description</v>
      </c>
      <c r="M282" s="30">
        <v>77.0</v>
      </c>
      <c r="N282" s="30">
        <v>66.0</v>
      </c>
      <c r="O282" s="30">
        <v>2017.0</v>
      </c>
      <c r="P282" s="30">
        <v>214.0</v>
      </c>
      <c r="Q282" s="30">
        <v>9153.0</v>
      </c>
      <c r="R282" s="30">
        <v>75.0</v>
      </c>
      <c r="S282" s="30" t="s">
        <v>828</v>
      </c>
      <c r="T282" s="30">
        <v>50.0</v>
      </c>
      <c r="U282" s="30" t="s">
        <v>829</v>
      </c>
      <c r="V282" s="30">
        <v>0.0</v>
      </c>
      <c r="W282" s="30" t="s">
        <v>810</v>
      </c>
      <c r="X282" s="30">
        <v>0.0</v>
      </c>
      <c r="Y282" s="30" t="s">
        <v>830</v>
      </c>
      <c r="Z282" s="30" t="s">
        <v>831</v>
      </c>
      <c r="AA282" s="30" t="s">
        <v>832</v>
      </c>
      <c r="AB282" s="30" t="s">
        <v>832</v>
      </c>
      <c r="AC282" s="30" t="s">
        <v>832</v>
      </c>
      <c r="AD282" s="30" t="s">
        <v>832</v>
      </c>
      <c r="AE282" s="30" t="s">
        <v>832</v>
      </c>
      <c r="AF282" s="30" t="s">
        <v>832</v>
      </c>
      <c r="AG282" s="30" t="s">
        <v>832</v>
      </c>
      <c r="AH282" s="30" t="s">
        <v>832</v>
      </c>
      <c r="AI282" s="30" t="s">
        <v>832</v>
      </c>
      <c r="AJ282" s="30" t="s">
        <v>832</v>
      </c>
      <c r="AK282" s="30" t="s">
        <v>832</v>
      </c>
      <c r="AL282" s="30" t="s">
        <v>832</v>
      </c>
      <c r="AM282" s="30" t="s">
        <v>832</v>
      </c>
      <c r="AN282" s="30" t="s">
        <v>832</v>
      </c>
      <c r="AO282" s="30" t="s">
        <v>833</v>
      </c>
      <c r="AP282" s="30" t="s">
        <v>833</v>
      </c>
      <c r="AQ282" s="30" t="s">
        <v>833</v>
      </c>
      <c r="AR282" s="30" t="s">
        <v>833</v>
      </c>
      <c r="AS282" s="30" t="s">
        <v>833</v>
      </c>
      <c r="AT282" s="30" t="s">
        <v>833</v>
      </c>
      <c r="AU282" s="30" t="s">
        <v>833</v>
      </c>
      <c r="AV282" s="30" t="s">
        <v>833</v>
      </c>
      <c r="AW282" s="30" t="s">
        <v>834</v>
      </c>
      <c r="AX282" s="30" t="s">
        <v>835</v>
      </c>
      <c r="AY282" s="30" t="s">
        <v>830</v>
      </c>
      <c r="AZ282" s="30" t="s">
        <v>831</v>
      </c>
      <c r="BA282" s="30">
        <v>67.0</v>
      </c>
      <c r="BB282" s="30" t="s">
        <v>836</v>
      </c>
      <c r="BC282" s="30">
        <v>60.0</v>
      </c>
      <c r="BD282" s="30">
        <v>12342.0</v>
      </c>
      <c r="BE282" s="30" t="s">
        <v>189</v>
      </c>
      <c r="BF282" s="30" t="s">
        <v>422</v>
      </c>
      <c r="BG282" s="30" t="s">
        <v>423</v>
      </c>
      <c r="BH282" s="30" t="s">
        <v>68</v>
      </c>
      <c r="BI282" s="30">
        <v>0.0</v>
      </c>
      <c r="BJ282" s="30">
        <v>139.0</v>
      </c>
      <c r="BK282" s="33">
        <v>42695.55486111111</v>
      </c>
      <c r="BL282" s="30">
        <v>36.0</v>
      </c>
      <c r="BM282" s="33">
        <v>42732.69027777778</v>
      </c>
    </row>
    <row r="283" ht="15.75" customHeight="1">
      <c r="A283" s="8"/>
      <c r="B283" s="30" t="s">
        <v>164</v>
      </c>
      <c r="C283" s="31" t="s">
        <v>60</v>
      </c>
      <c r="D283" s="31">
        <v>4.0</v>
      </c>
      <c r="E283" s="30">
        <v>10.0</v>
      </c>
      <c r="F283" s="30">
        <v>0.0</v>
      </c>
      <c r="G283" s="32" t="s">
        <v>100</v>
      </c>
      <c r="H283" s="32">
        <v>30.0</v>
      </c>
      <c r="I283" s="31" t="s">
        <v>837</v>
      </c>
      <c r="J283" s="31" t="str">
        <f>IFERROR(__xludf.DUMMYFUNCTION("IF(ISBLANK(I283), """", GOOGLETRANSLATE(I283, ""es"", ""en""))"),"Product unit of measure identifier")</f>
        <v>Product unit of measure identifier</v>
      </c>
      <c r="M283" s="30">
        <v>79.0</v>
      </c>
      <c r="N283" s="30">
        <v>69.0</v>
      </c>
      <c r="O283" s="30">
        <v>2017.0</v>
      </c>
      <c r="P283" s="30">
        <v>102.0</v>
      </c>
      <c r="Q283" s="30">
        <v>6492.0</v>
      </c>
      <c r="R283" s="30">
        <v>99.0</v>
      </c>
      <c r="S283" s="30" t="s">
        <v>838</v>
      </c>
      <c r="T283" s="30">
        <v>11.0</v>
      </c>
      <c r="U283" s="30" t="s">
        <v>839</v>
      </c>
      <c r="V283" s="30">
        <v>0.0</v>
      </c>
      <c r="W283" s="30" t="s">
        <v>810</v>
      </c>
      <c r="X283" s="30">
        <v>0.0</v>
      </c>
      <c r="Y283" s="30" t="s">
        <v>840</v>
      </c>
      <c r="Z283" s="30" t="s">
        <v>841</v>
      </c>
      <c r="AA283" s="30" t="s">
        <v>194</v>
      </c>
      <c r="AB283" s="30" t="s">
        <v>195</v>
      </c>
      <c r="AC283" s="30" t="s">
        <v>194</v>
      </c>
      <c r="AD283" s="30" t="s">
        <v>195</v>
      </c>
      <c r="AE283" s="30" t="s">
        <v>194</v>
      </c>
      <c r="AF283" s="30" t="s">
        <v>195</v>
      </c>
      <c r="AG283" s="30" t="s">
        <v>194</v>
      </c>
      <c r="AH283" s="30" t="s">
        <v>195</v>
      </c>
      <c r="AI283" s="30" t="s">
        <v>194</v>
      </c>
      <c r="AJ283" s="30" t="s">
        <v>195</v>
      </c>
      <c r="AK283" s="30" t="s">
        <v>194</v>
      </c>
      <c r="AL283" s="30" t="s">
        <v>195</v>
      </c>
      <c r="AM283" s="30" t="s">
        <v>194</v>
      </c>
      <c r="AN283" s="30" t="s">
        <v>195</v>
      </c>
      <c r="AO283" s="30" t="s">
        <v>194</v>
      </c>
      <c r="AP283" s="30" t="s">
        <v>195</v>
      </c>
      <c r="AQ283" s="30" t="s">
        <v>194</v>
      </c>
      <c r="AR283" s="30" t="s">
        <v>195</v>
      </c>
      <c r="AS283" s="30" t="s">
        <v>194</v>
      </c>
      <c r="AT283" s="30" t="s">
        <v>195</v>
      </c>
      <c r="AU283" s="30" t="s">
        <v>194</v>
      </c>
      <c r="AV283" s="30" t="s">
        <v>195</v>
      </c>
      <c r="AW283" s="30" t="s">
        <v>840</v>
      </c>
      <c r="AX283" s="30" t="s">
        <v>841</v>
      </c>
      <c r="AY283" s="30" t="s">
        <v>840</v>
      </c>
      <c r="AZ283" s="30" t="s">
        <v>841</v>
      </c>
      <c r="BA283" s="30">
        <v>2517.0</v>
      </c>
      <c r="BB283" s="30" t="s">
        <v>842</v>
      </c>
      <c r="BC283" s="30">
        <v>2720.0</v>
      </c>
      <c r="BD283" s="30">
        <v>12897.0</v>
      </c>
      <c r="BE283" s="30" t="s">
        <v>189</v>
      </c>
      <c r="BF283" s="30" t="s">
        <v>422</v>
      </c>
      <c r="BG283" s="30" t="s">
        <v>423</v>
      </c>
      <c r="BH283" s="30" t="s">
        <v>68</v>
      </c>
      <c r="BI283" s="30">
        <v>0.0</v>
      </c>
      <c r="BJ283" s="30">
        <v>35.0</v>
      </c>
      <c r="BK283" s="33">
        <v>42695.55694444444</v>
      </c>
      <c r="BL283" s="30">
        <v>36.0</v>
      </c>
      <c r="BM283" s="33">
        <v>42733.56736111111</v>
      </c>
    </row>
    <row r="284" ht="15.75" customHeight="1">
      <c r="A284" s="8"/>
      <c r="B284" s="30" t="s">
        <v>165</v>
      </c>
      <c r="C284" s="31" t="s">
        <v>82</v>
      </c>
      <c r="D284" s="31">
        <v>200.0</v>
      </c>
      <c r="E284" s="30"/>
      <c r="F284" s="30"/>
      <c r="G284" s="32" t="s">
        <v>61</v>
      </c>
      <c r="H284" s="32" t="s">
        <v>809</v>
      </c>
      <c r="I284" s="31" t="s">
        <v>843</v>
      </c>
      <c r="J284" s="31" t="str">
        <f>IFERROR(__xludf.DUMMYFUNCTION("IF(ISBLANK(I284), """", GOOGLETRANSLATE(I284, ""es"", ""en""))"),"Description of the unit of measure")</f>
        <v>Description of the unit of measure</v>
      </c>
      <c r="M284" s="30">
        <v>82.0</v>
      </c>
      <c r="N284" s="30">
        <v>73.0</v>
      </c>
      <c r="O284" s="30">
        <v>2017.0</v>
      </c>
      <c r="P284" s="30">
        <v>296.0</v>
      </c>
      <c r="Q284" s="30">
        <v>6350.0</v>
      </c>
      <c r="R284" s="30">
        <v>55.0</v>
      </c>
      <c r="S284" s="30" t="s">
        <v>844</v>
      </c>
      <c r="T284" s="30">
        <v>10.0</v>
      </c>
      <c r="U284" s="30" t="s">
        <v>845</v>
      </c>
      <c r="V284" s="30">
        <v>0.0</v>
      </c>
      <c r="W284" s="30" t="s">
        <v>810</v>
      </c>
      <c r="X284" s="30">
        <v>0.0</v>
      </c>
      <c r="Y284" s="30" t="s">
        <v>846</v>
      </c>
      <c r="Z284" s="30" t="s">
        <v>847</v>
      </c>
      <c r="AA284" s="30" t="s">
        <v>848</v>
      </c>
      <c r="AB284" s="30" t="s">
        <v>849</v>
      </c>
      <c r="AC284" s="30" t="s">
        <v>850</v>
      </c>
      <c r="AD284" s="30" t="s">
        <v>851</v>
      </c>
      <c r="AE284" s="30" t="s">
        <v>850</v>
      </c>
      <c r="AF284" s="30" t="s">
        <v>851</v>
      </c>
      <c r="AG284" s="30" t="s">
        <v>852</v>
      </c>
      <c r="AH284" s="30" t="s">
        <v>853</v>
      </c>
      <c r="AI284" s="30" t="s">
        <v>194</v>
      </c>
      <c r="AJ284" s="30" t="s">
        <v>195</v>
      </c>
      <c r="AK284" s="30" t="s">
        <v>194</v>
      </c>
      <c r="AL284" s="30" t="s">
        <v>195</v>
      </c>
      <c r="AM284" s="30" t="s">
        <v>194</v>
      </c>
      <c r="AN284" s="30" t="s">
        <v>195</v>
      </c>
      <c r="AO284" s="30" t="s">
        <v>194</v>
      </c>
      <c r="AP284" s="30" t="s">
        <v>195</v>
      </c>
      <c r="AQ284" s="30" t="s">
        <v>194</v>
      </c>
      <c r="AR284" s="30" t="s">
        <v>195</v>
      </c>
      <c r="AS284" s="30" t="s">
        <v>194</v>
      </c>
      <c r="AT284" s="30" t="s">
        <v>195</v>
      </c>
      <c r="AU284" s="30" t="s">
        <v>194</v>
      </c>
      <c r="AV284" s="30" t="s">
        <v>195</v>
      </c>
      <c r="AW284" s="30" t="s">
        <v>194</v>
      </c>
      <c r="AX284" s="30" t="s">
        <v>195</v>
      </c>
      <c r="AY284" s="30" t="s">
        <v>846</v>
      </c>
      <c r="AZ284" s="30" t="s">
        <v>847</v>
      </c>
      <c r="BA284" s="30">
        <v>3645.0</v>
      </c>
      <c r="BB284" s="30" t="s">
        <v>854</v>
      </c>
      <c r="BC284" s="30">
        <v>3850.0</v>
      </c>
      <c r="BD284" s="30">
        <v>13781.0</v>
      </c>
      <c r="BE284" s="30" t="s">
        <v>189</v>
      </c>
      <c r="BF284" s="30" t="s">
        <v>422</v>
      </c>
      <c r="BG284" s="30" t="s">
        <v>423</v>
      </c>
      <c r="BH284" s="30" t="s">
        <v>68</v>
      </c>
      <c r="BI284" s="30">
        <v>0.0</v>
      </c>
      <c r="BJ284" s="30">
        <v>35.0</v>
      </c>
      <c r="BK284" s="33">
        <v>42697.50555555556</v>
      </c>
      <c r="BL284" s="30">
        <v>35.0</v>
      </c>
      <c r="BM284" s="33">
        <v>42719.51597222222</v>
      </c>
    </row>
    <row r="285" ht="15.75" customHeight="1">
      <c r="A285" s="8"/>
      <c r="B285" s="30" t="s">
        <v>160</v>
      </c>
      <c r="C285" s="31" t="s">
        <v>60</v>
      </c>
      <c r="D285" s="31">
        <v>4.0</v>
      </c>
      <c r="E285" s="30">
        <v>10.0</v>
      </c>
      <c r="F285" s="30">
        <v>0.0</v>
      </c>
      <c r="G285" s="32" t="s">
        <v>61</v>
      </c>
      <c r="H285" s="32">
        <v>0.0</v>
      </c>
      <c r="I285" s="31" t="s">
        <v>202</v>
      </c>
      <c r="J285" s="31" t="str">
        <f>IFERROR(__xludf.DUMMYFUNCTION("IF(ISBLANK(I285), """", GOOGLETRANSLATE(I285, ""es"", ""en""))"),"Component identifier")</f>
        <v>Component identifier</v>
      </c>
      <c r="M285" s="30">
        <v>83.0</v>
      </c>
      <c r="N285" s="30">
        <v>78.0</v>
      </c>
      <c r="O285" s="30">
        <v>2017.0</v>
      </c>
      <c r="P285" s="30">
        <v>170.0</v>
      </c>
      <c r="Q285" s="30">
        <v>8561.0</v>
      </c>
      <c r="R285" s="30">
        <v>20.0</v>
      </c>
      <c r="S285" s="30" t="s">
        <v>855</v>
      </c>
      <c r="T285" s="30">
        <v>11.0</v>
      </c>
      <c r="U285" s="30" t="s">
        <v>839</v>
      </c>
      <c r="V285" s="30">
        <v>0.0</v>
      </c>
      <c r="W285" s="30" t="s">
        <v>810</v>
      </c>
      <c r="X285" s="30">
        <v>0.0</v>
      </c>
      <c r="Y285" s="30" t="s">
        <v>856</v>
      </c>
      <c r="Z285" s="30" t="s">
        <v>857</v>
      </c>
      <c r="AA285" s="30" t="s">
        <v>858</v>
      </c>
      <c r="AB285" s="30" t="s">
        <v>859</v>
      </c>
      <c r="AC285" s="30" t="s">
        <v>858</v>
      </c>
      <c r="AD285" s="30" t="s">
        <v>859</v>
      </c>
      <c r="AE285" s="30" t="s">
        <v>858</v>
      </c>
      <c r="AF285" s="30" t="s">
        <v>859</v>
      </c>
      <c r="AG285" s="30" t="s">
        <v>858</v>
      </c>
      <c r="AH285" s="30" t="s">
        <v>859</v>
      </c>
      <c r="AI285" s="30" t="s">
        <v>858</v>
      </c>
      <c r="AJ285" s="30" t="s">
        <v>859</v>
      </c>
      <c r="AK285" s="30" t="s">
        <v>858</v>
      </c>
      <c r="AL285" s="30" t="s">
        <v>859</v>
      </c>
      <c r="AM285" s="30" t="s">
        <v>858</v>
      </c>
      <c r="AN285" s="30" t="s">
        <v>859</v>
      </c>
      <c r="AO285" s="30" t="s">
        <v>858</v>
      </c>
      <c r="AP285" s="30" t="s">
        <v>859</v>
      </c>
      <c r="AQ285" s="30" t="s">
        <v>858</v>
      </c>
      <c r="AR285" s="30" t="s">
        <v>859</v>
      </c>
      <c r="AS285" s="30" t="s">
        <v>858</v>
      </c>
      <c r="AT285" s="30" t="s">
        <v>859</v>
      </c>
      <c r="AU285" s="30" t="s">
        <v>858</v>
      </c>
      <c r="AV285" s="30" t="s">
        <v>859</v>
      </c>
      <c r="AW285" s="30" t="s">
        <v>860</v>
      </c>
      <c r="AX285" s="30" t="s">
        <v>861</v>
      </c>
      <c r="AY285" s="30" t="s">
        <v>856</v>
      </c>
      <c r="AZ285" s="30" t="s">
        <v>857</v>
      </c>
      <c r="BA285" s="30">
        <v>4052.0</v>
      </c>
      <c r="BB285" s="30" t="s">
        <v>862</v>
      </c>
      <c r="BC285" s="30">
        <v>4253.0</v>
      </c>
      <c r="BD285" s="30">
        <v>13856.0</v>
      </c>
      <c r="BE285" s="30" t="s">
        <v>189</v>
      </c>
      <c r="BF285" s="30" t="s">
        <v>422</v>
      </c>
      <c r="BG285" s="30" t="s">
        <v>423</v>
      </c>
      <c r="BH285" s="30" t="s">
        <v>68</v>
      </c>
      <c r="BI285" s="30">
        <v>0.0</v>
      </c>
      <c r="BJ285" s="30">
        <v>47.0</v>
      </c>
      <c r="BK285" s="33">
        <v>42697.53055555555</v>
      </c>
      <c r="BL285" s="30">
        <v>36.0</v>
      </c>
      <c r="BM285" s="33">
        <v>42733.45347222222</v>
      </c>
    </row>
    <row r="286" ht="15.75" customHeight="1">
      <c r="A286" s="8"/>
      <c r="B286" s="30" t="s">
        <v>161</v>
      </c>
      <c r="C286" s="31" t="s">
        <v>82</v>
      </c>
      <c r="D286" s="31">
        <v>250.0</v>
      </c>
      <c r="E286" s="30"/>
      <c r="F286" s="30"/>
      <c r="G286" s="32" t="s">
        <v>100</v>
      </c>
      <c r="H286" s="32" t="s">
        <v>810</v>
      </c>
      <c r="I286" s="31" t="s">
        <v>206</v>
      </c>
      <c r="J286" s="31" t="str">
        <f>IFERROR(__xludf.DUMMYFUNCTION("IF(ISBLANK(I286), """", GOOGLETRANSLATE(I286, ""es"", ""en""))"),"Component Description")</f>
        <v>Component Description</v>
      </c>
    </row>
    <row r="287" ht="15.75" customHeight="1">
      <c r="A287" s="8"/>
      <c r="B287" s="30" t="s">
        <v>781</v>
      </c>
      <c r="C287" s="31" t="s">
        <v>60</v>
      </c>
      <c r="D287" s="31">
        <v>4.0</v>
      </c>
      <c r="E287" s="30">
        <v>10.0</v>
      </c>
      <c r="F287" s="30">
        <v>0.0</v>
      </c>
      <c r="G287" s="32" t="s">
        <v>61</v>
      </c>
      <c r="H287" s="32">
        <v>0.0</v>
      </c>
      <c r="I287" s="31" t="s">
        <v>863</v>
      </c>
      <c r="J287" s="31" t="str">
        <f>IFERROR(__xludf.DUMMYFUNCTION("IF(ISBLANK(I287), """", GOOGLETRANSLATE(I287, ""es"", ""en""))"),"Quarter ")</f>
        <v>Quarter </v>
      </c>
    </row>
    <row r="288" ht="15.75" customHeight="1">
      <c r="A288" s="8"/>
      <c r="B288" s="30" t="s">
        <v>166</v>
      </c>
      <c r="C288" s="31" t="s">
        <v>220</v>
      </c>
      <c r="D288" s="31">
        <v>9.0</v>
      </c>
      <c r="E288" s="30">
        <v>19.0</v>
      </c>
      <c r="F288" s="30">
        <v>2.0</v>
      </c>
      <c r="G288" s="32" t="s">
        <v>61</v>
      </c>
      <c r="H288" s="32" t="s">
        <v>819</v>
      </c>
      <c r="I288" s="31" t="s">
        <v>864</v>
      </c>
      <c r="J288" s="31" t="str">
        <f>IFERROR(__xludf.DUMMYFUNCTION("IF(ISBLANK(I288), """", GOOGLETRANSLATE(I288, ""es"", ""en""))"),"Defined goal ")</f>
        <v>Defined goal </v>
      </c>
    </row>
    <row r="289" ht="15.75" customHeight="1">
      <c r="A289" s="8"/>
      <c r="B289" s="30" t="s">
        <v>167</v>
      </c>
      <c r="C289" s="31" t="s">
        <v>225</v>
      </c>
      <c r="D289" s="31">
        <v>8000.0</v>
      </c>
      <c r="E289" s="30"/>
      <c r="F289" s="30"/>
      <c r="G289" s="32" t="s">
        <v>100</v>
      </c>
      <c r="H289" s="32" t="s">
        <v>819</v>
      </c>
      <c r="I289" s="31" t="s">
        <v>865</v>
      </c>
      <c r="J289" s="31" t="str">
        <f>IFERROR(__xludf.DUMMYFUNCTION("IF(ISBLANK(I289), """", GOOGLETRANSLATE(I289, ""es"", ""en""))"),"Goal defined in text")</f>
        <v>Goal defined in text</v>
      </c>
    </row>
    <row r="290" ht="15.75" customHeight="1">
      <c r="A290" s="8"/>
      <c r="B290" s="30" t="s">
        <v>782</v>
      </c>
      <c r="C290" s="31" t="s">
        <v>220</v>
      </c>
      <c r="D290" s="31">
        <v>9.0</v>
      </c>
      <c r="E290" s="30">
        <v>19.0</v>
      </c>
      <c r="F290" s="30">
        <v>2.0</v>
      </c>
      <c r="G290" s="32" t="s">
        <v>61</v>
      </c>
      <c r="H290" s="32" t="s">
        <v>820</v>
      </c>
      <c r="I290" s="31" t="s">
        <v>866</v>
      </c>
      <c r="J290" s="31" t="str">
        <f>IFERROR(__xludf.DUMMYFUNCTION("IF(ISBLANK(I290), """", GOOGLETRANSLATE(I290, ""es"", ""en""))"),"Reported goal for January")</f>
        <v>Reported goal for January</v>
      </c>
    </row>
    <row r="291" ht="15.75" customHeight="1">
      <c r="A291" s="8"/>
      <c r="B291" s="30" t="s">
        <v>783</v>
      </c>
      <c r="C291" s="31" t="s">
        <v>225</v>
      </c>
      <c r="D291" s="31">
        <v>8000.0</v>
      </c>
      <c r="E291" s="30"/>
      <c r="F291" s="30"/>
      <c r="G291" s="32" t="s">
        <v>100</v>
      </c>
      <c r="H291" s="32" t="s">
        <v>820</v>
      </c>
      <c r="I291" s="31" t="s">
        <v>867</v>
      </c>
      <c r="J291" s="31" t="str">
        <f>IFERROR(__xludf.DUMMYFUNCTION("IF(ISBLANK(I291), """", GOOGLETRANSLATE(I291, ""es"", ""en""))"),"Goal reported for January in text")</f>
        <v>Goal reported for January in text</v>
      </c>
    </row>
    <row r="292" ht="15.75" customHeight="1">
      <c r="A292" s="8"/>
      <c r="B292" s="30" t="s">
        <v>784</v>
      </c>
      <c r="C292" s="31" t="s">
        <v>220</v>
      </c>
      <c r="D292" s="31">
        <v>9.0</v>
      </c>
      <c r="E292" s="30">
        <v>19.0</v>
      </c>
      <c r="F292" s="30">
        <v>2.0</v>
      </c>
      <c r="G292" s="32" t="s">
        <v>61</v>
      </c>
      <c r="H292" s="32" t="s">
        <v>820</v>
      </c>
      <c r="I292" s="31" t="s">
        <v>868</v>
      </c>
      <c r="J292" s="31" t="str">
        <f>IFERROR(__xludf.DUMMYFUNCTION("IF(ISBLANK(I292), """", GOOGLETRANSLATE(I292, ""es"", ""en""))"),"Goal reported for February")</f>
        <v>Goal reported for February</v>
      </c>
    </row>
    <row r="293" ht="15.75" customHeight="1">
      <c r="A293" s="8"/>
      <c r="B293" s="30" t="s">
        <v>785</v>
      </c>
      <c r="C293" s="31" t="s">
        <v>225</v>
      </c>
      <c r="D293" s="31">
        <v>8000.0</v>
      </c>
      <c r="E293" s="30"/>
      <c r="F293" s="30"/>
      <c r="G293" s="32" t="s">
        <v>100</v>
      </c>
      <c r="H293" s="32" t="s">
        <v>820</v>
      </c>
      <c r="I293" s="31" t="s">
        <v>869</v>
      </c>
      <c r="J293" s="31" t="str">
        <f>IFERROR(__xludf.DUMMYFUNCTION("IF(ISBLANK(I293), """", GOOGLETRANSLATE(I293, ""es"", ""en""))"),"Goal reported for February in Text")</f>
        <v>Goal reported for February in Text</v>
      </c>
    </row>
    <row r="294" ht="15.75" customHeight="1">
      <c r="A294" s="8"/>
      <c r="B294" s="30" t="s">
        <v>786</v>
      </c>
      <c r="C294" s="31" t="s">
        <v>220</v>
      </c>
      <c r="D294" s="31">
        <v>9.0</v>
      </c>
      <c r="E294" s="30">
        <v>19.0</v>
      </c>
      <c r="F294" s="30">
        <v>2.0</v>
      </c>
      <c r="G294" s="32" t="s">
        <v>61</v>
      </c>
      <c r="H294" s="32" t="s">
        <v>820</v>
      </c>
      <c r="I294" s="31" t="s">
        <v>870</v>
      </c>
      <c r="J294" s="31" t="str">
        <f>IFERROR(__xludf.DUMMYFUNCTION("IF(ISBLANK(I294), """", GOOGLETRANSLATE(I294, ""es"", ""en""))"),"Goal reported for March")</f>
        <v>Goal reported for March</v>
      </c>
    </row>
    <row r="295" ht="15.75" customHeight="1">
      <c r="A295" s="8"/>
      <c r="B295" s="30" t="s">
        <v>787</v>
      </c>
      <c r="C295" s="31" t="s">
        <v>225</v>
      </c>
      <c r="D295" s="31">
        <v>8000.0</v>
      </c>
      <c r="E295" s="30"/>
      <c r="F295" s="30"/>
      <c r="G295" s="32" t="s">
        <v>100</v>
      </c>
      <c r="H295" s="32" t="s">
        <v>820</v>
      </c>
      <c r="I295" s="31" t="s">
        <v>871</v>
      </c>
      <c r="J295" s="31" t="str">
        <f>IFERROR(__xludf.DUMMYFUNCTION("IF(ISBLANK(I295), """", GOOGLETRANSLATE(I295, ""es"", ""en""))"),"Goal reported for March in Text")</f>
        <v>Goal reported for March in Text</v>
      </c>
    </row>
    <row r="296" ht="15.75" customHeight="1">
      <c r="A296" s="8"/>
      <c r="B296" s="30" t="s">
        <v>788</v>
      </c>
      <c r="C296" s="31" t="s">
        <v>220</v>
      </c>
      <c r="D296" s="31">
        <v>9.0</v>
      </c>
      <c r="E296" s="30">
        <v>19.0</v>
      </c>
      <c r="F296" s="30">
        <v>2.0</v>
      </c>
      <c r="G296" s="32" t="s">
        <v>61</v>
      </c>
      <c r="H296" s="32" t="s">
        <v>820</v>
      </c>
      <c r="I296" s="31" t="s">
        <v>872</v>
      </c>
      <c r="J296" s="31" t="str">
        <f>IFERROR(__xludf.DUMMYFUNCTION("IF(ISBLANK(I296), """", GOOGLETRANSLATE(I296, ""es"", ""en""))"),"Goal reported for April")</f>
        <v>Goal reported for April</v>
      </c>
    </row>
    <row r="297" ht="15.75" customHeight="1">
      <c r="A297" s="8"/>
      <c r="B297" s="30" t="s">
        <v>789</v>
      </c>
      <c r="C297" s="31" t="s">
        <v>225</v>
      </c>
      <c r="D297" s="31">
        <v>8000.0</v>
      </c>
      <c r="E297" s="30"/>
      <c r="F297" s="30"/>
      <c r="G297" s="32" t="s">
        <v>100</v>
      </c>
      <c r="H297" s="32" t="s">
        <v>820</v>
      </c>
      <c r="I297" s="31" t="s">
        <v>873</v>
      </c>
      <c r="J297" s="31" t="str">
        <f>IFERROR(__xludf.DUMMYFUNCTION("IF(ISBLANK(I297), """", GOOGLETRANSLATE(I297, ""es"", ""en""))"),"Goal reported for April in Text")</f>
        <v>Goal reported for April in Text</v>
      </c>
    </row>
    <row r="298" ht="15.75" customHeight="1">
      <c r="A298" s="8"/>
      <c r="B298" s="30" t="s">
        <v>790</v>
      </c>
      <c r="C298" s="31" t="s">
        <v>220</v>
      </c>
      <c r="D298" s="31">
        <v>9.0</v>
      </c>
      <c r="E298" s="30">
        <v>19.0</v>
      </c>
      <c r="F298" s="30">
        <v>2.0</v>
      </c>
      <c r="G298" s="32" t="s">
        <v>61</v>
      </c>
      <c r="H298" s="32" t="s">
        <v>820</v>
      </c>
      <c r="I298" s="31" t="s">
        <v>874</v>
      </c>
      <c r="J298" s="31" t="str">
        <f>IFERROR(__xludf.DUMMYFUNCTION("IF(ISBLANK(I298), """", GOOGLETRANSLATE(I298, ""es"", ""en""))"),"Goal reported for May")</f>
        <v>Goal reported for May</v>
      </c>
    </row>
    <row r="299" ht="15.75" customHeight="1">
      <c r="A299" s="8"/>
      <c r="B299" s="30" t="s">
        <v>791</v>
      </c>
      <c r="C299" s="31" t="s">
        <v>225</v>
      </c>
      <c r="D299" s="31">
        <v>8000.0</v>
      </c>
      <c r="E299" s="30"/>
      <c r="F299" s="30"/>
      <c r="G299" s="32" t="s">
        <v>100</v>
      </c>
      <c r="H299" s="32" t="s">
        <v>820</v>
      </c>
      <c r="I299" s="31" t="s">
        <v>875</v>
      </c>
      <c r="J299" s="31" t="str">
        <f>IFERROR(__xludf.DUMMYFUNCTION("IF(ISBLANK(I299), """", GOOGLETRANSLATE(I299, ""es"", ""en""))"),"Goal reported for May in Text")</f>
        <v>Goal reported for May in Text</v>
      </c>
    </row>
    <row r="300" ht="15.75" customHeight="1">
      <c r="A300" s="8"/>
      <c r="B300" s="30" t="s">
        <v>792</v>
      </c>
      <c r="C300" s="31" t="s">
        <v>220</v>
      </c>
      <c r="D300" s="31">
        <v>9.0</v>
      </c>
      <c r="E300" s="30">
        <v>19.0</v>
      </c>
      <c r="F300" s="30">
        <v>2.0</v>
      </c>
      <c r="G300" s="32" t="s">
        <v>61</v>
      </c>
      <c r="H300" s="32" t="s">
        <v>821</v>
      </c>
      <c r="I300" s="31" t="s">
        <v>876</v>
      </c>
      <c r="J300" s="31" t="str">
        <f>IFERROR(__xludf.DUMMYFUNCTION("IF(ISBLANK(I300), """", GOOGLETRANSLATE(I300, ""es"", ""en""))"),"Goal reported for June")</f>
        <v>Goal reported for June</v>
      </c>
    </row>
    <row r="301" ht="15.75" customHeight="1">
      <c r="A301" s="8"/>
      <c r="B301" s="30" t="s">
        <v>793</v>
      </c>
      <c r="C301" s="31" t="s">
        <v>225</v>
      </c>
      <c r="D301" s="31">
        <v>8000.0</v>
      </c>
      <c r="E301" s="30"/>
      <c r="F301" s="30"/>
      <c r="G301" s="32" t="s">
        <v>100</v>
      </c>
      <c r="H301" s="32" t="s">
        <v>821</v>
      </c>
      <c r="I301" s="31" t="s">
        <v>877</v>
      </c>
      <c r="J301" s="31" t="str">
        <f>IFERROR(__xludf.DUMMYFUNCTION("IF(ISBLANK(I301), """", GOOGLETRANSLATE(I301, ""es"", ""en""))"),"Goal reported for June in Text")</f>
        <v>Goal reported for June in Text</v>
      </c>
    </row>
    <row r="302" ht="15.75" customHeight="1">
      <c r="A302" s="8"/>
      <c r="B302" s="30" t="s">
        <v>794</v>
      </c>
      <c r="C302" s="31" t="s">
        <v>220</v>
      </c>
      <c r="D302" s="31">
        <v>9.0</v>
      </c>
      <c r="E302" s="30">
        <v>19.0</v>
      </c>
      <c r="F302" s="30">
        <v>2.0</v>
      </c>
      <c r="G302" s="32" t="s">
        <v>61</v>
      </c>
      <c r="H302" s="32" t="s">
        <v>820</v>
      </c>
      <c r="I302" s="31" t="s">
        <v>878</v>
      </c>
      <c r="J302" s="31" t="str">
        <f>IFERROR(__xludf.DUMMYFUNCTION("IF(ISBLANK(I302), """", GOOGLETRANSLATE(I302, ""es"", ""en""))"),"Goal reported for July")</f>
        <v>Goal reported for July</v>
      </c>
    </row>
    <row r="303" ht="15.75" customHeight="1">
      <c r="A303" s="8"/>
      <c r="B303" s="30" t="s">
        <v>795</v>
      </c>
      <c r="C303" s="31" t="s">
        <v>225</v>
      </c>
      <c r="D303" s="31">
        <v>8000.0</v>
      </c>
      <c r="E303" s="30"/>
      <c r="F303" s="30"/>
      <c r="G303" s="32" t="s">
        <v>100</v>
      </c>
      <c r="H303" s="32" t="s">
        <v>820</v>
      </c>
      <c r="I303" s="31" t="s">
        <v>879</v>
      </c>
      <c r="J303" s="31" t="str">
        <f>IFERROR(__xludf.DUMMYFUNCTION("IF(ISBLANK(I303), """", GOOGLETRANSLATE(I303, ""es"", ""en""))"),"Goal reported for July in Text")</f>
        <v>Goal reported for July in Text</v>
      </c>
    </row>
    <row r="304" ht="15.75" customHeight="1">
      <c r="A304" s="8"/>
      <c r="B304" s="30" t="s">
        <v>796</v>
      </c>
      <c r="C304" s="31" t="s">
        <v>220</v>
      </c>
      <c r="D304" s="31">
        <v>9.0</v>
      </c>
      <c r="E304" s="30">
        <v>19.0</v>
      </c>
      <c r="F304" s="30">
        <v>2.0</v>
      </c>
      <c r="G304" s="32" t="s">
        <v>61</v>
      </c>
      <c r="H304" s="32" t="s">
        <v>820</v>
      </c>
      <c r="I304" s="31" t="s">
        <v>880</v>
      </c>
      <c r="J304" s="31" t="str">
        <f>IFERROR(__xludf.DUMMYFUNCTION("IF(ISBLANK(I304), """", GOOGLETRANSLATE(I304, ""es"", ""en""))"),"Goal reported for August")</f>
        <v>Goal reported for August</v>
      </c>
    </row>
    <row r="305" ht="15.75" customHeight="1">
      <c r="A305" s="8"/>
      <c r="B305" s="30" t="s">
        <v>797</v>
      </c>
      <c r="C305" s="31" t="s">
        <v>225</v>
      </c>
      <c r="D305" s="31">
        <v>8000.0</v>
      </c>
      <c r="E305" s="30"/>
      <c r="F305" s="30"/>
      <c r="G305" s="32" t="s">
        <v>100</v>
      </c>
      <c r="H305" s="32" t="s">
        <v>820</v>
      </c>
      <c r="I305" s="31" t="s">
        <v>881</v>
      </c>
      <c r="J305" s="31" t="str">
        <f>IFERROR(__xludf.DUMMYFUNCTION("IF(ISBLANK(I305), """", GOOGLETRANSLATE(I305, ""es"", ""en""))"),"Goal reported for August in Text")</f>
        <v>Goal reported for August in Text</v>
      </c>
    </row>
    <row r="306" ht="15.75" customHeight="1">
      <c r="A306" s="8"/>
      <c r="B306" s="30" t="s">
        <v>798</v>
      </c>
      <c r="C306" s="31" t="s">
        <v>220</v>
      </c>
      <c r="D306" s="31">
        <v>9.0</v>
      </c>
      <c r="E306" s="30">
        <v>19.0</v>
      </c>
      <c r="F306" s="30">
        <v>2.0</v>
      </c>
      <c r="G306" s="32" t="s">
        <v>61</v>
      </c>
      <c r="H306" s="32" t="s">
        <v>820</v>
      </c>
      <c r="I306" s="31" t="s">
        <v>882</v>
      </c>
      <c r="J306" s="31" t="str">
        <f>IFERROR(__xludf.DUMMYFUNCTION("IF(ISBLANK(I306), """", GOOGLETRANSLATE(I306, ""es"", ""en""))"),"Goal reported for September")</f>
        <v>Goal reported for September</v>
      </c>
    </row>
    <row r="307" ht="15.75" customHeight="1">
      <c r="A307" s="8"/>
      <c r="B307" s="30" t="s">
        <v>799</v>
      </c>
      <c r="C307" s="31" t="s">
        <v>225</v>
      </c>
      <c r="D307" s="31">
        <v>8000.0</v>
      </c>
      <c r="E307" s="30"/>
      <c r="F307" s="30"/>
      <c r="G307" s="32" t="s">
        <v>100</v>
      </c>
      <c r="H307" s="32" t="s">
        <v>820</v>
      </c>
      <c r="I307" s="31" t="s">
        <v>883</v>
      </c>
      <c r="J307" s="31" t="str">
        <f>IFERROR(__xludf.DUMMYFUNCTION("IF(ISBLANK(I307), """", GOOGLETRANSLATE(I307, ""es"", ""en""))"),"Goal reported for September in Text")</f>
        <v>Goal reported for September in Text</v>
      </c>
    </row>
    <row r="308" ht="15.75" customHeight="1">
      <c r="A308" s="8"/>
      <c r="B308" s="30" t="s">
        <v>800</v>
      </c>
      <c r="C308" s="31" t="s">
        <v>220</v>
      </c>
      <c r="D308" s="31">
        <v>9.0</v>
      </c>
      <c r="E308" s="30">
        <v>19.0</v>
      </c>
      <c r="F308" s="30">
        <v>2.0</v>
      </c>
      <c r="G308" s="32" t="s">
        <v>61</v>
      </c>
      <c r="H308" s="32" t="s">
        <v>820</v>
      </c>
      <c r="I308" s="31" t="s">
        <v>884</v>
      </c>
      <c r="J308" s="31" t="str">
        <f>IFERROR(__xludf.DUMMYFUNCTION("IF(ISBLANK(I308), """", GOOGLETRANSLATE(I308, ""es"", ""en""))"),"Goal reported for October")</f>
        <v>Goal reported for October</v>
      </c>
    </row>
    <row r="309" ht="15.75" customHeight="1">
      <c r="A309" s="8"/>
      <c r="B309" s="30" t="s">
        <v>801</v>
      </c>
      <c r="C309" s="31" t="s">
        <v>225</v>
      </c>
      <c r="D309" s="31">
        <v>8000.0</v>
      </c>
      <c r="E309" s="30"/>
      <c r="F309" s="30"/>
      <c r="G309" s="32" t="s">
        <v>100</v>
      </c>
      <c r="H309" s="32" t="s">
        <v>820</v>
      </c>
      <c r="I309" s="31" t="s">
        <v>885</v>
      </c>
      <c r="J309" s="31" t="str">
        <f>IFERROR(__xludf.DUMMYFUNCTION("IF(ISBLANK(I309), """", GOOGLETRANSLATE(I309, ""es"", ""en""))"),"Goal reported for October in text")</f>
        <v>Goal reported for October in text</v>
      </c>
    </row>
    <row r="310" ht="15.75" customHeight="1">
      <c r="A310" s="8"/>
      <c r="B310" s="30" t="s">
        <v>802</v>
      </c>
      <c r="C310" s="31" t="s">
        <v>220</v>
      </c>
      <c r="D310" s="31">
        <v>9.0</v>
      </c>
      <c r="E310" s="30">
        <v>19.0</v>
      </c>
      <c r="F310" s="30">
        <v>2.0</v>
      </c>
      <c r="G310" s="32" t="s">
        <v>61</v>
      </c>
      <c r="H310" s="32" t="s">
        <v>820</v>
      </c>
      <c r="I310" s="31" t="s">
        <v>886</v>
      </c>
      <c r="J310" s="31" t="str">
        <f>IFERROR(__xludf.DUMMYFUNCTION("IF(ISBLANK(I310), """", GOOGLETRANSLATE(I310, ""es"", ""en""))"),"Goal reported for November")</f>
        <v>Goal reported for November</v>
      </c>
    </row>
    <row r="311" ht="15.75" customHeight="1">
      <c r="A311" s="8"/>
      <c r="B311" s="30" t="s">
        <v>803</v>
      </c>
      <c r="C311" s="31" t="s">
        <v>225</v>
      </c>
      <c r="D311" s="31">
        <v>8000.0</v>
      </c>
      <c r="E311" s="30"/>
      <c r="F311" s="30"/>
      <c r="G311" s="32" t="s">
        <v>100</v>
      </c>
      <c r="H311" s="32" t="s">
        <v>820</v>
      </c>
      <c r="I311" s="31" t="s">
        <v>887</v>
      </c>
      <c r="J311" s="31" t="str">
        <f>IFERROR(__xludf.DUMMYFUNCTION("IF(ISBLANK(I311), """", GOOGLETRANSLATE(I311, ""es"", ""en""))"),"Goal reported for November in text")</f>
        <v>Goal reported for November in text</v>
      </c>
    </row>
    <row r="312" ht="15.75" customHeight="1">
      <c r="A312" s="8"/>
      <c r="B312" s="30" t="s">
        <v>804</v>
      </c>
      <c r="C312" s="31" t="s">
        <v>220</v>
      </c>
      <c r="D312" s="31">
        <v>9.0</v>
      </c>
      <c r="E312" s="30">
        <v>19.0</v>
      </c>
      <c r="F312" s="30">
        <v>2.0</v>
      </c>
      <c r="G312" s="32" t="s">
        <v>61</v>
      </c>
      <c r="H312" s="32" t="s">
        <v>820</v>
      </c>
      <c r="I312" s="31" t="s">
        <v>888</v>
      </c>
      <c r="J312" s="31" t="str">
        <f>IFERROR(__xludf.DUMMYFUNCTION("IF(ISBLANK(I312), """", GOOGLETRANSLATE(I312, ""es"", ""en""))"),"Goal reported for December")</f>
        <v>Goal reported for December</v>
      </c>
    </row>
    <row r="313" ht="15.75" customHeight="1">
      <c r="A313" s="8"/>
      <c r="B313" s="30" t="s">
        <v>805</v>
      </c>
      <c r="C313" s="31" t="s">
        <v>225</v>
      </c>
      <c r="D313" s="31">
        <v>8000.0</v>
      </c>
      <c r="E313" s="30"/>
      <c r="F313" s="30"/>
      <c r="G313" s="32" t="s">
        <v>100</v>
      </c>
      <c r="H313" s="32" t="s">
        <v>820</v>
      </c>
      <c r="I313" s="31" t="s">
        <v>889</v>
      </c>
      <c r="J313" s="31" t="str">
        <f>IFERROR(__xludf.DUMMYFUNCTION("IF(ISBLANK(I313), """", GOOGLETRANSLATE(I313, ""es"", ""en""))"),"Goal reported for December in text")</f>
        <v>Goal reported for December in text</v>
      </c>
    </row>
    <row r="314" ht="15.75" customHeight="1">
      <c r="A314" s="8"/>
      <c r="B314" s="30" t="s">
        <v>184</v>
      </c>
      <c r="C314" s="31" t="s">
        <v>220</v>
      </c>
      <c r="D314" s="31">
        <v>17.0</v>
      </c>
      <c r="E314" s="30">
        <v>30.0</v>
      </c>
      <c r="F314" s="30">
        <v>2.0</v>
      </c>
      <c r="G314" s="32" t="s">
        <v>100</v>
      </c>
      <c r="H314" s="32" t="s">
        <v>819</v>
      </c>
      <c r="I314" s="31" t="s">
        <v>890</v>
      </c>
      <c r="J314" s="31" t="str">
        <f>IFERROR(__xludf.DUMMYFUNCTION("IF(ISBLANK(I314), """", GOOGLETRANSLATE(I314, ""es"", ""en""))"),"Total Goal")</f>
        <v>Total Goal</v>
      </c>
    </row>
    <row r="315" ht="15.75" customHeight="1">
      <c r="A315" s="8"/>
      <c r="B315" s="30" t="s">
        <v>185</v>
      </c>
      <c r="C315" s="31" t="s">
        <v>225</v>
      </c>
      <c r="D315" s="31">
        <v>8000.0</v>
      </c>
      <c r="E315" s="30"/>
      <c r="F315" s="30"/>
      <c r="G315" s="32" t="s">
        <v>100</v>
      </c>
      <c r="H315" s="32" t="s">
        <v>819</v>
      </c>
      <c r="I315" s="31" t="s">
        <v>891</v>
      </c>
      <c r="J315" s="31" t="str">
        <f>IFERROR(__xludf.DUMMYFUNCTION("IF(ISBLANK(I315), """", GOOGLETRANSLATE(I315, ""es"", ""en""))"),"Total goal in text")</f>
        <v>Total goal in text</v>
      </c>
    </row>
    <row r="316" ht="15.75" customHeight="1">
      <c r="A316" s="8"/>
      <c r="B316" s="30" t="s">
        <v>158</v>
      </c>
      <c r="C316" s="31" t="s">
        <v>60</v>
      </c>
      <c r="D316" s="31">
        <v>4.0</v>
      </c>
      <c r="E316" s="30">
        <v>10.0</v>
      </c>
      <c r="F316" s="30">
        <v>0.0</v>
      </c>
      <c r="G316" s="32" t="s">
        <v>61</v>
      </c>
      <c r="H316" s="32">
        <v>3922.0</v>
      </c>
      <c r="I316" s="31" t="s">
        <v>196</v>
      </c>
      <c r="J316" s="31" t="str">
        <f>IFERROR(__xludf.DUMMYFUNCTION("IF(ISBLANK(I316), """", GOOGLETRANSLATE(I316, ""es"", ""en""))"),"Unique identifier of the Investment project (SNIP System)")</f>
        <v>Unique identifier of the Investment project (SNIP System)</v>
      </c>
    </row>
    <row r="317" ht="15.75" customHeight="1">
      <c r="A317" s="8"/>
      <c r="B317" s="30" t="s">
        <v>248</v>
      </c>
      <c r="C317" s="31" t="s">
        <v>82</v>
      </c>
      <c r="D317" s="31">
        <v>250.0</v>
      </c>
      <c r="E317" s="30"/>
      <c r="F317" s="30"/>
      <c r="G317" s="32" t="s">
        <v>100</v>
      </c>
      <c r="H317" s="32" t="s">
        <v>822</v>
      </c>
      <c r="I317" s="31" t="s">
        <v>892</v>
      </c>
      <c r="J317" s="31" t="str">
        <f>IFERROR(__xludf.DUMMYFUNCTION("IF(ISBLANK(I317), """", GOOGLETRANSLATE(I317, ""es"", ""en""))"),"Investment project description")</f>
        <v>Investment project description</v>
      </c>
    </row>
    <row r="318" ht="15.75" customHeight="1">
      <c r="A318" s="8"/>
      <c r="B318" s="30" t="s">
        <v>186</v>
      </c>
      <c r="C318" s="31" t="s">
        <v>60</v>
      </c>
      <c r="D318" s="31">
        <v>4.0</v>
      </c>
      <c r="E318" s="30">
        <v>10.0</v>
      </c>
      <c r="F318" s="30">
        <v>0.0</v>
      </c>
      <c r="G318" s="32" t="s">
        <v>61</v>
      </c>
      <c r="H318" s="32">
        <v>4081.0</v>
      </c>
      <c r="I318" s="31" t="s">
        <v>893</v>
      </c>
      <c r="J318" s="31" t="str">
        <f>IFERROR(__xludf.DUMMYFUNCTION("IF(ISBLANK(I318), """", GOOGLETRANSLATE(I318, ""es"", ""en""))"),"Project phase identifier")</f>
        <v>Project phase identifier</v>
      </c>
    </row>
    <row r="319" ht="15.75" customHeight="1">
      <c r="A319" s="8"/>
      <c r="B319" s="30" t="s">
        <v>346</v>
      </c>
      <c r="C319" s="31" t="s">
        <v>60</v>
      </c>
      <c r="D319" s="31">
        <v>4.0</v>
      </c>
      <c r="E319" s="30">
        <v>10.0</v>
      </c>
      <c r="F319" s="30">
        <v>0.0</v>
      </c>
      <c r="G319" s="32" t="s">
        <v>100</v>
      </c>
      <c r="H319" s="32">
        <v>13879.0</v>
      </c>
      <c r="I319" s="31" t="s">
        <v>725</v>
      </c>
      <c r="J319" s="31" t="str">
        <f>IFERROR(__xludf.DUMMYFUNCTION("IF(ISBLANK(I319), """", GOOGLETRANSLATE(I319, ""es"", ""en""))"),"Investment project identifier")</f>
        <v>Investment project identifier</v>
      </c>
    </row>
    <row r="320" ht="15.75" customHeight="1">
      <c r="A320" s="8"/>
      <c r="B320" s="30" t="s">
        <v>249</v>
      </c>
      <c r="C320" s="31" t="s">
        <v>82</v>
      </c>
      <c r="D320" s="31">
        <v>13.0</v>
      </c>
      <c r="E320" s="30"/>
      <c r="F320" s="30"/>
      <c r="G320" s="32" t="s">
        <v>61</v>
      </c>
      <c r="H320" s="32" t="s">
        <v>189</v>
      </c>
      <c r="I320" s="31" t="s">
        <v>894</v>
      </c>
      <c r="J320" s="31" t="str">
        <f>IFERROR(__xludf.DUMMYFUNCTION("IF(ISBLANK(I320), """", GOOGLETRANSLATE(I320, ""es"", ""en""))"),"Project phase in text")</f>
        <v>Project phase in text</v>
      </c>
    </row>
    <row r="321" ht="15.75" customHeight="1">
      <c r="A321" s="8"/>
      <c r="B321" s="30" t="s">
        <v>387</v>
      </c>
      <c r="C321" s="31" t="s">
        <v>82</v>
      </c>
      <c r="D321" s="31">
        <v>1.0</v>
      </c>
      <c r="E321" s="30"/>
      <c r="F321" s="30"/>
      <c r="G321" s="32" t="s">
        <v>61</v>
      </c>
      <c r="H321" s="32" t="s">
        <v>422</v>
      </c>
      <c r="I321" s="31" t="s">
        <v>895</v>
      </c>
      <c r="J321" s="31" t="str">
        <f>IFERROR(__xludf.DUMMYFUNCTION("IF(ISBLANK(I321), """", GOOGLETRANSLATE(I321, ""es"", ""en""))"),"Indicates if it is a subproject (N=NO)")</f>
        <v>Indicates if it is a subproject (N=NO)</v>
      </c>
    </row>
    <row r="322" ht="15.75" customHeight="1">
      <c r="A322" s="8"/>
      <c r="B322" s="30" t="s">
        <v>388</v>
      </c>
      <c r="C322" s="31" t="s">
        <v>82</v>
      </c>
      <c r="D322" s="31">
        <v>2.0</v>
      </c>
      <c r="E322" s="30"/>
      <c r="F322" s="30"/>
      <c r="G322" s="32" t="s">
        <v>61</v>
      </c>
      <c r="H322" s="32" t="s">
        <v>423</v>
      </c>
      <c r="I322" s="31" t="s">
        <v>895</v>
      </c>
      <c r="J322" s="31" t="str">
        <f>IFERROR(__xludf.DUMMYFUNCTION("IF(ISBLANK(I322), """", GOOGLETRANSLATE(I322, ""es"", ""en""))"),"Indicates if it is a subproject (N=NO)")</f>
        <v>Indicates if it is a subproject (N=NO)</v>
      </c>
    </row>
    <row r="323" ht="15.75" customHeight="1">
      <c r="A323" s="8"/>
      <c r="B323" s="30" t="s">
        <v>54</v>
      </c>
      <c r="C323" s="31" t="s">
        <v>82</v>
      </c>
      <c r="D323" s="31">
        <v>32.0</v>
      </c>
      <c r="E323" s="30"/>
      <c r="F323" s="30"/>
      <c r="G323" s="32" t="s">
        <v>61</v>
      </c>
      <c r="H323" s="32" t="s">
        <v>68</v>
      </c>
      <c r="I323" s="31" t="s">
        <v>153</v>
      </c>
      <c r="J323" s="31" t="str">
        <f>IFERROR(__xludf.DUMMYFUNCTION("IF(ISBLANK(I323), """", GOOGLETRANSLATE(I323, ""es"", ""en""))"),"Registration Status")</f>
        <v>Registration Status</v>
      </c>
    </row>
    <row r="324" ht="15.75" customHeight="1">
      <c r="A324" s="8"/>
      <c r="B324" s="30" t="s">
        <v>55</v>
      </c>
      <c r="C324" s="31" t="s">
        <v>60</v>
      </c>
      <c r="D324" s="31">
        <v>4.0</v>
      </c>
      <c r="E324" s="30">
        <v>10.0</v>
      </c>
      <c r="F324" s="30">
        <v>0.0</v>
      </c>
      <c r="G324" s="32" t="s">
        <v>100</v>
      </c>
      <c r="H324" s="32">
        <v>0.0</v>
      </c>
      <c r="I324" s="31"/>
      <c r="J324" s="31" t="str">
        <f>IFERROR(__xludf.DUMMYFUNCTION("IF(ISBLANK(I324), """", GOOGLETRANSLATE(I324, ""es"", ""en""))"),"")</f>
        <v/>
      </c>
    </row>
    <row r="325" ht="15.75" customHeight="1">
      <c r="A325" s="8"/>
      <c r="B325" s="30" t="s">
        <v>56</v>
      </c>
      <c r="C325" s="31" t="s">
        <v>60</v>
      </c>
      <c r="D325" s="31">
        <v>4.0</v>
      </c>
      <c r="E325" s="30">
        <v>10.0</v>
      </c>
      <c r="F325" s="30">
        <v>0.0</v>
      </c>
      <c r="G325" s="32" t="s">
        <v>61</v>
      </c>
      <c r="H325" s="32">
        <v>41.0</v>
      </c>
      <c r="I325" s="31" t="s">
        <v>101</v>
      </c>
      <c r="J325" s="31" t="str">
        <f>IFERROR(__xludf.DUMMYFUNCTION("IF(ISBLANK(I325), """", GOOGLETRANSLATE(I325, ""es"", ""en""))"),"User who inserted the record, Fields used by the institution for internal use")</f>
        <v>User who inserted the record, Fields used by the institution for internal use</v>
      </c>
    </row>
    <row r="326" ht="15.75" customHeight="1">
      <c r="A326" s="8"/>
      <c r="B326" s="30" t="s">
        <v>57</v>
      </c>
      <c r="C326" s="31" t="s">
        <v>102</v>
      </c>
      <c r="D326" s="31">
        <v>4.0</v>
      </c>
      <c r="E326" s="30"/>
      <c r="F326" s="30"/>
      <c r="G326" s="32" t="s">
        <v>61</v>
      </c>
      <c r="H326" s="44">
        <v>42675.38888888889</v>
      </c>
      <c r="I326" s="31" t="s">
        <v>103</v>
      </c>
      <c r="J326" s="31" t="str">
        <f>IFERROR(__xludf.DUMMYFUNCTION("IF(ISBLANK(I326), """", GOOGLETRANSLATE(I326, ""es"", ""en""))"),"Insertion date, Fields used by the institution for internal use")</f>
        <v>Insertion date, Fields used by the institution for internal use</v>
      </c>
    </row>
    <row r="327" ht="15.75" customHeight="1">
      <c r="A327" s="8"/>
      <c r="B327" s="30" t="s">
        <v>58</v>
      </c>
      <c r="C327" s="31" t="s">
        <v>60</v>
      </c>
      <c r="D327" s="31">
        <v>4.0</v>
      </c>
      <c r="E327" s="30">
        <v>10.0</v>
      </c>
      <c r="F327" s="30">
        <v>0.0</v>
      </c>
      <c r="G327" s="32" t="s">
        <v>100</v>
      </c>
      <c r="H327" s="32">
        <v>41.0</v>
      </c>
      <c r="I327" s="31" t="s">
        <v>104</v>
      </c>
      <c r="J327" s="31" t="str">
        <f>IFERROR(__xludf.DUMMYFUNCTION("IF(ISBLANK(I327), """", GOOGLETRANSLATE(I327, ""es"", ""en""))"),"Update User Callsign")</f>
        <v>Update User Callsign</v>
      </c>
    </row>
    <row r="328" ht="15.75" customHeight="1">
      <c r="A328" s="8"/>
      <c r="B328" s="30" t="s">
        <v>59</v>
      </c>
      <c r="C328" s="31" t="s">
        <v>102</v>
      </c>
      <c r="D328" s="31">
        <v>4.0</v>
      </c>
      <c r="E328" s="30"/>
      <c r="F328" s="30"/>
      <c r="G328" s="32" t="s">
        <v>100</v>
      </c>
      <c r="H328" s="44">
        <v>42675.38888888889</v>
      </c>
      <c r="I328" s="31" t="s">
        <v>105</v>
      </c>
      <c r="J328" s="31" t="str">
        <f>IFERROR(__xludf.DUMMYFUNCTION("IF(ISBLANK(I328), """", GOOGLETRANSLATE(I328, ""es"", ""en""))"),"Update date")</f>
        <v>Update date</v>
      </c>
    </row>
    <row r="329" ht="15.75" customHeight="1">
      <c r="C329" s="4"/>
      <c r="D329" s="4"/>
      <c r="H329" s="3"/>
      <c r="I329" s="31"/>
      <c r="J329" s="31"/>
    </row>
    <row r="330" ht="15.75" customHeight="1">
      <c r="C330" s="4"/>
      <c r="D330" s="4"/>
      <c r="H330" s="3"/>
      <c r="I330" s="4"/>
    </row>
    <row r="331" ht="15.75" customHeight="1">
      <c r="C331" s="4"/>
      <c r="D331" s="4"/>
      <c r="H331" s="3"/>
      <c r="I331" s="4"/>
    </row>
    <row r="332" ht="15.75" customHeight="1">
      <c r="C332" s="4"/>
      <c r="D332" s="4"/>
      <c r="H332" s="3"/>
      <c r="I332" s="4"/>
    </row>
    <row r="333" ht="15.75" customHeight="1">
      <c r="C333" s="4"/>
      <c r="D333" s="4"/>
      <c r="H333" s="3"/>
      <c r="I333" s="4"/>
    </row>
    <row r="334" ht="15.75" customHeight="1">
      <c r="A334" s="17"/>
      <c r="B334" s="38" t="s">
        <v>896</v>
      </c>
      <c r="C334" s="20"/>
      <c r="D334" s="20"/>
      <c r="E334" s="20"/>
      <c r="F334" s="20"/>
      <c r="G334" s="20"/>
      <c r="H334" s="20"/>
      <c r="I334" s="20"/>
      <c r="J334" s="22"/>
    </row>
    <row r="335" ht="33.75" customHeight="1">
      <c r="A335" s="18"/>
      <c r="B335" s="19" t="s">
        <v>897</v>
      </c>
      <c r="C335" s="20"/>
      <c r="D335" s="20"/>
      <c r="E335" s="20"/>
      <c r="F335" s="20"/>
      <c r="G335" s="20"/>
      <c r="H335" s="35" t="str">
        <f>IFERROR(__xludf.DUMMYFUNCTION("IF(ISBLANK(B335), """", GOOGLETRANSLATE(B335, ""es"", ""en""))"),"Geographic location of investment projects")</f>
        <v>Geographic location of investment projects</v>
      </c>
      <c r="I335" s="20"/>
      <c r="J335" s="22"/>
      <c r="K335" s="23"/>
      <c r="L335" s="23"/>
      <c r="M335" s="24" t="s">
        <v>33</v>
      </c>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c r="AY335" s="23"/>
      <c r="AZ335" s="23"/>
      <c r="BA335" s="23"/>
      <c r="BB335" s="23"/>
      <c r="BC335" s="23"/>
      <c r="BD335" s="23"/>
      <c r="BE335" s="23"/>
      <c r="BF335" s="23"/>
      <c r="BG335" s="23"/>
      <c r="BH335" s="23"/>
      <c r="BI335" s="23"/>
      <c r="BJ335" s="23"/>
      <c r="BK335" s="23"/>
      <c r="BL335" s="23"/>
      <c r="BM335" s="23"/>
      <c r="BN335" s="23"/>
      <c r="BO335" s="23"/>
      <c r="BP335" s="23"/>
      <c r="BQ335" s="23"/>
      <c r="BR335" s="23"/>
      <c r="BS335" s="23"/>
      <c r="BT335" s="23"/>
      <c r="BU335" s="23"/>
      <c r="BV335" s="23"/>
      <c r="BW335" s="23"/>
      <c r="BX335" s="23"/>
      <c r="BY335" s="23"/>
      <c r="BZ335" s="23"/>
      <c r="CA335" s="23"/>
      <c r="CB335" s="23"/>
    </row>
    <row r="336" ht="15.75" customHeight="1">
      <c r="A336" s="25"/>
      <c r="B336" s="26" t="s">
        <v>34</v>
      </c>
      <c r="C336" s="27" t="s">
        <v>35</v>
      </c>
      <c r="D336" s="27" t="s">
        <v>36</v>
      </c>
      <c r="E336" s="26" t="s">
        <v>37</v>
      </c>
      <c r="F336" s="26" t="s">
        <v>38</v>
      </c>
      <c r="G336" s="26" t="s">
        <v>39</v>
      </c>
      <c r="H336" s="28" t="s">
        <v>40</v>
      </c>
      <c r="I336" s="28" t="s">
        <v>41</v>
      </c>
      <c r="J336" s="28" t="s">
        <v>42</v>
      </c>
      <c r="K336" s="40" t="s">
        <v>898</v>
      </c>
      <c r="M336" s="6" t="s">
        <v>899</v>
      </c>
      <c r="N336" s="6" t="s">
        <v>158</v>
      </c>
      <c r="O336" s="6" t="s">
        <v>346</v>
      </c>
      <c r="P336" s="6" t="s">
        <v>248</v>
      </c>
      <c r="Q336" s="6" t="s">
        <v>900</v>
      </c>
      <c r="R336" s="6" t="s">
        <v>379</v>
      </c>
      <c r="S336" s="6" t="s">
        <v>380</v>
      </c>
      <c r="T336" s="6" t="s">
        <v>901</v>
      </c>
      <c r="U336" s="6" t="s">
        <v>902</v>
      </c>
      <c r="V336" s="6" t="s">
        <v>903</v>
      </c>
      <c r="W336" s="6" t="s">
        <v>904</v>
      </c>
      <c r="X336" s="6" t="s">
        <v>905</v>
      </c>
      <c r="Y336" s="6" t="s">
        <v>906</v>
      </c>
      <c r="Z336" s="6" t="s">
        <v>907</v>
      </c>
      <c r="AA336" s="6" t="s">
        <v>908</v>
      </c>
      <c r="AB336" s="6" t="s">
        <v>909</v>
      </c>
      <c r="AC336" s="6" t="s">
        <v>910</v>
      </c>
      <c r="AD336" s="6" t="s">
        <v>911</v>
      </c>
      <c r="AE336" s="6" t="s">
        <v>54</v>
      </c>
      <c r="AF336" s="6" t="s">
        <v>55</v>
      </c>
      <c r="AG336" s="6" t="s">
        <v>56</v>
      </c>
      <c r="AH336" s="6" t="s">
        <v>57</v>
      </c>
      <c r="AI336" s="6" t="s">
        <v>58</v>
      </c>
      <c r="AJ336" s="6" t="s">
        <v>59</v>
      </c>
    </row>
    <row r="337" ht="15.75" customHeight="1">
      <c r="A337" s="8"/>
      <c r="B337" s="30" t="s">
        <v>899</v>
      </c>
      <c r="C337" s="31" t="s">
        <v>60</v>
      </c>
      <c r="D337" s="31">
        <v>4.0</v>
      </c>
      <c r="E337" s="30">
        <v>10.0</v>
      </c>
      <c r="F337" s="30">
        <v>0.0</v>
      </c>
      <c r="G337" s="32" t="s">
        <v>61</v>
      </c>
      <c r="H337" s="32">
        <v>89.0</v>
      </c>
      <c r="I337" s="31" t="s">
        <v>912</v>
      </c>
      <c r="J337" s="31"/>
      <c r="K337" s="55" t="s">
        <v>913</v>
      </c>
      <c r="M337" s="30">
        <v>63.0</v>
      </c>
      <c r="N337" s="30">
        <v>49.0</v>
      </c>
      <c r="O337" s="30">
        <v>3731.0</v>
      </c>
      <c r="P337" s="30" t="s">
        <v>330</v>
      </c>
      <c r="Q337" s="30">
        <v>33.0</v>
      </c>
      <c r="R337" s="30">
        <v>3.0</v>
      </c>
      <c r="S337" s="30" t="s">
        <v>466</v>
      </c>
      <c r="T337" s="30">
        <v>6.0</v>
      </c>
      <c r="U337" s="30" t="s">
        <v>914</v>
      </c>
      <c r="V337" s="30">
        <v>9.0</v>
      </c>
      <c r="W337" s="30">
        <v>4.0</v>
      </c>
      <c r="X337" s="30" t="s">
        <v>915</v>
      </c>
      <c r="Y337" s="30">
        <v>33.0</v>
      </c>
      <c r="Z337" s="30">
        <v>0.0</v>
      </c>
      <c r="AA337" s="30"/>
      <c r="AB337" s="30" t="s">
        <v>66</v>
      </c>
      <c r="AC337" s="30" t="s">
        <v>67</v>
      </c>
      <c r="AD337" s="30">
        <v>33.0</v>
      </c>
      <c r="AE337" s="30" t="s">
        <v>68</v>
      </c>
      <c r="AF337" s="30">
        <v>0.0</v>
      </c>
      <c r="AG337" s="30">
        <v>1.0</v>
      </c>
      <c r="AH337" s="33">
        <v>42280.0</v>
      </c>
      <c r="AI337" s="30">
        <v>1.0</v>
      </c>
      <c r="AJ337" s="33">
        <v>42286.46319444444</v>
      </c>
    </row>
    <row r="338" ht="15.75" customHeight="1">
      <c r="A338" s="8"/>
      <c r="B338" s="30" t="s">
        <v>158</v>
      </c>
      <c r="C338" s="31" t="s">
        <v>60</v>
      </c>
      <c r="D338" s="31">
        <v>4.0</v>
      </c>
      <c r="E338" s="30">
        <v>10.0</v>
      </c>
      <c r="F338" s="30">
        <v>0.0</v>
      </c>
      <c r="G338" s="32" t="s">
        <v>100</v>
      </c>
      <c r="H338" s="32">
        <v>75.0</v>
      </c>
      <c r="I338" s="31" t="s">
        <v>196</v>
      </c>
      <c r="J338" s="31" t="str">
        <f>IFERROR(__xludf.DUMMYFUNCTION("IF(ISBLANK(I338), """", GOOGLETRANSLATE(I338, ""es"", ""en""))"),"Unique identifier of the Investment project (SNIP System)")</f>
        <v>Unique identifier of the Investment project (SNIP System)</v>
      </c>
      <c r="M338" s="30">
        <v>82.0</v>
      </c>
      <c r="N338" s="30">
        <v>67.0</v>
      </c>
      <c r="O338" s="30">
        <v>12342.0</v>
      </c>
      <c r="P338" s="30" t="s">
        <v>836</v>
      </c>
      <c r="Q338" s="30">
        <v>28.0</v>
      </c>
      <c r="R338" s="30">
        <v>3.0</v>
      </c>
      <c r="S338" s="30" t="s">
        <v>466</v>
      </c>
      <c r="T338" s="30">
        <v>7.0</v>
      </c>
      <c r="U338" s="30" t="s">
        <v>916</v>
      </c>
      <c r="V338" s="30">
        <v>10.0</v>
      </c>
      <c r="W338" s="30">
        <v>2.0</v>
      </c>
      <c r="X338" s="30" t="s">
        <v>917</v>
      </c>
      <c r="Y338" s="30">
        <v>28.0</v>
      </c>
      <c r="Z338" s="30">
        <v>0.0</v>
      </c>
      <c r="AA338" s="30"/>
      <c r="AB338" s="30" t="s">
        <v>66</v>
      </c>
      <c r="AC338" s="30" t="s">
        <v>67</v>
      </c>
      <c r="AD338" s="30">
        <v>100.0</v>
      </c>
      <c r="AE338" s="30" t="s">
        <v>68</v>
      </c>
      <c r="AF338" s="30">
        <v>0.0</v>
      </c>
      <c r="AG338" s="30">
        <v>1.0</v>
      </c>
      <c r="AH338" s="33">
        <v>42280.0</v>
      </c>
      <c r="AI338" s="30">
        <v>1.0</v>
      </c>
      <c r="AJ338" s="33">
        <v>42286.46319444444</v>
      </c>
    </row>
    <row r="339" ht="15.75" customHeight="1">
      <c r="A339" s="8"/>
      <c r="B339" s="30" t="s">
        <v>346</v>
      </c>
      <c r="C339" s="31" t="s">
        <v>60</v>
      </c>
      <c r="D339" s="31">
        <v>4.0</v>
      </c>
      <c r="E339" s="30">
        <v>10.0</v>
      </c>
      <c r="F339" s="30">
        <v>0.0</v>
      </c>
      <c r="G339" s="32" t="s">
        <v>100</v>
      </c>
      <c r="H339" s="32">
        <v>5357.0</v>
      </c>
      <c r="I339" s="31" t="s">
        <v>725</v>
      </c>
      <c r="J339" s="31" t="str">
        <f>IFERROR(__xludf.DUMMYFUNCTION("IF(ISBLANK(I339), """", GOOGLETRANSLATE(I339, ""es"", ""en""))"),"Investment project identifier")</f>
        <v>Investment project identifier</v>
      </c>
      <c r="M339" s="30">
        <v>89.0</v>
      </c>
      <c r="N339" s="30">
        <v>75.0</v>
      </c>
      <c r="O339" s="30">
        <v>5357.0</v>
      </c>
      <c r="P339" s="30" t="s">
        <v>566</v>
      </c>
      <c r="Q339" s="30">
        <v>21.0</v>
      </c>
      <c r="R339" s="30">
        <v>3.0</v>
      </c>
      <c r="S339" s="30" t="s">
        <v>466</v>
      </c>
      <c r="T339" s="30">
        <v>3.0</v>
      </c>
      <c r="U339" s="30" t="s">
        <v>918</v>
      </c>
      <c r="V339" s="30">
        <v>6.0</v>
      </c>
      <c r="W339" s="30">
        <v>19.0</v>
      </c>
      <c r="X339" s="30" t="s">
        <v>919</v>
      </c>
      <c r="Y339" s="30">
        <v>21.0</v>
      </c>
      <c r="Z339" s="30">
        <v>0.0</v>
      </c>
      <c r="AA339" s="30"/>
      <c r="AB339" s="30" t="s">
        <v>66</v>
      </c>
      <c r="AC339" s="30" t="s">
        <v>67</v>
      </c>
      <c r="AD339" s="30">
        <v>100.0</v>
      </c>
      <c r="AE339" s="30" t="s">
        <v>68</v>
      </c>
      <c r="AF339" s="30">
        <v>0.0</v>
      </c>
      <c r="AG339" s="30">
        <v>1.0</v>
      </c>
      <c r="AH339" s="33">
        <v>42280.0</v>
      </c>
      <c r="AI339" s="30">
        <v>1.0</v>
      </c>
      <c r="AJ339" s="33">
        <v>42286.46319444444</v>
      </c>
    </row>
    <row r="340" ht="15.75" customHeight="1">
      <c r="A340" s="8"/>
      <c r="B340" s="30" t="s">
        <v>248</v>
      </c>
      <c r="C340" s="31" t="s">
        <v>82</v>
      </c>
      <c r="D340" s="31">
        <v>250.0</v>
      </c>
      <c r="E340" s="30"/>
      <c r="F340" s="30"/>
      <c r="G340" s="32" t="s">
        <v>100</v>
      </c>
      <c r="H340" s="32" t="s">
        <v>566</v>
      </c>
      <c r="I340" s="31" t="s">
        <v>892</v>
      </c>
      <c r="J340" s="31" t="str">
        <f>IFERROR(__xludf.DUMMYFUNCTION("IF(ISBLANK(I340), """", GOOGLETRANSLATE(I340, ""es"", ""en""))"),"Investment project description")</f>
        <v>Investment project description</v>
      </c>
      <c r="M340" s="30">
        <v>102.0</v>
      </c>
      <c r="N340" s="30">
        <v>40.0</v>
      </c>
      <c r="O340" s="30">
        <v>6810.0</v>
      </c>
      <c r="P340" s="30" t="s">
        <v>477</v>
      </c>
      <c r="Q340" s="30">
        <v>198.0</v>
      </c>
      <c r="R340" s="30">
        <v>4.0</v>
      </c>
      <c r="S340" s="30" t="s">
        <v>445</v>
      </c>
      <c r="T340" s="30">
        <v>10.0</v>
      </c>
      <c r="U340" s="30" t="s">
        <v>920</v>
      </c>
      <c r="V340" s="30">
        <v>13.0</v>
      </c>
      <c r="W340" s="30">
        <v>32.0</v>
      </c>
      <c r="X340" s="30" t="s">
        <v>921</v>
      </c>
      <c r="Y340" s="30">
        <v>45.0</v>
      </c>
      <c r="Z340" s="30">
        <v>3.0</v>
      </c>
      <c r="AA340" s="30" t="s">
        <v>922</v>
      </c>
      <c r="AB340" s="30" t="s">
        <v>66</v>
      </c>
      <c r="AC340" s="30" t="s">
        <v>67</v>
      </c>
      <c r="AD340" s="30">
        <v>50.0</v>
      </c>
      <c r="AE340" s="30" t="s">
        <v>68</v>
      </c>
      <c r="AF340" s="30">
        <v>0.0</v>
      </c>
      <c r="AG340" s="30">
        <v>1.0</v>
      </c>
      <c r="AH340" s="33">
        <v>42280.0</v>
      </c>
      <c r="AI340" s="30">
        <v>1.0</v>
      </c>
      <c r="AJ340" s="33">
        <v>42286.46319444444</v>
      </c>
    </row>
    <row r="341" ht="15.75" customHeight="1">
      <c r="A341" s="8"/>
      <c r="B341" s="30" t="s">
        <v>900</v>
      </c>
      <c r="C341" s="31" t="s">
        <v>60</v>
      </c>
      <c r="D341" s="31">
        <v>4.0</v>
      </c>
      <c r="E341" s="30">
        <v>10.0</v>
      </c>
      <c r="F341" s="30">
        <v>0.0</v>
      </c>
      <c r="G341" s="32" t="s">
        <v>100</v>
      </c>
      <c r="H341" s="32">
        <v>21.0</v>
      </c>
      <c r="I341" s="31"/>
      <c r="J341" s="31" t="str">
        <f>IFERROR(__xludf.DUMMYFUNCTION("IF(ISBLANK(I341), """", GOOGLETRANSLATE(I341, ""es"", ""en""))"),"")</f>
        <v/>
      </c>
      <c r="M341" s="30">
        <v>103.0</v>
      </c>
      <c r="N341" s="30">
        <v>40.0</v>
      </c>
      <c r="O341" s="30">
        <v>6810.0</v>
      </c>
      <c r="P341" s="30" t="s">
        <v>477</v>
      </c>
      <c r="Q341" s="30">
        <v>195.0</v>
      </c>
      <c r="R341" s="30">
        <v>4.0</v>
      </c>
      <c r="S341" s="30" t="s">
        <v>445</v>
      </c>
      <c r="T341" s="30">
        <v>10.0</v>
      </c>
      <c r="U341" s="30" t="s">
        <v>920</v>
      </c>
      <c r="V341" s="30">
        <v>13.0</v>
      </c>
      <c r="W341" s="30">
        <v>32.0</v>
      </c>
      <c r="X341" s="30" t="s">
        <v>921</v>
      </c>
      <c r="Y341" s="30">
        <v>45.0</v>
      </c>
      <c r="Z341" s="30">
        <v>1.0</v>
      </c>
      <c r="AA341" s="30" t="s">
        <v>923</v>
      </c>
      <c r="AB341" s="30" t="s">
        <v>66</v>
      </c>
      <c r="AC341" s="30" t="s">
        <v>67</v>
      </c>
      <c r="AD341" s="30">
        <v>50.0</v>
      </c>
      <c r="AE341" s="30" t="s">
        <v>68</v>
      </c>
      <c r="AF341" s="30">
        <v>0.0</v>
      </c>
      <c r="AG341" s="30">
        <v>1.0</v>
      </c>
      <c r="AH341" s="33">
        <v>42280.0</v>
      </c>
      <c r="AI341" s="30">
        <v>1.0</v>
      </c>
      <c r="AJ341" s="33">
        <v>42286.46319444444</v>
      </c>
    </row>
    <row r="342" ht="15.75" customHeight="1">
      <c r="A342" s="8"/>
      <c r="B342" s="30" t="s">
        <v>379</v>
      </c>
      <c r="C342" s="31" t="s">
        <v>60</v>
      </c>
      <c r="D342" s="31">
        <v>4.0</v>
      </c>
      <c r="E342" s="30">
        <v>10.0</v>
      </c>
      <c r="F342" s="30">
        <v>0.0</v>
      </c>
      <c r="G342" s="32" t="s">
        <v>61</v>
      </c>
      <c r="H342" s="32">
        <v>3.0</v>
      </c>
      <c r="I342" s="31" t="s">
        <v>924</v>
      </c>
      <c r="J342" s="31" t="str">
        <f>IFERROR(__xludf.DUMMYFUNCTION("IF(ISBLANK(I342), """", GOOGLETRANSLATE(I342, ""es"", ""en""))"),"Influence area identifier")</f>
        <v>Influence area identifier</v>
      </c>
      <c r="M342" s="30">
        <v>107.0</v>
      </c>
      <c r="N342" s="30">
        <v>95.0</v>
      </c>
      <c r="O342" s="30">
        <v>4340.0</v>
      </c>
      <c r="P342" s="30" t="s">
        <v>433</v>
      </c>
      <c r="Q342" s="30">
        <v>124.0</v>
      </c>
      <c r="R342" s="30">
        <v>4.0</v>
      </c>
      <c r="S342" s="30" t="s">
        <v>445</v>
      </c>
      <c r="T342" s="30">
        <v>5.0</v>
      </c>
      <c r="U342" s="30" t="s">
        <v>925</v>
      </c>
      <c r="V342" s="30">
        <v>8.0</v>
      </c>
      <c r="W342" s="30">
        <v>17.0</v>
      </c>
      <c r="X342" s="30" t="s">
        <v>926</v>
      </c>
      <c r="Y342" s="30">
        <v>29.0</v>
      </c>
      <c r="Z342" s="30">
        <v>1.0</v>
      </c>
      <c r="AA342" s="30" t="s">
        <v>927</v>
      </c>
      <c r="AB342" s="30" t="s">
        <v>66</v>
      </c>
      <c r="AC342" s="30" t="s">
        <v>67</v>
      </c>
      <c r="AD342" s="30">
        <v>50.0</v>
      </c>
      <c r="AE342" s="30" t="s">
        <v>68</v>
      </c>
      <c r="AF342" s="30">
        <v>0.0</v>
      </c>
      <c r="AG342" s="30">
        <v>1.0</v>
      </c>
      <c r="AH342" s="33">
        <v>42280.0</v>
      </c>
      <c r="AI342" s="30">
        <v>1.0</v>
      </c>
      <c r="AJ342" s="33">
        <v>42286.46319444444</v>
      </c>
    </row>
    <row r="343" ht="15.75" customHeight="1">
      <c r="A343" s="8"/>
      <c r="B343" s="30" t="s">
        <v>380</v>
      </c>
      <c r="C343" s="31" t="s">
        <v>82</v>
      </c>
      <c r="D343" s="31">
        <v>16.0</v>
      </c>
      <c r="E343" s="30"/>
      <c r="F343" s="30"/>
      <c r="G343" s="32" t="s">
        <v>61</v>
      </c>
      <c r="H343" s="32" t="s">
        <v>466</v>
      </c>
      <c r="I343" s="31" t="s">
        <v>928</v>
      </c>
      <c r="J343" s="31" t="str">
        <f>IFERROR(__xludf.DUMMYFUNCTION("IF(ISBLANK(I343), """", GOOGLETRANSLATE(I343, ""es"", ""en""))"),"Description of the area of ​​influence")</f>
        <v>Description of the area of ​​influence</v>
      </c>
      <c r="M343" s="30">
        <v>108.0</v>
      </c>
      <c r="N343" s="30">
        <v>95.0</v>
      </c>
      <c r="O343" s="30">
        <v>4340.0</v>
      </c>
      <c r="P343" s="30" t="s">
        <v>433</v>
      </c>
      <c r="Q343" s="30">
        <v>125.0</v>
      </c>
      <c r="R343" s="30">
        <v>4.0</v>
      </c>
      <c r="S343" s="30" t="s">
        <v>445</v>
      </c>
      <c r="T343" s="30">
        <v>5.0</v>
      </c>
      <c r="U343" s="30" t="s">
        <v>925</v>
      </c>
      <c r="V343" s="30">
        <v>8.0</v>
      </c>
      <c r="W343" s="30">
        <v>17.0</v>
      </c>
      <c r="X343" s="30" t="s">
        <v>926</v>
      </c>
      <c r="Y343" s="30">
        <v>29.0</v>
      </c>
      <c r="Z343" s="30">
        <v>2.0</v>
      </c>
      <c r="AA343" s="30" t="s">
        <v>929</v>
      </c>
      <c r="AB343" s="30" t="s">
        <v>66</v>
      </c>
      <c r="AC343" s="30" t="s">
        <v>67</v>
      </c>
      <c r="AD343" s="30">
        <v>50.0</v>
      </c>
      <c r="AE343" s="30" t="s">
        <v>68</v>
      </c>
      <c r="AF343" s="30">
        <v>0.0</v>
      </c>
      <c r="AG343" s="30">
        <v>1.0</v>
      </c>
      <c r="AH343" s="33">
        <v>42280.0</v>
      </c>
      <c r="AI343" s="30">
        <v>1.0</v>
      </c>
      <c r="AJ343" s="33">
        <v>42286.46319444444</v>
      </c>
    </row>
    <row r="344" ht="15.75" customHeight="1">
      <c r="A344" s="8"/>
      <c r="B344" s="30" t="s">
        <v>901</v>
      </c>
      <c r="C344" s="31" t="s">
        <v>82</v>
      </c>
      <c r="D344" s="31">
        <v>2.0</v>
      </c>
      <c r="E344" s="30"/>
      <c r="F344" s="30"/>
      <c r="G344" s="32" t="s">
        <v>100</v>
      </c>
      <c r="H344" s="32">
        <v>3.0</v>
      </c>
      <c r="I344" s="31" t="s">
        <v>930</v>
      </c>
      <c r="J344" s="31" t="str">
        <f>IFERROR(__xludf.DUMMYFUNCTION("IF(ISBLANK(I344), """", GOOGLETRANSLATE(I344, ""es"", ""en""))"),"Region Code")</f>
        <v>Region Code</v>
      </c>
      <c r="M344" s="30">
        <v>177.0</v>
      </c>
      <c r="N344" s="30">
        <v>160.0</v>
      </c>
      <c r="O344" s="30">
        <v>4335.0</v>
      </c>
      <c r="P344" s="30" t="s">
        <v>931</v>
      </c>
      <c r="Q344" s="30">
        <v>44.0</v>
      </c>
      <c r="R344" s="30">
        <v>3.0</v>
      </c>
      <c r="S344" s="30" t="s">
        <v>466</v>
      </c>
      <c r="T344" s="30">
        <v>10.0</v>
      </c>
      <c r="U344" s="30" t="s">
        <v>920</v>
      </c>
      <c r="V344" s="30">
        <v>13.0</v>
      </c>
      <c r="W344" s="30">
        <v>1.0</v>
      </c>
      <c r="X344" s="30" t="s">
        <v>932</v>
      </c>
      <c r="Y344" s="30">
        <v>44.0</v>
      </c>
      <c r="Z344" s="30">
        <v>0.0</v>
      </c>
      <c r="AA344" s="30"/>
      <c r="AB344" s="30" t="s">
        <v>66</v>
      </c>
      <c r="AC344" s="30" t="s">
        <v>67</v>
      </c>
      <c r="AD344" s="30">
        <v>100.0</v>
      </c>
      <c r="AE344" s="30" t="s">
        <v>68</v>
      </c>
      <c r="AF344" s="30">
        <v>0.0</v>
      </c>
      <c r="AG344" s="30">
        <v>1.0</v>
      </c>
      <c r="AH344" s="33">
        <v>42280.0</v>
      </c>
      <c r="AI344" s="30">
        <v>1.0</v>
      </c>
      <c r="AJ344" s="33">
        <v>42286.46319444444</v>
      </c>
    </row>
    <row r="345" ht="15.75" customHeight="1">
      <c r="A345" s="8"/>
      <c r="B345" s="30" t="s">
        <v>902</v>
      </c>
      <c r="C345" s="31" t="s">
        <v>82</v>
      </c>
      <c r="D345" s="31">
        <v>120.0</v>
      </c>
      <c r="E345" s="30"/>
      <c r="F345" s="30"/>
      <c r="G345" s="32" t="s">
        <v>100</v>
      </c>
      <c r="H345" s="32" t="s">
        <v>918</v>
      </c>
      <c r="I345" s="31" t="s">
        <v>933</v>
      </c>
      <c r="J345" s="31" t="str">
        <f>IFERROR(__xludf.DUMMYFUNCTION("IF(ISBLANK(I345), """", GOOGLETRANSLATE(I345, ""es"", ""en""))"),"Region Description")</f>
        <v>Region Description</v>
      </c>
      <c r="M345" s="30">
        <v>325.0</v>
      </c>
      <c r="N345" s="30">
        <v>280.0</v>
      </c>
      <c r="O345" s="30">
        <v>6347.0</v>
      </c>
      <c r="P345" s="30" t="s">
        <v>934</v>
      </c>
      <c r="Q345" s="30">
        <v>17.0</v>
      </c>
      <c r="R345" s="30">
        <v>3.0</v>
      </c>
      <c r="S345" s="30" t="s">
        <v>466</v>
      </c>
      <c r="T345" s="30">
        <v>2.0</v>
      </c>
      <c r="U345" s="30" t="s">
        <v>935</v>
      </c>
      <c r="V345" s="30">
        <v>5.0</v>
      </c>
      <c r="W345" s="30">
        <v>13.0</v>
      </c>
      <c r="X345" s="30" t="s">
        <v>936</v>
      </c>
      <c r="Y345" s="30">
        <v>17.0</v>
      </c>
      <c r="Z345" s="30">
        <v>0.0</v>
      </c>
      <c r="AA345" s="30"/>
      <c r="AB345" s="30" t="s">
        <v>66</v>
      </c>
      <c r="AC345" s="30" t="s">
        <v>67</v>
      </c>
      <c r="AD345" s="30">
        <v>100.0</v>
      </c>
      <c r="AE345" s="30" t="s">
        <v>68</v>
      </c>
      <c r="AF345" s="30">
        <v>0.0</v>
      </c>
      <c r="AG345" s="30">
        <v>1.0</v>
      </c>
      <c r="AH345" s="33">
        <v>42280.0</v>
      </c>
      <c r="AI345" s="30">
        <v>1.0</v>
      </c>
      <c r="AJ345" s="33">
        <v>42286.46319444444</v>
      </c>
    </row>
    <row r="346" ht="15.75" customHeight="1">
      <c r="A346" s="8"/>
      <c r="B346" s="30" t="s">
        <v>903</v>
      </c>
      <c r="C346" s="31" t="s">
        <v>60</v>
      </c>
      <c r="D346" s="31">
        <v>4.0</v>
      </c>
      <c r="E346" s="30">
        <v>10.0</v>
      </c>
      <c r="F346" s="30">
        <v>0.0</v>
      </c>
      <c r="G346" s="32" t="s">
        <v>61</v>
      </c>
      <c r="H346" s="32">
        <v>6.0</v>
      </c>
      <c r="I346" s="31" t="s">
        <v>937</v>
      </c>
      <c r="J346" s="31" t="str">
        <f>IFERROR(__xludf.DUMMYFUNCTION("IF(ISBLANK(I346), """", GOOGLETRANSLATE(I346, ""es"", ""en""))"),"Region Coding (Other Coding)")</f>
        <v>Region Coding (Other Coding)</v>
      </c>
      <c r="M346" s="30">
        <v>389.0</v>
      </c>
      <c r="N346" s="30">
        <v>259.0</v>
      </c>
      <c r="O346" s="30">
        <v>1441.0</v>
      </c>
      <c r="P346" s="30" t="s">
        <v>577</v>
      </c>
      <c r="Q346" s="30">
        <v>17.0</v>
      </c>
      <c r="R346" s="30">
        <v>3.0</v>
      </c>
      <c r="S346" s="30" t="s">
        <v>466</v>
      </c>
      <c r="T346" s="30">
        <v>2.0</v>
      </c>
      <c r="U346" s="30" t="s">
        <v>935</v>
      </c>
      <c r="V346" s="30">
        <v>5.0</v>
      </c>
      <c r="W346" s="30">
        <v>13.0</v>
      </c>
      <c r="X346" s="30" t="s">
        <v>936</v>
      </c>
      <c r="Y346" s="30">
        <v>17.0</v>
      </c>
      <c r="Z346" s="30">
        <v>0.0</v>
      </c>
      <c r="AA346" s="30"/>
      <c r="AB346" s="30" t="s">
        <v>66</v>
      </c>
      <c r="AC346" s="30" t="s">
        <v>67</v>
      </c>
      <c r="AD346" s="30">
        <v>100.0</v>
      </c>
      <c r="AE346" s="30" t="s">
        <v>68</v>
      </c>
      <c r="AF346" s="30">
        <v>0.0</v>
      </c>
      <c r="AG346" s="30">
        <v>1.0</v>
      </c>
      <c r="AH346" s="33">
        <v>42280.0</v>
      </c>
      <c r="AI346" s="30">
        <v>1.0</v>
      </c>
      <c r="AJ346" s="33">
        <v>42286.46319444444</v>
      </c>
    </row>
    <row r="347" ht="15.75" customHeight="1">
      <c r="A347" s="8"/>
      <c r="B347" s="30" t="s">
        <v>904</v>
      </c>
      <c r="C347" s="31" t="s">
        <v>82</v>
      </c>
      <c r="D347" s="31">
        <v>2.0</v>
      </c>
      <c r="E347" s="30"/>
      <c r="F347" s="30"/>
      <c r="G347" s="32" t="s">
        <v>100</v>
      </c>
      <c r="H347" s="32">
        <v>19.0</v>
      </c>
      <c r="I347" s="31" t="s">
        <v>938</v>
      </c>
      <c r="J347" s="31" t="str">
        <f>IFERROR(__xludf.DUMMYFUNCTION("IF(ISBLANK(I347), """", GOOGLETRANSLATE(I347, ""es"", ""en""))"),"Province Code")</f>
        <v>Province Code</v>
      </c>
    </row>
    <row r="348" ht="15.75" customHeight="1">
      <c r="A348" s="8"/>
      <c r="B348" s="30" t="s">
        <v>905</v>
      </c>
      <c r="C348" s="31" t="s">
        <v>82</v>
      </c>
      <c r="D348" s="31">
        <v>120.0</v>
      </c>
      <c r="E348" s="30"/>
      <c r="F348" s="30"/>
      <c r="G348" s="32" t="s">
        <v>100</v>
      </c>
      <c r="H348" s="32" t="s">
        <v>919</v>
      </c>
      <c r="I348" s="31" t="s">
        <v>939</v>
      </c>
      <c r="J348" s="31" t="str">
        <f>IFERROR(__xludf.DUMMYFUNCTION("IF(ISBLANK(I348), """", GOOGLETRANSLATE(I348, ""es"", ""en""))"),"Description of the Province")</f>
        <v>Description of the Province</v>
      </c>
    </row>
    <row r="349" ht="15.75" customHeight="1">
      <c r="A349" s="8"/>
      <c r="B349" s="30" t="s">
        <v>906</v>
      </c>
      <c r="C349" s="31" t="s">
        <v>60</v>
      </c>
      <c r="D349" s="31">
        <v>4.0</v>
      </c>
      <c r="E349" s="30">
        <v>10.0</v>
      </c>
      <c r="F349" s="30">
        <v>0.0</v>
      </c>
      <c r="G349" s="32" t="s">
        <v>61</v>
      </c>
      <c r="H349" s="32">
        <v>21.0</v>
      </c>
      <c r="I349" s="31" t="s">
        <v>940</v>
      </c>
      <c r="J349" s="31" t="str">
        <f>IFERROR(__xludf.DUMMYFUNCTION("IF(ISBLANK(I349), """", GOOGLETRANSLATE(I349, ""es"", ""en""))"),"Codification of the Province (Other codification)")</f>
        <v>Codification of the Province (Other codification)</v>
      </c>
    </row>
    <row r="350" ht="15.75" customHeight="1">
      <c r="A350" s="8"/>
      <c r="B350" s="30" t="s">
        <v>907</v>
      </c>
      <c r="C350" s="31" t="s">
        <v>82</v>
      </c>
      <c r="D350" s="31">
        <v>4.0</v>
      </c>
      <c r="E350" s="30"/>
      <c r="F350" s="30"/>
      <c r="G350" s="32" t="s">
        <v>100</v>
      </c>
      <c r="H350" s="32">
        <v>0.0</v>
      </c>
      <c r="I350" s="31" t="s">
        <v>941</v>
      </c>
      <c r="J350" s="31" t="str">
        <f>IFERROR(__xludf.DUMMYFUNCTION("IF(ISBLANK(I350), """", GOOGLETRANSLATE(I350, ""es"", ""en""))"),"Municipal Code")</f>
        <v>Municipal Code</v>
      </c>
    </row>
    <row r="351" ht="15.75" customHeight="1">
      <c r="A351" s="8"/>
      <c r="B351" s="30" t="s">
        <v>908</v>
      </c>
      <c r="C351" s="31" t="s">
        <v>82</v>
      </c>
      <c r="D351" s="31">
        <v>120.0</v>
      </c>
      <c r="E351" s="30"/>
      <c r="F351" s="30"/>
      <c r="G351" s="32" t="s">
        <v>100</v>
      </c>
      <c r="H351" s="32"/>
      <c r="I351" s="31" t="s">
        <v>942</v>
      </c>
      <c r="J351" s="31" t="str">
        <f>IFERROR(__xludf.DUMMYFUNCTION("IF(ISBLANK(I351), """", GOOGLETRANSLATE(I351, ""es"", ""en""))"),"Description of the Municipality")</f>
        <v>Description of the Municipality</v>
      </c>
    </row>
    <row r="352" ht="15.75" customHeight="1">
      <c r="A352" s="8"/>
      <c r="B352" s="30" t="s">
        <v>909</v>
      </c>
      <c r="C352" s="31" t="s">
        <v>82</v>
      </c>
      <c r="D352" s="31">
        <v>1.0</v>
      </c>
      <c r="E352" s="30"/>
      <c r="F352" s="30"/>
      <c r="G352" s="32" t="s">
        <v>61</v>
      </c>
      <c r="H352" s="32" t="s">
        <v>66</v>
      </c>
      <c r="I352" s="31" t="s">
        <v>943</v>
      </c>
      <c r="J352" s="31" t="str">
        <f>IFERROR(__xludf.DUMMYFUNCTION("IF(ISBLANK(I352), """", GOOGLETRANSLATE(I352, ""es"", ""en""))"),"Geometry status (YES/NO)")</f>
        <v>Geometry status (YES/NO)</v>
      </c>
    </row>
    <row r="353" ht="15.75" customHeight="1">
      <c r="A353" s="8"/>
      <c r="B353" s="30" t="s">
        <v>910</v>
      </c>
      <c r="C353" s="31" t="s">
        <v>82</v>
      </c>
      <c r="D353" s="31">
        <v>13.0</v>
      </c>
      <c r="E353" s="30"/>
      <c r="F353" s="30"/>
      <c r="G353" s="32" t="s">
        <v>61</v>
      </c>
      <c r="H353" s="32" t="s">
        <v>67</v>
      </c>
      <c r="I353" s="31" t="s">
        <v>943</v>
      </c>
      <c r="J353" s="31" t="str">
        <f>IFERROR(__xludf.DUMMYFUNCTION("IF(ISBLANK(I353), """", GOOGLETRANSLATE(I353, ""es"", ""en""))"),"Geometry status (YES/NO)")</f>
        <v>Geometry status (YES/NO)</v>
      </c>
    </row>
    <row r="354" ht="15.75" customHeight="1">
      <c r="A354" s="8"/>
      <c r="B354" s="30" t="s">
        <v>911</v>
      </c>
      <c r="C354" s="31" t="s">
        <v>60</v>
      </c>
      <c r="D354" s="31">
        <v>4.0</v>
      </c>
      <c r="E354" s="30">
        <v>10.0</v>
      </c>
      <c r="F354" s="30">
        <v>0.0</v>
      </c>
      <c r="G354" s="32" t="s">
        <v>100</v>
      </c>
      <c r="H354" s="32">
        <v>100.0</v>
      </c>
      <c r="I354" s="31" t="s">
        <v>944</v>
      </c>
      <c r="J354" s="31" t="str">
        <f>IFERROR(__xludf.DUMMYFUNCTION("IF(ISBLANK(I354), """", GOOGLETRANSLATE(I354, ""es"", ""en""))"),"Percentage (To be reviewed)")</f>
        <v>Percentage (To be reviewed)</v>
      </c>
    </row>
    <row r="355" ht="15.75" customHeight="1">
      <c r="A355" s="8"/>
      <c r="B355" s="30" t="s">
        <v>54</v>
      </c>
      <c r="C355" s="31" t="s">
        <v>82</v>
      </c>
      <c r="D355" s="31">
        <v>32.0</v>
      </c>
      <c r="E355" s="30"/>
      <c r="F355" s="30"/>
      <c r="G355" s="32" t="s">
        <v>61</v>
      </c>
      <c r="H355" s="32" t="s">
        <v>68</v>
      </c>
      <c r="I355" s="31" t="s">
        <v>945</v>
      </c>
      <c r="J355" s="31" t="str">
        <f>IFERROR(__xludf.DUMMYFUNCTION("IF(ISBLANK(I355), """", GOOGLETRANSLATE(I355, ""es"", ""en""))"),"Registration Status")</f>
        <v>Registration Status</v>
      </c>
    </row>
    <row r="356" ht="15.75" customHeight="1">
      <c r="A356" s="8"/>
      <c r="B356" s="30" t="s">
        <v>55</v>
      </c>
      <c r="C356" s="31" t="s">
        <v>60</v>
      </c>
      <c r="D356" s="31">
        <v>4.0</v>
      </c>
      <c r="E356" s="30">
        <v>10.0</v>
      </c>
      <c r="F356" s="30">
        <v>0.0</v>
      </c>
      <c r="G356" s="32" t="s">
        <v>100</v>
      </c>
      <c r="H356" s="32">
        <v>0.0</v>
      </c>
      <c r="I356" s="31"/>
      <c r="J356" s="31" t="str">
        <f>IFERROR(__xludf.DUMMYFUNCTION("IF(ISBLANK(I356), """", GOOGLETRANSLATE(I356, ""es"", ""en""))"),"")</f>
        <v/>
      </c>
    </row>
    <row r="357" ht="15.75" customHeight="1">
      <c r="A357" s="8"/>
      <c r="B357" s="30" t="s">
        <v>56</v>
      </c>
      <c r="C357" s="31" t="s">
        <v>60</v>
      </c>
      <c r="D357" s="31">
        <v>4.0</v>
      </c>
      <c r="E357" s="30">
        <v>10.0</v>
      </c>
      <c r="F357" s="30">
        <v>0.0</v>
      </c>
      <c r="G357" s="32" t="s">
        <v>61</v>
      </c>
      <c r="H357" s="32">
        <v>1.0</v>
      </c>
      <c r="I357" s="31" t="s">
        <v>101</v>
      </c>
      <c r="J357" s="31" t="str">
        <f>IFERROR(__xludf.DUMMYFUNCTION("IF(ISBLANK(I357), """", GOOGLETRANSLATE(I357, ""es"", ""en""))"),"User who inserted the record, Fields used by the institution for internal use")</f>
        <v>User who inserted the record, Fields used by the institution for internal use</v>
      </c>
    </row>
    <row r="358" ht="15.75" customHeight="1">
      <c r="A358" s="8"/>
      <c r="B358" s="30" t="s">
        <v>57</v>
      </c>
      <c r="C358" s="31" t="s">
        <v>102</v>
      </c>
      <c r="D358" s="31">
        <v>4.0</v>
      </c>
      <c r="E358" s="30"/>
      <c r="F358" s="30"/>
      <c r="G358" s="32" t="s">
        <v>61</v>
      </c>
      <c r="H358" s="44">
        <v>42280.0</v>
      </c>
      <c r="I358" s="31" t="s">
        <v>103</v>
      </c>
      <c r="J358" s="31" t="str">
        <f>IFERROR(__xludf.DUMMYFUNCTION("IF(ISBLANK(I358), """", GOOGLETRANSLATE(I358, ""es"", ""en""))"),"Insertion date, Fields used by the institution for internal use")</f>
        <v>Insertion date, Fields used by the institution for internal use</v>
      </c>
    </row>
    <row r="359" ht="15.75" customHeight="1">
      <c r="A359" s="8"/>
      <c r="B359" s="30" t="s">
        <v>58</v>
      </c>
      <c r="C359" s="31" t="s">
        <v>60</v>
      </c>
      <c r="D359" s="31">
        <v>4.0</v>
      </c>
      <c r="E359" s="30">
        <v>10.0</v>
      </c>
      <c r="F359" s="30">
        <v>0.0</v>
      </c>
      <c r="G359" s="32" t="s">
        <v>100</v>
      </c>
      <c r="H359" s="32">
        <v>1.0</v>
      </c>
      <c r="I359" s="31" t="s">
        <v>104</v>
      </c>
      <c r="J359" s="31" t="str">
        <f>IFERROR(__xludf.DUMMYFUNCTION("IF(ISBLANK(I359), """", GOOGLETRANSLATE(I359, ""es"", ""en""))"),"Update User Callsign")</f>
        <v>Update User Callsign</v>
      </c>
    </row>
    <row r="360" ht="15.75" customHeight="1">
      <c r="A360" s="8"/>
      <c r="B360" s="30" t="s">
        <v>59</v>
      </c>
      <c r="C360" s="31" t="s">
        <v>102</v>
      </c>
      <c r="D360" s="31">
        <v>4.0</v>
      </c>
      <c r="E360" s="30"/>
      <c r="F360" s="30"/>
      <c r="G360" s="32" t="s">
        <v>100</v>
      </c>
      <c r="H360" s="44">
        <v>42286.46319444444</v>
      </c>
      <c r="I360" s="31" t="s">
        <v>105</v>
      </c>
      <c r="J360" s="31" t="str">
        <f>IFERROR(__xludf.DUMMYFUNCTION("IF(ISBLANK(I360), """", GOOGLETRANSLATE(I360, ""es"", ""en""))"),"Update date")</f>
        <v>Update date</v>
      </c>
    </row>
    <row r="361" ht="15.75" customHeight="1">
      <c r="C361" s="4"/>
      <c r="D361" s="4"/>
      <c r="H361" s="3"/>
      <c r="I361" s="4"/>
    </row>
    <row r="362" ht="15.75" customHeight="1">
      <c r="C362" s="4"/>
      <c r="D362" s="4"/>
      <c r="H362" s="3"/>
      <c r="I362" s="4"/>
    </row>
    <row r="363" ht="15.75" customHeight="1">
      <c r="C363" s="4"/>
      <c r="D363" s="4"/>
      <c r="H363" s="3"/>
      <c r="I363" s="4"/>
    </row>
    <row r="364" ht="15.75" customHeight="1">
      <c r="C364" s="4"/>
      <c r="D364" s="4"/>
      <c r="H364" s="3"/>
      <c r="I364" s="4"/>
    </row>
    <row r="365" ht="15.75" customHeight="1">
      <c r="C365" s="4"/>
      <c r="D365" s="4"/>
      <c r="H365" s="3"/>
      <c r="I365" s="4"/>
    </row>
    <row r="366" ht="15.75" customHeight="1">
      <c r="C366" s="4"/>
      <c r="D366" s="4"/>
      <c r="H366" s="3"/>
      <c r="I366" s="4"/>
    </row>
    <row r="367" ht="15.75" customHeight="1">
      <c r="C367" s="4"/>
      <c r="D367" s="4"/>
      <c r="H367" s="3"/>
      <c r="I367" s="4"/>
    </row>
    <row r="368" ht="15.75" customHeight="1">
      <c r="C368" s="4"/>
      <c r="D368" s="4"/>
      <c r="H368" s="3"/>
      <c r="I368" s="4"/>
    </row>
    <row r="369" ht="15.75" customHeight="1">
      <c r="C369" s="4"/>
      <c r="D369" s="4"/>
      <c r="H369" s="3"/>
      <c r="I369" s="4"/>
    </row>
    <row r="370" ht="15.75" customHeight="1">
      <c r="C370" s="4"/>
      <c r="D370" s="4"/>
      <c r="H370" s="3"/>
      <c r="I370" s="4"/>
    </row>
    <row r="371" ht="15.75" customHeight="1">
      <c r="C371" s="4"/>
      <c r="D371" s="4"/>
      <c r="H371" s="3"/>
      <c r="I371" s="4"/>
    </row>
    <row r="372" ht="15.75" customHeight="1">
      <c r="C372" s="4"/>
      <c r="D372" s="4"/>
      <c r="H372" s="3"/>
      <c r="I372" s="4"/>
    </row>
    <row r="373" ht="15.75" customHeight="1">
      <c r="C373" s="4"/>
      <c r="D373" s="4"/>
      <c r="H373" s="3"/>
      <c r="I373" s="4"/>
    </row>
    <row r="374" ht="15.75" customHeight="1">
      <c r="C374" s="4"/>
      <c r="D374" s="4"/>
      <c r="H374" s="3"/>
      <c r="I374" s="4"/>
    </row>
    <row r="375" ht="15.75" customHeight="1">
      <c r="C375" s="4"/>
      <c r="D375" s="4"/>
      <c r="H375" s="3"/>
      <c r="I375" s="4"/>
    </row>
    <row r="376" ht="15.75" customHeight="1">
      <c r="C376" s="4"/>
      <c r="D376" s="4"/>
      <c r="H376" s="3"/>
      <c r="I376" s="4"/>
    </row>
    <row r="377" ht="15.75" customHeight="1">
      <c r="C377" s="4"/>
      <c r="D377" s="4"/>
      <c r="H377" s="3"/>
      <c r="I377" s="4"/>
    </row>
    <row r="378" ht="15.75" customHeight="1">
      <c r="C378" s="4"/>
      <c r="D378" s="4"/>
      <c r="H378" s="3"/>
      <c r="I378" s="4"/>
    </row>
    <row r="379" ht="15.75" customHeight="1">
      <c r="C379" s="4"/>
      <c r="D379" s="4"/>
      <c r="H379" s="3"/>
      <c r="I379" s="4"/>
    </row>
    <row r="380" ht="15.75" customHeight="1">
      <c r="C380" s="4"/>
      <c r="D380" s="4"/>
      <c r="H380" s="3"/>
      <c r="I380" s="4"/>
    </row>
    <row r="381" ht="15.75" customHeight="1">
      <c r="C381" s="4"/>
      <c r="D381" s="4"/>
      <c r="H381" s="3"/>
      <c r="I381" s="4"/>
    </row>
    <row r="382" ht="15.75" customHeight="1">
      <c r="C382" s="4"/>
      <c r="D382" s="4"/>
      <c r="H382" s="3"/>
      <c r="I382" s="4"/>
    </row>
    <row r="383" ht="15.75" customHeight="1">
      <c r="C383" s="4"/>
      <c r="D383" s="4"/>
      <c r="H383" s="3"/>
      <c r="I383" s="4"/>
    </row>
    <row r="384" ht="15.75" customHeight="1">
      <c r="C384" s="4"/>
      <c r="D384" s="4"/>
      <c r="H384" s="3"/>
      <c r="I384" s="4"/>
    </row>
    <row r="385" ht="15.75" customHeight="1">
      <c r="C385" s="4"/>
      <c r="D385" s="4"/>
      <c r="H385" s="3"/>
      <c r="I385" s="4"/>
    </row>
    <row r="386" ht="15.75" customHeight="1">
      <c r="C386" s="4"/>
      <c r="D386" s="4"/>
      <c r="H386" s="3"/>
      <c r="I386" s="4"/>
    </row>
    <row r="387" ht="15.75" customHeight="1">
      <c r="C387" s="4"/>
      <c r="D387" s="4"/>
      <c r="H387" s="3"/>
      <c r="I387" s="4"/>
    </row>
    <row r="388" ht="15.75" customHeight="1">
      <c r="C388" s="4"/>
      <c r="D388" s="4"/>
      <c r="H388" s="3"/>
      <c r="I388" s="4"/>
    </row>
    <row r="389" ht="15.75" customHeight="1">
      <c r="C389" s="4"/>
      <c r="D389" s="4"/>
      <c r="H389" s="3"/>
      <c r="I389" s="4"/>
    </row>
    <row r="390" ht="15.75" customHeight="1">
      <c r="C390" s="4"/>
      <c r="D390" s="4"/>
      <c r="H390" s="3"/>
      <c r="I390" s="4"/>
    </row>
    <row r="391" ht="15.75" customHeight="1">
      <c r="C391" s="4"/>
      <c r="D391" s="4"/>
      <c r="H391" s="3"/>
      <c r="I391" s="4"/>
    </row>
    <row r="392" ht="15.75" customHeight="1">
      <c r="C392" s="4"/>
      <c r="D392" s="4"/>
      <c r="H392" s="3"/>
      <c r="I392" s="4"/>
    </row>
    <row r="393" ht="15.75" customHeight="1">
      <c r="C393" s="4"/>
      <c r="D393" s="4"/>
      <c r="H393" s="3"/>
      <c r="I393" s="4"/>
    </row>
    <row r="394" ht="15.75" customHeight="1">
      <c r="C394" s="4"/>
      <c r="D394" s="4"/>
      <c r="H394" s="3"/>
      <c r="I394" s="4"/>
    </row>
    <row r="395" ht="15.75" customHeight="1">
      <c r="C395" s="4"/>
      <c r="D395" s="4"/>
      <c r="H395" s="3"/>
      <c r="I395" s="4"/>
    </row>
    <row r="396" ht="15.75" customHeight="1">
      <c r="C396" s="4"/>
      <c r="D396" s="4"/>
      <c r="H396" s="3"/>
      <c r="I396" s="4"/>
    </row>
    <row r="397" ht="15.75" customHeight="1">
      <c r="C397" s="4"/>
      <c r="D397" s="4"/>
      <c r="H397" s="3"/>
      <c r="I397" s="4"/>
    </row>
    <row r="398" ht="15.75" customHeight="1">
      <c r="C398" s="4"/>
      <c r="D398" s="4"/>
      <c r="H398" s="3"/>
      <c r="I398" s="4"/>
    </row>
    <row r="399" ht="15.75" customHeight="1">
      <c r="C399" s="4"/>
      <c r="D399" s="4"/>
      <c r="H399" s="3"/>
      <c r="I399" s="4"/>
    </row>
    <row r="400" ht="15.75" customHeight="1">
      <c r="C400" s="4"/>
      <c r="D400" s="4"/>
      <c r="H400" s="3"/>
      <c r="I400" s="4"/>
    </row>
    <row r="401" ht="15.75" customHeight="1">
      <c r="C401" s="4"/>
      <c r="D401" s="4"/>
      <c r="H401" s="3"/>
      <c r="I401" s="4"/>
    </row>
    <row r="402" ht="15.75" customHeight="1">
      <c r="C402" s="4"/>
      <c r="D402" s="4"/>
      <c r="H402" s="3"/>
      <c r="I402" s="4"/>
    </row>
    <row r="403" ht="15.75" customHeight="1">
      <c r="C403" s="4"/>
      <c r="D403" s="4"/>
      <c r="H403" s="3"/>
      <c r="I403" s="4"/>
    </row>
    <row r="404" ht="15.75" customHeight="1">
      <c r="C404" s="4"/>
      <c r="D404" s="4"/>
      <c r="H404" s="3"/>
      <c r="I404" s="4"/>
    </row>
    <row r="405" ht="15.75" customHeight="1">
      <c r="C405" s="4"/>
      <c r="D405" s="4"/>
      <c r="H405" s="3"/>
      <c r="I405" s="4"/>
    </row>
    <row r="406" ht="15.75" customHeight="1">
      <c r="C406" s="4"/>
      <c r="D406" s="4"/>
      <c r="H406" s="3"/>
      <c r="I406" s="4"/>
    </row>
    <row r="407" ht="15.75" customHeight="1">
      <c r="C407" s="4"/>
      <c r="D407" s="4"/>
      <c r="H407" s="3"/>
      <c r="I407" s="4"/>
    </row>
    <row r="408" ht="15.75" customHeight="1">
      <c r="C408" s="4"/>
      <c r="D408" s="4"/>
      <c r="H408" s="3"/>
      <c r="I408" s="4"/>
    </row>
    <row r="409" ht="15.75" customHeight="1">
      <c r="C409" s="4"/>
      <c r="D409" s="4"/>
      <c r="H409" s="3"/>
      <c r="I409" s="4"/>
    </row>
    <row r="410" ht="15.75" customHeight="1">
      <c r="C410" s="4"/>
      <c r="D410" s="4"/>
      <c r="H410" s="3"/>
      <c r="I410" s="4"/>
    </row>
    <row r="411" ht="15.75" customHeight="1">
      <c r="C411" s="4"/>
      <c r="D411" s="4"/>
      <c r="H411" s="3"/>
      <c r="I411" s="4"/>
    </row>
    <row r="412" ht="15.75" customHeight="1">
      <c r="C412" s="4"/>
      <c r="D412" s="4"/>
      <c r="H412" s="3"/>
      <c r="I412" s="4"/>
    </row>
    <row r="413" ht="15.75" customHeight="1">
      <c r="C413" s="4"/>
      <c r="D413" s="4"/>
      <c r="H413" s="3"/>
      <c r="I413" s="4"/>
    </row>
    <row r="414" ht="15.75" customHeight="1">
      <c r="C414" s="4"/>
      <c r="D414" s="4"/>
      <c r="H414" s="3"/>
      <c r="I414" s="4"/>
    </row>
    <row r="415" ht="15.75" customHeight="1">
      <c r="C415" s="4"/>
      <c r="D415" s="4"/>
      <c r="H415" s="3"/>
      <c r="I415" s="4"/>
    </row>
    <row r="416" ht="15.75" customHeight="1">
      <c r="C416" s="4"/>
      <c r="D416" s="4"/>
      <c r="H416" s="3"/>
      <c r="I416" s="4"/>
    </row>
    <row r="417" ht="15.75" customHeight="1">
      <c r="C417" s="4"/>
      <c r="D417" s="4"/>
      <c r="H417" s="3"/>
      <c r="I417" s="4"/>
    </row>
    <row r="418" ht="15.75" customHeight="1">
      <c r="C418" s="4"/>
      <c r="D418" s="4"/>
      <c r="H418" s="3"/>
      <c r="I418" s="4"/>
    </row>
    <row r="419" ht="15.75" customHeight="1">
      <c r="C419" s="4"/>
      <c r="D419" s="4"/>
      <c r="H419" s="3"/>
      <c r="I419" s="4"/>
    </row>
    <row r="420" ht="15.75" customHeight="1">
      <c r="C420" s="4"/>
      <c r="D420" s="4"/>
      <c r="H420" s="3"/>
      <c r="I420" s="4"/>
    </row>
    <row r="421" ht="15.75" customHeight="1">
      <c r="C421" s="4"/>
      <c r="D421" s="4"/>
      <c r="H421" s="3"/>
      <c r="I421" s="4"/>
    </row>
    <row r="422" ht="15.75" customHeight="1">
      <c r="C422" s="4"/>
      <c r="D422" s="4"/>
      <c r="H422" s="3"/>
      <c r="I422" s="4"/>
    </row>
    <row r="423" ht="15.75" customHeight="1">
      <c r="C423" s="4"/>
      <c r="D423" s="4"/>
      <c r="H423" s="3"/>
      <c r="I423" s="4"/>
    </row>
    <row r="424" ht="15.75" customHeight="1">
      <c r="C424" s="4"/>
      <c r="D424" s="4"/>
      <c r="H424" s="3"/>
      <c r="I424" s="4"/>
    </row>
    <row r="425" ht="15.75" customHeight="1">
      <c r="C425" s="4"/>
      <c r="D425" s="4"/>
      <c r="H425" s="3"/>
      <c r="I425" s="4"/>
    </row>
    <row r="426" ht="15.75" customHeight="1">
      <c r="C426" s="4"/>
      <c r="D426" s="4"/>
      <c r="H426" s="3"/>
      <c r="I426" s="4"/>
    </row>
    <row r="427" ht="15.75" customHeight="1">
      <c r="C427" s="4"/>
      <c r="D427" s="4"/>
      <c r="H427" s="3"/>
      <c r="I427" s="4"/>
    </row>
    <row r="428" ht="15.75" customHeight="1">
      <c r="C428" s="4"/>
      <c r="D428" s="4"/>
      <c r="H428" s="3"/>
      <c r="I428" s="4"/>
    </row>
    <row r="429" ht="15.75" customHeight="1">
      <c r="C429" s="4"/>
      <c r="D429" s="4"/>
      <c r="H429" s="3"/>
      <c r="I429" s="4"/>
    </row>
    <row r="430" ht="15.75" customHeight="1">
      <c r="C430" s="4"/>
      <c r="D430" s="4"/>
      <c r="H430" s="3"/>
      <c r="I430" s="4"/>
    </row>
    <row r="431" ht="15.75" customHeight="1">
      <c r="C431" s="4"/>
      <c r="D431" s="4"/>
      <c r="H431" s="3"/>
      <c r="I431" s="4"/>
    </row>
    <row r="432" ht="15.75" customHeight="1">
      <c r="C432" s="4"/>
      <c r="D432" s="4"/>
      <c r="H432" s="3"/>
      <c r="I432" s="4"/>
    </row>
    <row r="433" ht="15.75" customHeight="1">
      <c r="C433" s="4"/>
      <c r="D433" s="4"/>
      <c r="H433" s="3"/>
      <c r="I433" s="4"/>
    </row>
    <row r="434" ht="15.75" customHeight="1">
      <c r="C434" s="4"/>
      <c r="D434" s="4"/>
      <c r="H434" s="3"/>
      <c r="I434" s="4"/>
    </row>
    <row r="435" ht="15.75" customHeight="1">
      <c r="C435" s="4"/>
      <c r="D435" s="4"/>
      <c r="H435" s="3"/>
      <c r="I435" s="4"/>
    </row>
    <row r="436" ht="15.75" customHeight="1">
      <c r="C436" s="4"/>
      <c r="D436" s="4"/>
      <c r="H436" s="3"/>
      <c r="I436" s="4"/>
    </row>
    <row r="437" ht="15.75" customHeight="1">
      <c r="C437" s="4"/>
      <c r="D437" s="4"/>
      <c r="H437" s="3"/>
      <c r="I437" s="4"/>
    </row>
    <row r="438" ht="15.75" customHeight="1">
      <c r="C438" s="4"/>
      <c r="D438" s="4"/>
      <c r="H438" s="3"/>
      <c r="I438" s="4"/>
    </row>
    <row r="439" ht="15.75" customHeight="1">
      <c r="C439" s="4"/>
      <c r="D439" s="4"/>
      <c r="H439" s="3"/>
      <c r="I439" s="4"/>
    </row>
    <row r="440" ht="15.75" customHeight="1">
      <c r="C440" s="4"/>
      <c r="D440" s="4"/>
      <c r="H440" s="3"/>
      <c r="I440" s="4"/>
    </row>
    <row r="441" ht="15.75" customHeight="1">
      <c r="C441" s="4"/>
      <c r="D441" s="4"/>
      <c r="H441" s="3"/>
      <c r="I441" s="4"/>
    </row>
    <row r="442" ht="15.75" customHeight="1">
      <c r="C442" s="4"/>
      <c r="D442" s="4"/>
      <c r="H442" s="3"/>
      <c r="I442" s="4"/>
    </row>
    <row r="443" ht="15.75" customHeight="1">
      <c r="C443" s="4"/>
      <c r="D443" s="4"/>
      <c r="H443" s="3"/>
      <c r="I443" s="4"/>
    </row>
    <row r="444" ht="15.75" customHeight="1">
      <c r="C444" s="4"/>
      <c r="D444" s="4"/>
      <c r="H444" s="3"/>
      <c r="I444" s="4"/>
    </row>
    <row r="445" ht="15.75" customHeight="1">
      <c r="C445" s="4"/>
      <c r="D445" s="4"/>
      <c r="H445" s="3"/>
      <c r="I445" s="4"/>
    </row>
    <row r="446" ht="15.75" customHeight="1">
      <c r="C446" s="4"/>
      <c r="D446" s="4"/>
      <c r="H446" s="3"/>
      <c r="I446" s="4"/>
    </row>
    <row r="447" ht="15.75" customHeight="1">
      <c r="C447" s="4"/>
      <c r="D447" s="4"/>
      <c r="H447" s="3"/>
      <c r="I447" s="4"/>
    </row>
    <row r="448" ht="15.75" customHeight="1">
      <c r="C448" s="4"/>
      <c r="D448" s="4"/>
      <c r="H448" s="3"/>
      <c r="I448" s="4"/>
    </row>
    <row r="449" ht="15.75" customHeight="1">
      <c r="C449" s="4"/>
      <c r="D449" s="4"/>
      <c r="H449" s="3"/>
      <c r="I449" s="4"/>
    </row>
    <row r="450" ht="15.75" customHeight="1">
      <c r="C450" s="4"/>
      <c r="D450" s="4"/>
      <c r="H450" s="3"/>
      <c r="I450" s="4"/>
    </row>
    <row r="451" ht="15.75" customHeight="1">
      <c r="C451" s="4"/>
      <c r="D451" s="4"/>
      <c r="H451" s="3"/>
      <c r="I451" s="4"/>
    </row>
    <row r="452" ht="15.75" customHeight="1">
      <c r="C452" s="4"/>
      <c r="D452" s="4"/>
      <c r="H452" s="3"/>
      <c r="I452" s="4"/>
    </row>
    <row r="453" ht="15.75" customHeight="1">
      <c r="C453" s="4"/>
      <c r="D453" s="4"/>
      <c r="H453" s="3"/>
      <c r="I453" s="4"/>
    </row>
    <row r="454" ht="15.75" customHeight="1">
      <c r="C454" s="4"/>
      <c r="D454" s="4"/>
      <c r="H454" s="3"/>
      <c r="I454" s="4"/>
    </row>
    <row r="455" ht="15.75" customHeight="1">
      <c r="C455" s="4"/>
      <c r="D455" s="4"/>
      <c r="H455" s="3"/>
      <c r="I455" s="4"/>
    </row>
    <row r="456" ht="15.75" customHeight="1">
      <c r="C456" s="4"/>
      <c r="D456" s="4"/>
      <c r="H456" s="3"/>
      <c r="I456" s="4"/>
    </row>
    <row r="457" ht="15.75" customHeight="1">
      <c r="C457" s="4"/>
      <c r="D457" s="4"/>
      <c r="H457" s="3"/>
      <c r="I457" s="4"/>
    </row>
    <row r="458" ht="15.75" customHeight="1">
      <c r="C458" s="4"/>
      <c r="D458" s="4"/>
      <c r="H458" s="3"/>
      <c r="I458" s="4"/>
    </row>
    <row r="459" ht="15.75" customHeight="1">
      <c r="C459" s="4"/>
      <c r="D459" s="4"/>
      <c r="H459" s="3"/>
      <c r="I459" s="4"/>
    </row>
    <row r="460" ht="15.75" customHeight="1">
      <c r="C460" s="4"/>
      <c r="D460" s="4"/>
      <c r="H460" s="3"/>
      <c r="I460" s="4"/>
    </row>
    <row r="461" ht="15.75" customHeight="1">
      <c r="C461" s="4"/>
      <c r="D461" s="4"/>
      <c r="H461" s="3"/>
      <c r="I461" s="4"/>
    </row>
    <row r="462" ht="15.75" customHeight="1">
      <c r="C462" s="4"/>
      <c r="D462" s="4"/>
      <c r="H462" s="3"/>
      <c r="I462" s="4"/>
    </row>
    <row r="463" ht="15.75" customHeight="1">
      <c r="C463" s="4"/>
      <c r="D463" s="4"/>
      <c r="H463" s="3"/>
      <c r="I463" s="4"/>
    </row>
    <row r="464" ht="15.75" customHeight="1">
      <c r="C464" s="4"/>
      <c r="D464" s="4"/>
      <c r="H464" s="3"/>
      <c r="I464" s="4"/>
    </row>
    <row r="465" ht="15.75" customHeight="1">
      <c r="C465" s="4"/>
      <c r="D465" s="4"/>
      <c r="H465" s="3"/>
      <c r="I465" s="4"/>
    </row>
    <row r="466" ht="15.75" customHeight="1">
      <c r="C466" s="4"/>
      <c r="D466" s="4"/>
      <c r="H466" s="3"/>
      <c r="I466" s="4"/>
    </row>
    <row r="467" ht="15.75" customHeight="1">
      <c r="C467" s="4"/>
      <c r="D467" s="4"/>
      <c r="H467" s="3"/>
      <c r="I467" s="4"/>
    </row>
    <row r="468" ht="15.75" customHeight="1">
      <c r="C468" s="4"/>
      <c r="D468" s="4"/>
      <c r="H468" s="3"/>
      <c r="I468" s="4"/>
    </row>
    <row r="469" ht="15.75" customHeight="1">
      <c r="C469" s="4"/>
      <c r="D469" s="4"/>
      <c r="H469" s="3"/>
      <c r="I469" s="4"/>
    </row>
    <row r="470" ht="15.75" customHeight="1">
      <c r="C470" s="4"/>
      <c r="D470" s="4"/>
      <c r="H470" s="3"/>
      <c r="I470" s="4"/>
    </row>
    <row r="471" ht="15.75" customHeight="1">
      <c r="C471" s="4"/>
      <c r="D471" s="4"/>
      <c r="H471" s="3"/>
      <c r="I471" s="4"/>
    </row>
    <row r="472" ht="15.75" customHeight="1">
      <c r="C472" s="4"/>
      <c r="D472" s="4"/>
      <c r="H472" s="3"/>
      <c r="I472" s="4"/>
    </row>
    <row r="473" ht="15.75" customHeight="1">
      <c r="C473" s="4"/>
      <c r="D473" s="4"/>
      <c r="H473" s="3"/>
      <c r="I473" s="4"/>
    </row>
    <row r="474" ht="15.75" customHeight="1">
      <c r="C474" s="4"/>
      <c r="D474" s="4"/>
      <c r="H474" s="3"/>
      <c r="I474" s="4"/>
    </row>
    <row r="475" ht="15.75" customHeight="1">
      <c r="C475" s="4"/>
      <c r="D475" s="4"/>
      <c r="H475" s="3"/>
      <c r="I475" s="4"/>
    </row>
    <row r="476" ht="15.75" customHeight="1">
      <c r="C476" s="4"/>
      <c r="D476" s="4"/>
      <c r="H476" s="3"/>
      <c r="I476" s="4"/>
    </row>
    <row r="477" ht="15.75" customHeight="1">
      <c r="C477" s="4"/>
      <c r="D477" s="4"/>
      <c r="H477" s="3"/>
      <c r="I477" s="4"/>
    </row>
    <row r="478" ht="15.75" customHeight="1">
      <c r="C478" s="4"/>
      <c r="D478" s="4"/>
      <c r="H478" s="3"/>
      <c r="I478" s="4"/>
    </row>
    <row r="479" ht="15.75" customHeight="1">
      <c r="C479" s="4"/>
      <c r="D479" s="4"/>
      <c r="H479" s="3"/>
      <c r="I479" s="4"/>
    </row>
    <row r="480" ht="15.75" customHeight="1">
      <c r="C480" s="4"/>
      <c r="D480" s="4"/>
      <c r="H480" s="3"/>
      <c r="I480" s="4"/>
    </row>
    <row r="481" ht="15.75" customHeight="1">
      <c r="C481" s="4"/>
      <c r="D481" s="4"/>
      <c r="H481" s="3"/>
      <c r="I481" s="4"/>
    </row>
    <row r="482" ht="15.75" customHeight="1">
      <c r="C482" s="4"/>
      <c r="D482" s="4"/>
      <c r="H482" s="3"/>
      <c r="I482" s="4"/>
    </row>
    <row r="483" ht="15.75" customHeight="1">
      <c r="C483" s="4"/>
      <c r="D483" s="4"/>
      <c r="H483" s="3"/>
      <c r="I483" s="4"/>
    </row>
    <row r="484" ht="15.75" customHeight="1">
      <c r="C484" s="4"/>
      <c r="D484" s="4"/>
      <c r="H484" s="3"/>
      <c r="I484" s="4"/>
    </row>
    <row r="485" ht="15.75" customHeight="1">
      <c r="C485" s="4"/>
      <c r="D485" s="4"/>
      <c r="H485" s="3"/>
      <c r="I485" s="4"/>
    </row>
    <row r="486" ht="15.75" customHeight="1">
      <c r="C486" s="4"/>
      <c r="D486" s="4"/>
      <c r="H486" s="3"/>
      <c r="I486" s="4"/>
    </row>
    <row r="487" ht="15.75" customHeight="1">
      <c r="C487" s="4"/>
      <c r="D487" s="4"/>
      <c r="H487" s="3"/>
      <c r="I487" s="4"/>
    </row>
    <row r="488" ht="15.75" customHeight="1">
      <c r="C488" s="4"/>
      <c r="D488" s="4"/>
      <c r="H488" s="3"/>
      <c r="I488" s="4"/>
    </row>
    <row r="489" ht="15.75" customHeight="1">
      <c r="C489" s="4"/>
      <c r="D489" s="4"/>
      <c r="H489" s="3"/>
      <c r="I489" s="4"/>
    </row>
    <row r="490" ht="15.75" customHeight="1">
      <c r="C490" s="4"/>
      <c r="D490" s="4"/>
      <c r="H490" s="3"/>
      <c r="I490" s="4"/>
    </row>
    <row r="491" ht="15.75" customHeight="1">
      <c r="C491" s="4"/>
      <c r="D491" s="4"/>
      <c r="H491" s="3"/>
      <c r="I491" s="4"/>
    </row>
    <row r="492" ht="15.75" customHeight="1">
      <c r="C492" s="4"/>
      <c r="D492" s="4"/>
      <c r="H492" s="3"/>
      <c r="I492" s="4"/>
    </row>
    <row r="493" ht="15.75" customHeight="1">
      <c r="C493" s="4"/>
      <c r="D493" s="4"/>
      <c r="H493" s="3"/>
      <c r="I493" s="4"/>
    </row>
    <row r="494" ht="15.75" customHeight="1">
      <c r="C494" s="4"/>
      <c r="D494" s="4"/>
      <c r="H494" s="3"/>
      <c r="I494" s="4"/>
    </row>
    <row r="495" ht="15.75" customHeight="1">
      <c r="C495" s="4"/>
      <c r="D495" s="4"/>
      <c r="H495" s="3"/>
      <c r="I495" s="4"/>
    </row>
    <row r="496" ht="15.75" customHeight="1">
      <c r="C496" s="4"/>
      <c r="D496" s="4"/>
      <c r="H496" s="3"/>
      <c r="I496" s="4"/>
    </row>
    <row r="497" ht="15.75" customHeight="1">
      <c r="C497" s="4"/>
      <c r="D497" s="4"/>
      <c r="H497" s="3"/>
      <c r="I497" s="4"/>
    </row>
    <row r="498" ht="15.75" customHeight="1">
      <c r="C498" s="4"/>
      <c r="D498" s="4"/>
      <c r="H498" s="3"/>
      <c r="I498" s="4"/>
    </row>
    <row r="499" ht="15.75" customHeight="1">
      <c r="C499" s="4"/>
      <c r="D499" s="4"/>
      <c r="H499" s="3"/>
      <c r="I499" s="4"/>
    </row>
    <row r="500" ht="15.75" customHeight="1">
      <c r="C500" s="4"/>
      <c r="D500" s="4"/>
      <c r="H500" s="3"/>
      <c r="I500" s="4"/>
    </row>
    <row r="501" ht="15.75" customHeight="1">
      <c r="C501" s="4"/>
      <c r="D501" s="4"/>
      <c r="H501" s="3"/>
      <c r="I501" s="4"/>
    </row>
    <row r="502" ht="15.75" customHeight="1">
      <c r="C502" s="4"/>
      <c r="D502" s="4"/>
      <c r="H502" s="3"/>
      <c r="I502" s="4"/>
    </row>
    <row r="503" ht="15.75" customHeight="1">
      <c r="C503" s="4"/>
      <c r="D503" s="4"/>
      <c r="H503" s="3"/>
      <c r="I503" s="4"/>
    </row>
    <row r="504" ht="15.75" customHeight="1">
      <c r="C504" s="4"/>
      <c r="D504" s="4"/>
      <c r="H504" s="3"/>
      <c r="I504" s="4"/>
    </row>
    <row r="505" ht="15.75" customHeight="1">
      <c r="C505" s="4"/>
      <c r="D505" s="4"/>
      <c r="H505" s="3"/>
      <c r="I505" s="4"/>
    </row>
    <row r="506" ht="15.75" customHeight="1">
      <c r="C506" s="4"/>
      <c r="D506" s="4"/>
      <c r="H506" s="3"/>
      <c r="I506" s="4"/>
    </row>
    <row r="507" ht="15.75" customHeight="1">
      <c r="C507" s="4"/>
      <c r="D507" s="4"/>
      <c r="H507" s="3"/>
      <c r="I507" s="4"/>
    </row>
    <row r="508" ht="15.75" customHeight="1">
      <c r="C508" s="4"/>
      <c r="D508" s="4"/>
      <c r="H508" s="3"/>
      <c r="I508" s="4"/>
    </row>
    <row r="509" ht="15.75" customHeight="1">
      <c r="C509" s="4"/>
      <c r="D509" s="4"/>
      <c r="H509" s="3"/>
      <c r="I509" s="4"/>
    </row>
    <row r="510" ht="15.75" customHeight="1">
      <c r="C510" s="4"/>
      <c r="D510" s="4"/>
      <c r="H510" s="3"/>
      <c r="I510" s="4"/>
    </row>
    <row r="511" ht="15.75" customHeight="1">
      <c r="C511" s="4"/>
      <c r="D511" s="4"/>
      <c r="H511" s="3"/>
      <c r="I511" s="4"/>
    </row>
    <row r="512" ht="15.75" customHeight="1">
      <c r="C512" s="4"/>
      <c r="D512" s="4"/>
      <c r="H512" s="3"/>
      <c r="I512" s="4"/>
    </row>
    <row r="513" ht="15.75" customHeight="1">
      <c r="C513" s="4"/>
      <c r="D513" s="4"/>
      <c r="H513" s="3"/>
      <c r="I513" s="4"/>
    </row>
    <row r="514" ht="15.75" customHeight="1">
      <c r="C514" s="4"/>
      <c r="D514" s="4"/>
      <c r="H514" s="3"/>
      <c r="I514" s="4"/>
    </row>
    <row r="515" ht="15.75" customHeight="1">
      <c r="C515" s="4"/>
      <c r="D515" s="4"/>
      <c r="H515" s="3"/>
      <c r="I515" s="4"/>
    </row>
    <row r="516" ht="15.75" customHeight="1">
      <c r="C516" s="4"/>
      <c r="D516" s="4"/>
      <c r="H516" s="3"/>
      <c r="I516" s="4"/>
    </row>
    <row r="517" ht="15.75" customHeight="1">
      <c r="C517" s="4"/>
      <c r="D517" s="4"/>
      <c r="H517" s="3"/>
      <c r="I517" s="4"/>
    </row>
    <row r="518" ht="15.75" customHeight="1">
      <c r="C518" s="4"/>
      <c r="D518" s="4"/>
      <c r="H518" s="3"/>
      <c r="I518" s="4"/>
    </row>
    <row r="519" ht="15.75" customHeight="1">
      <c r="C519" s="4"/>
      <c r="D519" s="4"/>
      <c r="H519" s="3"/>
      <c r="I519" s="4"/>
    </row>
    <row r="520" ht="15.75" customHeight="1">
      <c r="C520" s="4"/>
      <c r="D520" s="4"/>
      <c r="H520" s="3"/>
      <c r="I520" s="4"/>
    </row>
    <row r="521" ht="15.75" customHeight="1">
      <c r="C521" s="4"/>
      <c r="D521" s="4"/>
      <c r="H521" s="3"/>
      <c r="I521" s="4"/>
    </row>
    <row r="522" ht="15.75" customHeight="1">
      <c r="C522" s="4"/>
      <c r="D522" s="4"/>
      <c r="H522" s="3"/>
      <c r="I522" s="4"/>
    </row>
    <row r="523" ht="15.75" customHeight="1">
      <c r="C523" s="4"/>
      <c r="D523" s="4"/>
      <c r="H523" s="3"/>
      <c r="I523" s="4"/>
    </row>
    <row r="524" ht="15.75" customHeight="1">
      <c r="C524" s="4"/>
      <c r="D524" s="4"/>
      <c r="H524" s="3"/>
      <c r="I524" s="4"/>
    </row>
    <row r="525" ht="15.75" customHeight="1">
      <c r="C525" s="4"/>
      <c r="D525" s="4"/>
      <c r="H525" s="3"/>
      <c r="I525" s="4"/>
    </row>
    <row r="526" ht="15.75" customHeight="1">
      <c r="C526" s="4"/>
      <c r="D526" s="4"/>
      <c r="H526" s="3"/>
      <c r="I526" s="4"/>
    </row>
    <row r="527" ht="15.75" customHeight="1">
      <c r="C527" s="4"/>
      <c r="D527" s="4"/>
      <c r="H527" s="3"/>
      <c r="I527" s="4"/>
    </row>
    <row r="528" ht="15.75" customHeight="1">
      <c r="C528" s="4"/>
      <c r="D528" s="4"/>
      <c r="H528" s="3"/>
      <c r="I528" s="4"/>
    </row>
    <row r="529" ht="15.75" customHeight="1">
      <c r="C529" s="4"/>
      <c r="D529" s="4"/>
      <c r="H529" s="3"/>
      <c r="I529" s="4"/>
    </row>
    <row r="530" ht="15.75" customHeight="1">
      <c r="C530" s="4"/>
      <c r="D530" s="4"/>
      <c r="H530" s="3"/>
      <c r="I530" s="4"/>
    </row>
    <row r="531" ht="15.75" customHeight="1">
      <c r="C531" s="4"/>
      <c r="D531" s="4"/>
      <c r="H531" s="3"/>
      <c r="I531" s="4"/>
    </row>
    <row r="532" ht="15.75" customHeight="1">
      <c r="C532" s="4"/>
      <c r="D532" s="4"/>
      <c r="H532" s="3"/>
      <c r="I532" s="4"/>
    </row>
    <row r="533" ht="15.75" customHeight="1">
      <c r="C533" s="4"/>
      <c r="D533" s="4"/>
      <c r="H533" s="3"/>
      <c r="I533" s="4"/>
    </row>
    <row r="534" ht="15.75" customHeight="1">
      <c r="C534" s="4"/>
      <c r="D534" s="4"/>
      <c r="H534" s="3"/>
      <c r="I534" s="4"/>
    </row>
    <row r="535" ht="15.75" customHeight="1">
      <c r="C535" s="4"/>
      <c r="D535" s="4"/>
      <c r="H535" s="3"/>
      <c r="I535" s="4"/>
    </row>
    <row r="536" ht="15.75" customHeight="1">
      <c r="C536" s="4"/>
      <c r="D536" s="4"/>
      <c r="H536" s="3"/>
      <c r="I536" s="4"/>
    </row>
    <row r="537" ht="15.75" customHeight="1">
      <c r="C537" s="4"/>
      <c r="D537" s="4"/>
      <c r="H537" s="3"/>
      <c r="I537" s="4"/>
    </row>
    <row r="538" ht="15.75" customHeight="1">
      <c r="C538" s="4"/>
      <c r="D538" s="4"/>
      <c r="H538" s="3"/>
      <c r="I538" s="4"/>
    </row>
    <row r="539" ht="15.75" customHeight="1">
      <c r="C539" s="4"/>
      <c r="D539" s="4"/>
      <c r="H539" s="3"/>
      <c r="I539" s="4"/>
    </row>
    <row r="540" ht="15.75" customHeight="1">
      <c r="C540" s="4"/>
      <c r="D540" s="4"/>
      <c r="H540" s="3"/>
      <c r="I540" s="4"/>
    </row>
    <row r="541" ht="15.75" customHeight="1">
      <c r="C541" s="4"/>
      <c r="D541" s="4"/>
      <c r="H541" s="3"/>
      <c r="I541" s="4"/>
    </row>
    <row r="542" ht="15.75" customHeight="1">
      <c r="C542" s="4"/>
      <c r="D542" s="4"/>
      <c r="H542" s="3"/>
      <c r="I542" s="4"/>
    </row>
    <row r="543" ht="15.75" customHeight="1">
      <c r="C543" s="4"/>
      <c r="D543" s="4"/>
      <c r="H543" s="3"/>
      <c r="I543" s="4"/>
    </row>
    <row r="544" ht="15.75" customHeight="1">
      <c r="C544" s="4"/>
      <c r="D544" s="4"/>
      <c r="H544" s="3"/>
      <c r="I544" s="4"/>
    </row>
    <row r="545" ht="15.75" customHeight="1">
      <c r="C545" s="4"/>
      <c r="D545" s="4"/>
      <c r="H545" s="3"/>
      <c r="I545" s="4"/>
    </row>
    <row r="546" ht="15.75" customHeight="1">
      <c r="C546" s="4"/>
      <c r="D546" s="4"/>
      <c r="H546" s="3"/>
      <c r="I546" s="4"/>
    </row>
    <row r="547" ht="15.75" customHeight="1">
      <c r="C547" s="4"/>
      <c r="D547" s="4"/>
      <c r="H547" s="3"/>
      <c r="I547" s="4"/>
    </row>
    <row r="548" ht="15.75" customHeight="1">
      <c r="C548" s="4"/>
      <c r="D548" s="4"/>
      <c r="H548" s="3"/>
      <c r="I548" s="4"/>
    </row>
    <row r="549" ht="15.75" customHeight="1">
      <c r="C549" s="4"/>
      <c r="D549" s="4"/>
      <c r="H549" s="3"/>
      <c r="I549" s="4"/>
    </row>
    <row r="550" ht="15.75" customHeight="1">
      <c r="C550" s="4"/>
      <c r="D550" s="4"/>
      <c r="H550" s="3"/>
      <c r="I550" s="4"/>
    </row>
    <row r="551" ht="15.75" customHeight="1">
      <c r="C551" s="4"/>
      <c r="D551" s="4"/>
      <c r="H551" s="3"/>
      <c r="I551" s="4"/>
    </row>
    <row r="552" ht="15.75" customHeight="1">
      <c r="C552" s="4"/>
      <c r="D552" s="4"/>
      <c r="H552" s="3"/>
      <c r="I552" s="4"/>
    </row>
    <row r="553" ht="15.75" customHeight="1">
      <c r="C553" s="4"/>
      <c r="D553" s="4"/>
      <c r="H553" s="3"/>
      <c r="I553" s="4"/>
    </row>
    <row r="554" ht="15.75" customHeight="1">
      <c r="C554" s="4"/>
      <c r="D554" s="4"/>
      <c r="H554" s="3"/>
      <c r="I554" s="4"/>
    </row>
    <row r="555" ht="15.75" customHeight="1">
      <c r="C555" s="4"/>
      <c r="D555" s="4"/>
      <c r="H555" s="3"/>
      <c r="I555" s="4"/>
    </row>
    <row r="556" ht="15.75" customHeight="1">
      <c r="C556" s="4"/>
      <c r="D556" s="4"/>
      <c r="H556" s="3"/>
      <c r="I556" s="4"/>
    </row>
    <row r="557" ht="15.75" customHeight="1">
      <c r="C557" s="4"/>
      <c r="D557" s="4"/>
      <c r="H557" s="3"/>
      <c r="I557" s="4"/>
    </row>
    <row r="558" ht="15.75" customHeight="1">
      <c r="C558" s="4"/>
      <c r="D558" s="4"/>
      <c r="H558" s="3"/>
      <c r="I558" s="4"/>
    </row>
    <row r="559" ht="15.75" customHeight="1">
      <c r="C559" s="4"/>
      <c r="D559" s="4"/>
      <c r="H559" s="3"/>
      <c r="I559" s="4"/>
    </row>
    <row r="560" ht="15.75" customHeight="1">
      <c r="C560" s="4"/>
      <c r="D560" s="4"/>
      <c r="H560" s="3"/>
      <c r="I560" s="4"/>
    </row>
  </sheetData>
  <mergeCells count="37">
    <mergeCell ref="A1:B1"/>
    <mergeCell ref="A3:A11"/>
    <mergeCell ref="B15:J15"/>
    <mergeCell ref="B16:G16"/>
    <mergeCell ref="H16:J16"/>
    <mergeCell ref="B40:J40"/>
    <mergeCell ref="H41:J41"/>
    <mergeCell ref="B41:G41"/>
    <mergeCell ref="B65:J65"/>
    <mergeCell ref="B66:G66"/>
    <mergeCell ref="H66:J66"/>
    <mergeCell ref="K68:K76"/>
    <mergeCell ref="K78:K89"/>
    <mergeCell ref="B107:J107"/>
    <mergeCell ref="B108:G108"/>
    <mergeCell ref="H108:J108"/>
    <mergeCell ref="K110:K119"/>
    <mergeCell ref="B138:J138"/>
    <mergeCell ref="B139:G139"/>
    <mergeCell ref="H139:J139"/>
    <mergeCell ref="K141:K151"/>
    <mergeCell ref="K153:K156"/>
    <mergeCell ref="K158:K163"/>
    <mergeCell ref="B213:J213"/>
    <mergeCell ref="B214:G214"/>
    <mergeCell ref="H214:J214"/>
    <mergeCell ref="K216:K229"/>
    <mergeCell ref="K232:K237"/>
    <mergeCell ref="K276:K291"/>
    <mergeCell ref="K337:K360"/>
    <mergeCell ref="K240:K250"/>
    <mergeCell ref="B273:J273"/>
    <mergeCell ref="B274:G274"/>
    <mergeCell ref="H274:J274"/>
    <mergeCell ref="B334:J334"/>
    <mergeCell ref="B335:G335"/>
    <mergeCell ref="H335:J335"/>
  </mergeCells>
  <hyperlinks>
    <hyperlink display="BID_BASE_CIA_END_MIP" location="'raw tables (SNIP)'!B15:J15" ref="B3"/>
    <hyperlink r:id="rId1" ref="C3"/>
    <hyperlink display=" https://docs.google.com/spreadsheets/d/1L2X8LZWSr9EseLdXPIwij-LkwwJieAxDWbdq3I1MYtM/edit?gid=287136599#gid=287136599" location="'raw tables (SNIP)'!A1" ref="D3"/>
    <hyperlink display="BID_BASE_CLA_INSTITUCIONES_SNIP_MIP" location="'raw tables (SNIP)'!B40:J40" ref="B4"/>
    <hyperlink r:id="rId2" ref="C4"/>
    <hyperlink display="BID_BASE_CRONOGRAMAS_PROYECTO_FISICO_MIP" location="'raw tables (SNIP)'!B65:J65" ref="B5"/>
    <hyperlink r:id="rId3" ref="C5"/>
    <hyperlink display="BID_BASE_FASES_MIP" location="'raw tables (SNIP)'!B107:J107" ref="B6"/>
    <hyperlink r:id="rId4" ref="C6"/>
    <hyperlink display="BID_BASE_FICHAS_PROYECTOS_MIP" location="'raw tables (SNIP)'!B138:J138" ref="B7"/>
    <hyperlink r:id="rId5" ref="C7"/>
    <hyperlink display="BID_BASE_PRESUPUESTO_MIP" location="'raw tables (SNIP)'!B213:J213" ref="B8"/>
    <hyperlink r:id="rId6" ref="C8"/>
    <hyperlink display="BID_BASE_PROEJE_FISICA_MIP" location="'raw tables (SNIP)'!B273:J273" ref="B9"/>
    <hyperlink r:id="rId7" ref="C9"/>
    <hyperlink display=" https://docs.google.com/spreadsheets/d/1L2X8LZWSr9EseLdXPIwij-LkwwJieAxDWbdq3I1MYtM/edit?gid=287136599#gid=287136605" location="null!A1" ref="D9"/>
    <hyperlink display="BID_BASE_UBICACIONES_GEOGRAFICAS_MIP" location="'raw tables (SNIP)'!B334:J334" ref="B10"/>
    <hyperlink r:id="rId8" ref="C10"/>
    <hyperlink display=" https://docs.google.com/spreadsheets/d/1L2X8LZWSr9EseLdXPIwij-LkwwJieAxDWbdq3I1MYtM/edit?gid=287136599#gid=287136606" location="null!A1" ref="D10"/>
  </hyperlinks>
  <drawing r:id="rId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sheetViews>
  <sheetFormatPr customHeight="1" defaultColWidth="12.63" defaultRowHeight="15.0"/>
  <cols>
    <col customWidth="1" min="1" max="1" width="5.75"/>
    <col customWidth="1" min="2" max="6" width="33.5"/>
    <col customWidth="1" min="7" max="7" width="39.25"/>
    <col customWidth="1" min="8" max="8" width="22.25"/>
    <col customWidth="1" min="9" max="9" width="46.25"/>
    <col customWidth="1" min="10" max="11" width="39.25"/>
  </cols>
  <sheetData>
    <row r="1" ht="15.75" customHeight="1"/>
    <row r="2" ht="15.75" customHeight="1">
      <c r="G2" s="71" t="s">
        <v>2998</v>
      </c>
      <c r="H2" s="20"/>
      <c r="I2" s="20"/>
      <c r="J2" s="20"/>
      <c r="K2" s="22"/>
      <c r="M2" s="128" t="s">
        <v>33</v>
      </c>
    </row>
    <row r="3" ht="15.75" customHeight="1">
      <c r="G3" s="113"/>
      <c r="H3" s="20"/>
      <c r="I3" s="22"/>
      <c r="J3" s="113"/>
      <c r="K3" s="22"/>
    </row>
    <row r="4" ht="15.75" customHeight="1">
      <c r="B4" s="73" t="s">
        <v>1294</v>
      </c>
      <c r="C4" s="74" t="s">
        <v>1290</v>
      </c>
      <c r="D4" s="74" t="s">
        <v>1291</v>
      </c>
      <c r="E4" s="74" t="s">
        <v>1292</v>
      </c>
      <c r="F4" s="74" t="s">
        <v>1293</v>
      </c>
      <c r="G4" s="75" t="s">
        <v>1294</v>
      </c>
      <c r="H4" s="75" t="s">
        <v>1295</v>
      </c>
      <c r="I4" s="75" t="s">
        <v>40</v>
      </c>
      <c r="J4" s="76" t="s">
        <v>1429</v>
      </c>
      <c r="K4" s="76" t="s">
        <v>1430</v>
      </c>
      <c r="M4" s="6" t="s">
        <v>2999</v>
      </c>
      <c r="N4" s="6" t="s">
        <v>3000</v>
      </c>
      <c r="O4" s="6" t="s">
        <v>3001</v>
      </c>
      <c r="P4" s="6" t="s">
        <v>3002</v>
      </c>
      <c r="Q4" s="6" t="s">
        <v>3003</v>
      </c>
      <c r="R4" s="6" t="s">
        <v>3004</v>
      </c>
      <c r="S4" s="6" t="s">
        <v>3005</v>
      </c>
      <c r="T4" s="6" t="s">
        <v>1495</v>
      </c>
      <c r="U4" s="6" t="s">
        <v>3006</v>
      </c>
      <c r="V4" s="6" t="s">
        <v>1405</v>
      </c>
      <c r="W4" s="6" t="s">
        <v>1467</v>
      </c>
      <c r="X4" s="6" t="s">
        <v>1500</v>
      </c>
      <c r="Y4" s="6" t="s">
        <v>1391</v>
      </c>
      <c r="Z4" s="6" t="s">
        <v>3007</v>
      </c>
      <c r="AA4" s="6" t="s">
        <v>1511</v>
      </c>
      <c r="AB4" s="6" t="s">
        <v>3008</v>
      </c>
      <c r="AC4" s="6" t="s">
        <v>1383</v>
      </c>
      <c r="AD4" s="6" t="s">
        <v>3009</v>
      </c>
      <c r="AE4" s="6" t="s">
        <v>3010</v>
      </c>
      <c r="AF4" s="6" t="s">
        <v>1401</v>
      </c>
    </row>
    <row r="5" ht="15.75" customHeight="1">
      <c r="B5" s="78" t="s">
        <v>3011</v>
      </c>
      <c r="C5" s="30" t="s">
        <v>3012</v>
      </c>
      <c r="D5" s="30" t="s">
        <v>1299</v>
      </c>
      <c r="E5" s="30" t="s">
        <v>1619</v>
      </c>
      <c r="F5" s="30" t="s">
        <v>1628</v>
      </c>
      <c r="G5" s="78" t="s">
        <v>3011</v>
      </c>
      <c r="H5" s="36" t="s">
        <v>2999</v>
      </c>
      <c r="I5" s="36" t="s">
        <v>3013</v>
      </c>
      <c r="J5" s="32" t="s">
        <v>3014</v>
      </c>
      <c r="K5" s="31" t="str">
        <f>IFERROR(__xludf.DUMMYFUNCTION("IF(ISBLANK(J5), """", GOOGLETRANSLATE(J5, ""es"", ""en""))"),"emergency name")</f>
        <v>emergency name</v>
      </c>
      <c r="M5" s="30" t="s">
        <v>3013</v>
      </c>
      <c r="N5" s="30" t="s">
        <v>3015</v>
      </c>
      <c r="O5" s="30" t="s">
        <v>141</v>
      </c>
      <c r="P5" s="30" t="s">
        <v>141</v>
      </c>
      <c r="Q5" s="30" t="s">
        <v>3016</v>
      </c>
      <c r="R5" s="30" t="s">
        <v>3017</v>
      </c>
      <c r="S5" s="30" t="s">
        <v>3018</v>
      </c>
      <c r="T5" s="30" t="s">
        <v>3019</v>
      </c>
      <c r="U5" s="30" t="s">
        <v>973</v>
      </c>
      <c r="V5" s="30">
        <v>2022.0</v>
      </c>
      <c r="W5" s="30" t="s">
        <v>3020</v>
      </c>
      <c r="X5" s="30" t="s">
        <v>1033</v>
      </c>
      <c r="Y5" s="30" t="s">
        <v>3021</v>
      </c>
      <c r="Z5" s="30" t="s">
        <v>3022</v>
      </c>
      <c r="AA5" s="30" t="s">
        <v>3023</v>
      </c>
      <c r="AB5" s="30" t="s">
        <v>1112</v>
      </c>
      <c r="AC5" s="30" t="s">
        <v>3024</v>
      </c>
      <c r="AD5" s="30" t="s">
        <v>1112</v>
      </c>
      <c r="AE5" s="30" t="s">
        <v>3025</v>
      </c>
      <c r="AF5" s="30">
        <v>3.5952928E8</v>
      </c>
    </row>
    <row r="6" ht="15.75" customHeight="1">
      <c r="B6" s="78" t="s">
        <v>3011</v>
      </c>
      <c r="C6" s="30" t="s">
        <v>3026</v>
      </c>
      <c r="D6" s="30" t="s">
        <v>1299</v>
      </c>
      <c r="E6" s="30" t="s">
        <v>977</v>
      </c>
      <c r="F6" s="30" t="s">
        <v>1662</v>
      </c>
      <c r="G6" s="78" t="s">
        <v>3011</v>
      </c>
      <c r="H6" s="36" t="s">
        <v>3000</v>
      </c>
      <c r="I6" s="36" t="s">
        <v>3015</v>
      </c>
      <c r="J6" s="32" t="s">
        <v>3027</v>
      </c>
      <c r="K6" s="31" t="str">
        <f>IFERROR(__xludf.DUMMYFUNCTION("IF(ISBLANK(J6), """", GOOGLETRANSLATE(J6, ""es"", ""en""))"),"chapter name (Institution)")</f>
        <v>chapter name (Institution)</v>
      </c>
      <c r="M6" s="30" t="s">
        <v>3013</v>
      </c>
      <c r="N6" s="30" t="s">
        <v>3015</v>
      </c>
      <c r="O6" s="30" t="s">
        <v>141</v>
      </c>
      <c r="P6" s="30" t="s">
        <v>3028</v>
      </c>
      <c r="Q6" s="30" t="s">
        <v>3029</v>
      </c>
      <c r="R6" s="30" t="s">
        <v>3030</v>
      </c>
      <c r="S6" s="30" t="s">
        <v>3029</v>
      </c>
      <c r="T6" s="30" t="s">
        <v>3031</v>
      </c>
      <c r="U6" s="30" t="s">
        <v>973</v>
      </c>
      <c r="V6" s="30">
        <v>2022.0</v>
      </c>
      <c r="W6" s="30" t="s">
        <v>3032</v>
      </c>
      <c r="X6" s="30" t="s">
        <v>1033</v>
      </c>
      <c r="Y6" s="30" t="s">
        <v>3021</v>
      </c>
      <c r="Z6" s="30" t="s">
        <v>3022</v>
      </c>
      <c r="AA6" s="30" t="s">
        <v>3023</v>
      </c>
      <c r="AB6" s="30" t="s">
        <v>1112</v>
      </c>
      <c r="AC6" s="30" t="s">
        <v>3024</v>
      </c>
      <c r="AD6" s="30" t="s">
        <v>1112</v>
      </c>
      <c r="AE6" s="30" t="s">
        <v>3033</v>
      </c>
      <c r="AF6" s="30">
        <v>6.5598964E7</v>
      </c>
    </row>
    <row r="7" ht="15.75" customHeight="1">
      <c r="B7" s="78" t="s">
        <v>3011</v>
      </c>
      <c r="C7" s="30" t="s">
        <v>3026</v>
      </c>
      <c r="D7" s="30" t="s">
        <v>1299</v>
      </c>
      <c r="E7" s="30" t="s">
        <v>3034</v>
      </c>
      <c r="F7" s="30" t="s">
        <v>1662</v>
      </c>
      <c r="G7" s="78" t="s">
        <v>3011</v>
      </c>
      <c r="H7" s="36" t="s">
        <v>3001</v>
      </c>
      <c r="I7" s="36" t="s">
        <v>141</v>
      </c>
      <c r="J7" s="32" t="s">
        <v>3035</v>
      </c>
      <c r="K7" s="31" t="str">
        <f>IFERROR(__xludf.DUMMYFUNCTION("IF(ISBLANK(J7), """", GOOGLETRANSLATE(J7, ""es"", ""en""))"),"subchapter name (Institution)")</f>
        <v>subchapter name (Institution)</v>
      </c>
      <c r="M7" s="30" t="s">
        <v>3013</v>
      </c>
      <c r="N7" s="30" t="s">
        <v>145</v>
      </c>
      <c r="O7" s="30" t="s">
        <v>145</v>
      </c>
      <c r="P7" s="30" t="s">
        <v>145</v>
      </c>
      <c r="Q7" s="30" t="s">
        <v>3036</v>
      </c>
      <c r="R7" s="30" t="s">
        <v>3030</v>
      </c>
      <c r="S7" s="30" t="s">
        <v>3037</v>
      </c>
      <c r="T7" s="30" t="s">
        <v>3038</v>
      </c>
      <c r="U7" s="30" t="s">
        <v>973</v>
      </c>
      <c r="V7" s="30">
        <v>2022.0</v>
      </c>
      <c r="W7" s="30" t="s">
        <v>3039</v>
      </c>
      <c r="X7" s="30" t="s">
        <v>3040</v>
      </c>
      <c r="Y7" s="30" t="s">
        <v>3021</v>
      </c>
      <c r="Z7" s="30" t="s">
        <v>3041</v>
      </c>
      <c r="AA7" s="30" t="s">
        <v>3042</v>
      </c>
      <c r="AB7" s="30" t="s">
        <v>1112</v>
      </c>
      <c r="AC7" s="30" t="s">
        <v>3024</v>
      </c>
      <c r="AD7" s="30" t="s">
        <v>1112</v>
      </c>
      <c r="AE7" s="30" t="s">
        <v>3043</v>
      </c>
      <c r="AF7" s="30">
        <v>0.0</v>
      </c>
    </row>
    <row r="8" ht="15.75" customHeight="1">
      <c r="B8" s="78" t="s">
        <v>3011</v>
      </c>
      <c r="C8" s="30" t="s">
        <v>3026</v>
      </c>
      <c r="D8" s="30" t="s">
        <v>1299</v>
      </c>
      <c r="E8" s="30" t="s">
        <v>987</v>
      </c>
      <c r="F8" s="30" t="s">
        <v>1662</v>
      </c>
      <c r="G8" s="78" t="s">
        <v>3011</v>
      </c>
      <c r="H8" s="36" t="s">
        <v>3002</v>
      </c>
      <c r="I8" s="36" t="s">
        <v>141</v>
      </c>
      <c r="J8" s="32" t="s">
        <v>3044</v>
      </c>
      <c r="K8" s="31" t="str">
        <f>IFERROR(__xludf.DUMMYFUNCTION("IF(ISBLANK(J8), """", GOOGLETRANSLATE(J8, ""es"", ""en""))"),"name of the executing executing unit (executing institution)")</f>
        <v>name of the executing executing unit (executing institution)</v>
      </c>
      <c r="M8" s="30" t="s">
        <v>3013</v>
      </c>
      <c r="N8" s="30" t="s">
        <v>145</v>
      </c>
      <c r="O8" s="30" t="s">
        <v>145</v>
      </c>
      <c r="P8" s="30" t="s">
        <v>145</v>
      </c>
      <c r="Q8" s="30" t="s">
        <v>3036</v>
      </c>
      <c r="R8" s="30" t="s">
        <v>3030</v>
      </c>
      <c r="S8" s="30" t="s">
        <v>3045</v>
      </c>
      <c r="T8" s="30" t="s">
        <v>3038</v>
      </c>
      <c r="U8" s="30" t="s">
        <v>973</v>
      </c>
      <c r="V8" s="30">
        <v>2022.0</v>
      </c>
      <c r="W8" s="30" t="s">
        <v>3039</v>
      </c>
      <c r="X8" s="30" t="s">
        <v>3040</v>
      </c>
      <c r="Y8" s="30" t="s">
        <v>3021</v>
      </c>
      <c r="Z8" s="30" t="s">
        <v>3041</v>
      </c>
      <c r="AA8" s="30" t="s">
        <v>3042</v>
      </c>
      <c r="AB8" s="30" t="s">
        <v>1112</v>
      </c>
      <c r="AC8" s="30" t="s">
        <v>3024</v>
      </c>
      <c r="AD8" s="30" t="s">
        <v>1112</v>
      </c>
      <c r="AE8" s="30" t="s">
        <v>3046</v>
      </c>
      <c r="AF8" s="30">
        <v>0.0</v>
      </c>
    </row>
    <row r="9" ht="15.75" customHeight="1">
      <c r="B9" s="78" t="s">
        <v>3011</v>
      </c>
      <c r="C9" s="30" t="s">
        <v>3026</v>
      </c>
      <c r="D9" s="30" t="s">
        <v>1299</v>
      </c>
      <c r="E9" s="30" t="s">
        <v>1063</v>
      </c>
      <c r="F9" s="30" t="s">
        <v>1662</v>
      </c>
      <c r="G9" s="78" t="s">
        <v>3011</v>
      </c>
      <c r="H9" s="36" t="s">
        <v>3003</v>
      </c>
      <c r="I9" s="36" t="s">
        <v>3016</v>
      </c>
      <c r="J9" s="32" t="s">
        <v>3047</v>
      </c>
      <c r="K9" s="31" t="str">
        <f>IFERROR(__xludf.DUMMYFUNCTION("IF(ISBLANK(J9), """", GOOGLETRANSLATE(J9, ""es"", ""en""))"),"budget subaccount name")</f>
        <v>budget subaccount name</v>
      </c>
      <c r="M9" s="30" t="s">
        <v>3013</v>
      </c>
      <c r="N9" s="30" t="s">
        <v>145</v>
      </c>
      <c r="O9" s="30" t="s">
        <v>145</v>
      </c>
      <c r="P9" s="30" t="s">
        <v>145</v>
      </c>
      <c r="Q9" s="30" t="s">
        <v>3048</v>
      </c>
      <c r="R9" s="30" t="s">
        <v>3030</v>
      </c>
      <c r="S9" s="30" t="s">
        <v>3049</v>
      </c>
      <c r="T9" s="30" t="s">
        <v>3050</v>
      </c>
      <c r="U9" s="30" t="s">
        <v>973</v>
      </c>
      <c r="V9" s="30">
        <v>2022.0</v>
      </c>
      <c r="W9" s="30" t="s">
        <v>3039</v>
      </c>
      <c r="X9" s="30" t="s">
        <v>3040</v>
      </c>
      <c r="Y9" s="30" t="s">
        <v>3021</v>
      </c>
      <c r="Z9" s="30" t="s">
        <v>3041</v>
      </c>
      <c r="AA9" s="30" t="s">
        <v>3042</v>
      </c>
      <c r="AB9" s="30" t="s">
        <v>1112</v>
      </c>
      <c r="AC9" s="30" t="s">
        <v>3024</v>
      </c>
      <c r="AD9" s="30" t="s">
        <v>1112</v>
      </c>
      <c r="AE9" s="30" t="s">
        <v>3051</v>
      </c>
      <c r="AF9" s="30">
        <v>0.0</v>
      </c>
    </row>
    <row r="10" ht="15.75" customHeight="1">
      <c r="B10" s="78" t="s">
        <v>3011</v>
      </c>
      <c r="C10" s="30" t="s">
        <v>3026</v>
      </c>
      <c r="D10" s="30" t="s">
        <v>1299</v>
      </c>
      <c r="E10" s="30" t="s">
        <v>1052</v>
      </c>
      <c r="F10" s="30" t="s">
        <v>1662</v>
      </c>
      <c r="G10" s="78" t="s">
        <v>3011</v>
      </c>
      <c r="H10" s="36" t="s">
        <v>3004</v>
      </c>
      <c r="I10" s="36" t="s">
        <v>3017</v>
      </c>
      <c r="J10" s="32" t="s">
        <v>3052</v>
      </c>
      <c r="K10" s="31" t="str">
        <f>IFERROR(__xludf.DUMMYFUNCTION("IF(ISBLANK(J10), """", GOOGLETRANSLATE(J10, ""es"", ""en""))"),"budget concept name")</f>
        <v>budget concept name</v>
      </c>
      <c r="M10" s="30" t="s">
        <v>3013</v>
      </c>
      <c r="N10" s="30" t="s">
        <v>145</v>
      </c>
      <c r="O10" s="30" t="s">
        <v>145</v>
      </c>
      <c r="P10" s="30" t="s">
        <v>145</v>
      </c>
      <c r="Q10" s="30" t="s">
        <v>3048</v>
      </c>
      <c r="R10" s="30" t="s">
        <v>3030</v>
      </c>
      <c r="S10" s="30" t="s">
        <v>3053</v>
      </c>
      <c r="T10" s="30" t="s">
        <v>3050</v>
      </c>
      <c r="U10" s="30" t="s">
        <v>973</v>
      </c>
      <c r="V10" s="30">
        <v>2022.0</v>
      </c>
      <c r="W10" s="30" t="s">
        <v>3039</v>
      </c>
      <c r="X10" s="30" t="s">
        <v>3040</v>
      </c>
      <c r="Y10" s="30" t="s">
        <v>3021</v>
      </c>
      <c r="Z10" s="30" t="s">
        <v>3041</v>
      </c>
      <c r="AA10" s="30" t="s">
        <v>3042</v>
      </c>
      <c r="AB10" s="30" t="s">
        <v>1112</v>
      </c>
      <c r="AC10" s="30" t="s">
        <v>3024</v>
      </c>
      <c r="AD10" s="30" t="s">
        <v>1112</v>
      </c>
      <c r="AE10" s="30" t="s">
        <v>3054</v>
      </c>
      <c r="AF10" s="30">
        <v>0.0</v>
      </c>
    </row>
    <row r="11" ht="15.75" customHeight="1">
      <c r="B11" s="78" t="s">
        <v>3011</v>
      </c>
      <c r="C11" s="30" t="s">
        <v>3026</v>
      </c>
      <c r="D11" s="30" t="s">
        <v>1299</v>
      </c>
      <c r="E11" s="30" t="s">
        <v>1069</v>
      </c>
      <c r="F11" s="30" t="s">
        <v>1662</v>
      </c>
      <c r="G11" s="78" t="s">
        <v>3011</v>
      </c>
      <c r="H11" s="36" t="s">
        <v>3005</v>
      </c>
      <c r="I11" s="36" t="s">
        <v>3018</v>
      </c>
      <c r="J11" s="32" t="s">
        <v>3055</v>
      </c>
      <c r="K11" s="31" t="str">
        <f>IFERROR(__xludf.DUMMYFUNCTION("IF(ISBLANK(J11), """", GOOGLETRANSLATE(J11, ""es"", ""en""))"),"name of budget assistant")</f>
        <v>name of budget assistant</v>
      </c>
      <c r="M11" s="30" t="s">
        <v>3013</v>
      </c>
      <c r="N11" s="30" t="s">
        <v>3056</v>
      </c>
      <c r="O11" s="30" t="s">
        <v>125</v>
      </c>
      <c r="P11" s="30" t="s">
        <v>125</v>
      </c>
      <c r="Q11" s="30" t="s">
        <v>3057</v>
      </c>
      <c r="R11" s="30" t="s">
        <v>3058</v>
      </c>
      <c r="S11" s="30" t="s">
        <v>3059</v>
      </c>
      <c r="T11" s="30" t="s">
        <v>3060</v>
      </c>
      <c r="U11" s="30" t="s">
        <v>973</v>
      </c>
      <c r="V11" s="30">
        <v>2022.0</v>
      </c>
      <c r="W11" s="30" t="s">
        <v>3061</v>
      </c>
      <c r="X11" s="30" t="s">
        <v>1545</v>
      </c>
      <c r="Y11" s="30" t="s">
        <v>3021</v>
      </c>
      <c r="Z11" s="30" t="s">
        <v>3062</v>
      </c>
      <c r="AA11" s="30" t="s">
        <v>3063</v>
      </c>
      <c r="AB11" s="30" t="s">
        <v>1112</v>
      </c>
      <c r="AC11" s="30" t="s">
        <v>3024</v>
      </c>
      <c r="AD11" s="30" t="s">
        <v>1112</v>
      </c>
      <c r="AE11" s="30" t="s">
        <v>3064</v>
      </c>
      <c r="AF11" s="30">
        <v>1000000.0</v>
      </c>
    </row>
    <row r="12" ht="15.75" customHeight="1">
      <c r="B12" s="78" t="s">
        <v>3011</v>
      </c>
      <c r="C12" s="30" t="s">
        <v>3026</v>
      </c>
      <c r="D12" s="30" t="s">
        <v>1299</v>
      </c>
      <c r="E12" s="30" t="s">
        <v>1057</v>
      </c>
      <c r="F12" s="30" t="s">
        <v>1662</v>
      </c>
      <c r="G12" s="78" t="s">
        <v>3011</v>
      </c>
      <c r="H12" s="36" t="s">
        <v>1495</v>
      </c>
      <c r="I12" s="36" t="s">
        <v>3019</v>
      </c>
      <c r="J12" s="32" t="s">
        <v>3065</v>
      </c>
      <c r="K12" s="31" t="str">
        <f>IFERROR(__xludf.DUMMYFUNCTION("IF(ISBLANK(J12), """", GOOGLETRANSLATE(J12, ""es"", ""en""))"),"budget account name")</f>
        <v>budget account name</v>
      </c>
      <c r="M12" s="30" t="s">
        <v>3013</v>
      </c>
      <c r="N12" s="30" t="s">
        <v>3056</v>
      </c>
      <c r="O12" s="30" t="s">
        <v>125</v>
      </c>
      <c r="P12" s="30" t="s">
        <v>125</v>
      </c>
      <c r="Q12" s="30" t="s">
        <v>3057</v>
      </c>
      <c r="R12" s="30" t="s">
        <v>3058</v>
      </c>
      <c r="S12" s="30" t="s">
        <v>3059</v>
      </c>
      <c r="T12" s="30" t="s">
        <v>3060</v>
      </c>
      <c r="U12" s="30" t="s">
        <v>973</v>
      </c>
      <c r="V12" s="30">
        <v>2022.0</v>
      </c>
      <c r="W12" s="30" t="s">
        <v>3061</v>
      </c>
      <c r="X12" s="30" t="s">
        <v>1545</v>
      </c>
      <c r="Y12" s="30" t="s">
        <v>3021</v>
      </c>
      <c r="Z12" s="30" t="s">
        <v>3062</v>
      </c>
      <c r="AA12" s="30" t="s">
        <v>3063</v>
      </c>
      <c r="AB12" s="30" t="s">
        <v>1112</v>
      </c>
      <c r="AC12" s="30" t="s">
        <v>3024</v>
      </c>
      <c r="AD12" s="30" t="s">
        <v>1112</v>
      </c>
      <c r="AE12" s="30" t="s">
        <v>3064</v>
      </c>
      <c r="AF12" s="30">
        <v>1000000.0</v>
      </c>
    </row>
    <row r="13" ht="15.75" customHeight="1">
      <c r="B13" s="78" t="s">
        <v>3011</v>
      </c>
      <c r="C13" s="30" t="s">
        <v>3026</v>
      </c>
      <c r="D13" s="30" t="s">
        <v>1299</v>
      </c>
      <c r="E13" s="30" t="s">
        <v>972</v>
      </c>
      <c r="F13" s="30" t="s">
        <v>1662</v>
      </c>
      <c r="G13" s="78" t="s">
        <v>3011</v>
      </c>
      <c r="H13" s="36" t="s">
        <v>3006</v>
      </c>
      <c r="I13" s="36" t="s">
        <v>973</v>
      </c>
      <c r="J13" s="32" t="s">
        <v>3066</v>
      </c>
      <c r="K13" s="31" t="str">
        <f>IFERROR(__xludf.DUMMYFUNCTION("IF(ISBLANK(J13), """", GOOGLETRANSLATE(J13, ""es"", ""en""))"),"budget section name")</f>
        <v>budget section name</v>
      </c>
      <c r="M13" s="30" t="s">
        <v>3013</v>
      </c>
      <c r="N13" s="30" t="s">
        <v>3056</v>
      </c>
      <c r="O13" s="30" t="s">
        <v>125</v>
      </c>
      <c r="P13" s="30" t="s">
        <v>125</v>
      </c>
      <c r="Q13" s="30" t="s">
        <v>3057</v>
      </c>
      <c r="R13" s="30" t="s">
        <v>3058</v>
      </c>
      <c r="S13" s="30" t="s">
        <v>3059</v>
      </c>
      <c r="T13" s="30" t="s">
        <v>3060</v>
      </c>
      <c r="U13" s="30" t="s">
        <v>973</v>
      </c>
      <c r="V13" s="30">
        <v>2022.0</v>
      </c>
      <c r="W13" s="30" t="s">
        <v>3061</v>
      </c>
      <c r="X13" s="30" t="s">
        <v>1545</v>
      </c>
      <c r="Y13" s="30" t="s">
        <v>3021</v>
      </c>
      <c r="Z13" s="30" t="s">
        <v>3062</v>
      </c>
      <c r="AA13" s="30" t="s">
        <v>3063</v>
      </c>
      <c r="AB13" s="30" t="s">
        <v>1112</v>
      </c>
      <c r="AC13" s="30" t="s">
        <v>3024</v>
      </c>
      <c r="AD13" s="30" t="s">
        <v>1112</v>
      </c>
      <c r="AE13" s="30" t="s">
        <v>3064</v>
      </c>
      <c r="AF13" s="30">
        <v>1000000.0</v>
      </c>
    </row>
    <row r="14" ht="15.75" customHeight="1">
      <c r="B14" s="78" t="s">
        <v>3011</v>
      </c>
      <c r="C14" s="30" t="s">
        <v>3026</v>
      </c>
      <c r="D14" s="30" t="s">
        <v>1299</v>
      </c>
      <c r="E14" s="30" t="s">
        <v>3067</v>
      </c>
      <c r="F14" s="30" t="s">
        <v>1662</v>
      </c>
      <c r="G14" s="78" t="s">
        <v>3011</v>
      </c>
      <c r="H14" s="36" t="s">
        <v>1405</v>
      </c>
      <c r="I14" s="36">
        <v>2022.0</v>
      </c>
      <c r="J14" s="32" t="s">
        <v>3068</v>
      </c>
      <c r="K14" s="31" t="str">
        <f>IFERROR(__xludf.DUMMYFUNCTION("IF(ISBLANK(J14), """", GOOGLETRANSLATE(J14, ""es"", ""en""))"),"budget year")</f>
        <v>budget year</v>
      </c>
      <c r="M14" s="30" t="s">
        <v>3013</v>
      </c>
      <c r="N14" s="30" t="s">
        <v>3056</v>
      </c>
      <c r="O14" s="30" t="s">
        <v>125</v>
      </c>
      <c r="P14" s="30" t="s">
        <v>125</v>
      </c>
      <c r="Q14" s="30" t="s">
        <v>3057</v>
      </c>
      <c r="R14" s="30" t="s">
        <v>3058</v>
      </c>
      <c r="S14" s="30" t="s">
        <v>3059</v>
      </c>
      <c r="T14" s="30" t="s">
        <v>3060</v>
      </c>
      <c r="U14" s="30" t="s">
        <v>973</v>
      </c>
      <c r="V14" s="30">
        <v>2022.0</v>
      </c>
      <c r="W14" s="30" t="s">
        <v>3061</v>
      </c>
      <c r="X14" s="30" t="s">
        <v>1545</v>
      </c>
      <c r="Y14" s="30" t="s">
        <v>3021</v>
      </c>
      <c r="Z14" s="30" t="s">
        <v>3062</v>
      </c>
      <c r="AA14" s="30" t="s">
        <v>3063</v>
      </c>
      <c r="AB14" s="30" t="s">
        <v>1112</v>
      </c>
      <c r="AC14" s="30" t="s">
        <v>3024</v>
      </c>
      <c r="AD14" s="30" t="s">
        <v>1112</v>
      </c>
      <c r="AE14" s="30" t="s">
        <v>3064</v>
      </c>
      <c r="AF14" s="30">
        <v>1000000.0</v>
      </c>
    </row>
    <row r="15" ht="15.75" customHeight="1">
      <c r="B15" s="78" t="s">
        <v>3011</v>
      </c>
      <c r="C15" s="30" t="s">
        <v>3026</v>
      </c>
      <c r="D15" s="30" t="s">
        <v>1299</v>
      </c>
      <c r="E15" s="30" t="s">
        <v>3069</v>
      </c>
      <c r="F15" s="30" t="s">
        <v>1662</v>
      </c>
      <c r="G15" s="78" t="s">
        <v>3011</v>
      </c>
      <c r="H15" s="36" t="s">
        <v>1467</v>
      </c>
      <c r="I15" s="36" t="s">
        <v>3020</v>
      </c>
      <c r="J15" s="32" t="s">
        <v>3070</v>
      </c>
      <c r="K15" s="31" t="str">
        <f>IFERROR(__xludf.DUMMYFUNCTION("IF(ISBLANK(J15), """", GOOGLETRANSLATE(J15, ""es"", ""en""))"),"budget program name")</f>
        <v>budget program name</v>
      </c>
      <c r="M15" s="30" t="s">
        <v>3013</v>
      </c>
      <c r="N15" s="30" t="s">
        <v>3056</v>
      </c>
      <c r="O15" s="30" t="s">
        <v>125</v>
      </c>
      <c r="P15" s="30" t="s">
        <v>125</v>
      </c>
      <c r="Q15" s="30" t="s">
        <v>3057</v>
      </c>
      <c r="R15" s="30" t="s">
        <v>3058</v>
      </c>
      <c r="S15" s="30" t="s">
        <v>3059</v>
      </c>
      <c r="T15" s="30" t="s">
        <v>3060</v>
      </c>
      <c r="U15" s="30" t="s">
        <v>973</v>
      </c>
      <c r="V15" s="30">
        <v>2022.0</v>
      </c>
      <c r="W15" s="30" t="s">
        <v>3061</v>
      </c>
      <c r="X15" s="30" t="s">
        <v>1545</v>
      </c>
      <c r="Y15" s="30" t="s">
        <v>3021</v>
      </c>
      <c r="Z15" s="30" t="s">
        <v>3062</v>
      </c>
      <c r="AA15" s="30" t="s">
        <v>3063</v>
      </c>
      <c r="AB15" s="30" t="s">
        <v>1112</v>
      </c>
      <c r="AC15" s="30" t="s">
        <v>3024</v>
      </c>
      <c r="AD15" s="30" t="s">
        <v>1112</v>
      </c>
      <c r="AE15" s="30" t="s">
        <v>3064</v>
      </c>
      <c r="AF15" s="30">
        <v>1000000.0</v>
      </c>
    </row>
    <row r="16" ht="15.75" customHeight="1">
      <c r="B16" s="78" t="s">
        <v>3011</v>
      </c>
      <c r="C16" s="30" t="s">
        <v>3026</v>
      </c>
      <c r="D16" s="30" t="s">
        <v>1299</v>
      </c>
      <c r="E16" s="30" t="s">
        <v>1032</v>
      </c>
      <c r="F16" s="30" t="s">
        <v>1662</v>
      </c>
      <c r="G16" s="78" t="s">
        <v>3011</v>
      </c>
      <c r="H16" s="36" t="s">
        <v>1500</v>
      </c>
      <c r="I16" s="36" t="s">
        <v>1033</v>
      </c>
      <c r="J16" s="32" t="s">
        <v>3071</v>
      </c>
      <c r="K16" s="31" t="str">
        <f>IFERROR(__xludf.DUMMYFUNCTION("IF(ISBLANK(J16), """", GOOGLETRANSLATE(J16, ""es"", ""en""))"),"budget purpose name")</f>
        <v>budget purpose name</v>
      </c>
      <c r="M16" s="30" t="s">
        <v>3013</v>
      </c>
      <c r="N16" s="30" t="s">
        <v>145</v>
      </c>
      <c r="O16" s="30" t="s">
        <v>145</v>
      </c>
      <c r="P16" s="30" t="s">
        <v>145</v>
      </c>
      <c r="Q16" s="30" t="s">
        <v>3072</v>
      </c>
      <c r="R16" s="30" t="s">
        <v>3073</v>
      </c>
      <c r="S16" s="30" t="s">
        <v>3072</v>
      </c>
      <c r="T16" s="30" t="s">
        <v>3074</v>
      </c>
      <c r="U16" s="30" t="s">
        <v>973</v>
      </c>
      <c r="V16" s="30">
        <v>2022.0</v>
      </c>
      <c r="W16" s="30" t="s">
        <v>3039</v>
      </c>
      <c r="X16" s="30" t="s">
        <v>3040</v>
      </c>
      <c r="Y16" s="30" t="s">
        <v>3021</v>
      </c>
      <c r="Z16" s="30" t="s">
        <v>3041</v>
      </c>
      <c r="AA16" s="30" t="s">
        <v>3042</v>
      </c>
      <c r="AB16" s="30" t="s">
        <v>1112</v>
      </c>
      <c r="AC16" s="30" t="s">
        <v>3024</v>
      </c>
      <c r="AD16" s="30" t="s">
        <v>1112</v>
      </c>
      <c r="AE16" s="30" t="s">
        <v>3075</v>
      </c>
      <c r="AF16" s="30">
        <v>0.0</v>
      </c>
    </row>
    <row r="17" ht="15.75" customHeight="1">
      <c r="B17" s="78" t="s">
        <v>3011</v>
      </c>
      <c r="C17" s="30" t="s">
        <v>3026</v>
      </c>
      <c r="D17" s="30" t="s">
        <v>1299</v>
      </c>
      <c r="E17" s="30" t="s">
        <v>1018</v>
      </c>
      <c r="F17" s="30" t="s">
        <v>1662</v>
      </c>
      <c r="G17" s="78" t="s">
        <v>3011</v>
      </c>
      <c r="H17" s="36" t="s">
        <v>1391</v>
      </c>
      <c r="I17" s="36" t="s">
        <v>3021</v>
      </c>
      <c r="J17" s="32" t="s">
        <v>3076</v>
      </c>
      <c r="K17" s="31" t="str">
        <f>IFERROR(__xludf.DUMMYFUNCTION("IF(ISBLANK(J17), """", GOOGLETRANSLATE(J17, ""es"", ""en""))"),"name of funding body")</f>
        <v>name of funding body</v>
      </c>
      <c r="M17" s="30" t="s">
        <v>3013</v>
      </c>
      <c r="N17" s="30" t="s">
        <v>145</v>
      </c>
      <c r="O17" s="30" t="s">
        <v>145</v>
      </c>
      <c r="P17" s="30" t="s">
        <v>145</v>
      </c>
      <c r="Q17" s="30" t="s">
        <v>3077</v>
      </c>
      <c r="R17" s="30" t="s">
        <v>3073</v>
      </c>
      <c r="S17" s="30" t="s">
        <v>3078</v>
      </c>
      <c r="T17" s="30" t="s">
        <v>3079</v>
      </c>
      <c r="U17" s="30" t="s">
        <v>973</v>
      </c>
      <c r="V17" s="30">
        <v>2022.0</v>
      </c>
      <c r="W17" s="30" t="s">
        <v>3039</v>
      </c>
      <c r="X17" s="30" t="s">
        <v>3040</v>
      </c>
      <c r="Y17" s="30" t="s">
        <v>3021</v>
      </c>
      <c r="Z17" s="30" t="s">
        <v>3041</v>
      </c>
      <c r="AA17" s="30" t="s">
        <v>3042</v>
      </c>
      <c r="AB17" s="30" t="s">
        <v>1112</v>
      </c>
      <c r="AC17" s="30" t="s">
        <v>3024</v>
      </c>
      <c r="AD17" s="30" t="s">
        <v>1112</v>
      </c>
      <c r="AE17" s="30" t="s">
        <v>3080</v>
      </c>
      <c r="AF17" s="30">
        <v>0.0</v>
      </c>
    </row>
    <row r="18" ht="15.75" customHeight="1">
      <c r="B18" s="78" t="s">
        <v>3011</v>
      </c>
      <c r="C18" s="30" t="s">
        <v>3026</v>
      </c>
      <c r="D18" s="30" t="s">
        <v>1299</v>
      </c>
      <c r="E18" s="30" t="s">
        <v>1037</v>
      </c>
      <c r="F18" s="30" t="s">
        <v>1662</v>
      </c>
      <c r="G18" s="78" t="s">
        <v>3011</v>
      </c>
      <c r="H18" s="36" t="s">
        <v>3007</v>
      </c>
      <c r="I18" s="36" t="s">
        <v>3022</v>
      </c>
      <c r="J18" s="32" t="s">
        <v>3081</v>
      </c>
      <c r="K18" s="31" t="str">
        <f>IFERROR(__xludf.DUMMYFUNCTION("IF(ISBLANK(J18), """", GOOGLETRANSLATE(J18, ""es"", ""en""))"),"function or sector of the government to which the budgeted resources are directed")</f>
        <v>function or sector of the government to which the budgeted resources are directed</v>
      </c>
      <c r="M18" s="30" t="s">
        <v>3013</v>
      </c>
      <c r="N18" s="30" t="s">
        <v>145</v>
      </c>
      <c r="O18" s="30" t="s">
        <v>145</v>
      </c>
      <c r="P18" s="30" t="s">
        <v>145</v>
      </c>
      <c r="Q18" s="30" t="s">
        <v>3082</v>
      </c>
      <c r="R18" s="30" t="s">
        <v>3030</v>
      </c>
      <c r="S18" s="30" t="s">
        <v>3083</v>
      </c>
      <c r="T18" s="30" t="s">
        <v>3084</v>
      </c>
      <c r="U18" s="30" t="s">
        <v>973</v>
      </c>
      <c r="V18" s="30">
        <v>2022.0</v>
      </c>
      <c r="W18" s="30" t="s">
        <v>3085</v>
      </c>
      <c r="X18" s="30" t="s">
        <v>3040</v>
      </c>
      <c r="Y18" s="30" t="s">
        <v>3021</v>
      </c>
      <c r="Z18" s="30" t="s">
        <v>3041</v>
      </c>
      <c r="AA18" s="30" t="s">
        <v>3042</v>
      </c>
      <c r="AB18" s="30" t="s">
        <v>1112</v>
      </c>
      <c r="AC18" s="30" t="s">
        <v>3024</v>
      </c>
      <c r="AD18" s="30" t="s">
        <v>1112</v>
      </c>
      <c r="AE18" s="30" t="s">
        <v>3086</v>
      </c>
      <c r="AF18" s="30">
        <v>0.0</v>
      </c>
    </row>
    <row r="19" ht="15.75" customHeight="1">
      <c r="B19" s="78" t="s">
        <v>3011</v>
      </c>
      <c r="C19" s="30" t="s">
        <v>3026</v>
      </c>
      <c r="D19" s="30" t="s">
        <v>1299</v>
      </c>
      <c r="E19" s="30" t="s">
        <v>1042</v>
      </c>
      <c r="F19" s="30" t="s">
        <v>1662</v>
      </c>
      <c r="G19" s="78" t="s">
        <v>3011</v>
      </c>
      <c r="H19" s="36" t="s">
        <v>1511</v>
      </c>
      <c r="I19" s="36" t="s">
        <v>3023</v>
      </c>
      <c r="J19" s="32" t="s">
        <v>3087</v>
      </c>
      <c r="K19" s="31" t="str">
        <f>IFERROR(__xludf.DUMMYFUNCTION("IF(ISBLANK(J19), """", GOOGLETRANSLATE(J19, ""es"", ""en""))"),"budget subfunction name")</f>
        <v>budget subfunction name</v>
      </c>
      <c r="M19" s="30" t="s">
        <v>3013</v>
      </c>
      <c r="N19" s="30" t="s">
        <v>145</v>
      </c>
      <c r="O19" s="30" t="s">
        <v>145</v>
      </c>
      <c r="P19" s="30" t="s">
        <v>145</v>
      </c>
      <c r="Q19" s="30" t="s">
        <v>3088</v>
      </c>
      <c r="R19" s="30" t="s">
        <v>3058</v>
      </c>
      <c r="S19" s="30" t="s">
        <v>3089</v>
      </c>
      <c r="T19" s="30" t="s">
        <v>3090</v>
      </c>
      <c r="U19" s="30" t="s">
        <v>973</v>
      </c>
      <c r="V19" s="30">
        <v>2022.0</v>
      </c>
      <c r="W19" s="30" t="s">
        <v>3085</v>
      </c>
      <c r="X19" s="30" t="s">
        <v>3040</v>
      </c>
      <c r="Y19" s="30" t="s">
        <v>3021</v>
      </c>
      <c r="Z19" s="30" t="s">
        <v>3041</v>
      </c>
      <c r="AA19" s="30" t="s">
        <v>3042</v>
      </c>
      <c r="AB19" s="30" t="s">
        <v>1112</v>
      </c>
      <c r="AC19" s="30" t="s">
        <v>3024</v>
      </c>
      <c r="AD19" s="30" t="s">
        <v>1112</v>
      </c>
      <c r="AE19" s="30" t="s">
        <v>3091</v>
      </c>
      <c r="AF19" s="30">
        <v>8.22664512E8</v>
      </c>
    </row>
    <row r="20" ht="15.75" customHeight="1">
      <c r="B20" s="78" t="s">
        <v>3011</v>
      </c>
      <c r="C20" s="30" t="s">
        <v>3026</v>
      </c>
      <c r="D20" s="30" t="s">
        <v>1299</v>
      </c>
      <c r="E20" s="30" t="s">
        <v>3092</v>
      </c>
      <c r="F20" s="30" t="s">
        <v>1662</v>
      </c>
      <c r="G20" s="78" t="s">
        <v>3011</v>
      </c>
      <c r="H20" s="36" t="s">
        <v>3008</v>
      </c>
      <c r="I20" s="36" t="s">
        <v>1112</v>
      </c>
      <c r="J20" s="32" t="s">
        <v>3093</v>
      </c>
      <c r="K20" s="31" t="str">
        <f>IFERROR(__xludf.DUMMYFUNCTION("IF(ISBLANK(J20), """", GOOGLETRANSLATE(J20, ""es"", ""en""))"),"name of receiving institution")</f>
        <v>name of receiving institution</v>
      </c>
      <c r="M20" s="30" t="s">
        <v>3013</v>
      </c>
      <c r="N20" s="30" t="s">
        <v>145</v>
      </c>
      <c r="O20" s="30" t="s">
        <v>145</v>
      </c>
      <c r="P20" s="30" t="s">
        <v>145</v>
      </c>
      <c r="Q20" s="30" t="s">
        <v>3094</v>
      </c>
      <c r="R20" s="30" t="s">
        <v>3073</v>
      </c>
      <c r="S20" s="30" t="s">
        <v>3094</v>
      </c>
      <c r="T20" s="30" t="s">
        <v>3095</v>
      </c>
      <c r="U20" s="30" t="s">
        <v>973</v>
      </c>
      <c r="V20" s="30">
        <v>2022.0</v>
      </c>
      <c r="W20" s="30" t="s">
        <v>3085</v>
      </c>
      <c r="X20" s="30" t="s">
        <v>3040</v>
      </c>
      <c r="Y20" s="30" t="s">
        <v>3021</v>
      </c>
      <c r="Z20" s="30" t="s">
        <v>3041</v>
      </c>
      <c r="AA20" s="30" t="s">
        <v>3042</v>
      </c>
      <c r="AB20" s="30" t="s">
        <v>1112</v>
      </c>
      <c r="AC20" s="30" t="s">
        <v>3024</v>
      </c>
      <c r="AD20" s="30" t="s">
        <v>1112</v>
      </c>
      <c r="AE20" s="30" t="s">
        <v>3096</v>
      </c>
      <c r="AF20" s="30">
        <v>0.0</v>
      </c>
    </row>
    <row r="21" ht="15.75" customHeight="1">
      <c r="B21" s="78" t="s">
        <v>3011</v>
      </c>
      <c r="C21" s="30" t="s">
        <v>3026</v>
      </c>
      <c r="D21" s="30" t="s">
        <v>1299</v>
      </c>
      <c r="E21" s="30" t="s">
        <v>3097</v>
      </c>
      <c r="F21" s="30" t="s">
        <v>1662</v>
      </c>
      <c r="G21" s="78" t="s">
        <v>3011</v>
      </c>
      <c r="H21" s="36" t="s">
        <v>1383</v>
      </c>
      <c r="I21" s="36" t="s">
        <v>3024</v>
      </c>
      <c r="J21" s="32" t="s">
        <v>3098</v>
      </c>
      <c r="K21" s="31" t="str">
        <f>IFERROR(__xludf.DUMMYFUNCTION("IF(ISBLANK(J21), """", GOOGLETRANSLATE(J21, ""es"", ""en""))"),"name of funding source")</f>
        <v>name of funding source</v>
      </c>
      <c r="M21" s="30" t="s">
        <v>3013</v>
      </c>
      <c r="N21" s="30" t="s">
        <v>145</v>
      </c>
      <c r="O21" s="30" t="s">
        <v>145</v>
      </c>
      <c r="P21" s="30" t="s">
        <v>145</v>
      </c>
      <c r="Q21" s="30" t="s">
        <v>3099</v>
      </c>
      <c r="R21" s="30" t="s">
        <v>3058</v>
      </c>
      <c r="S21" s="30" t="s">
        <v>3100</v>
      </c>
      <c r="T21" s="30" t="s">
        <v>3101</v>
      </c>
      <c r="U21" s="30" t="s">
        <v>973</v>
      </c>
      <c r="V21" s="30">
        <v>2022.0</v>
      </c>
      <c r="W21" s="30" t="s">
        <v>3061</v>
      </c>
      <c r="X21" s="30" t="s">
        <v>3040</v>
      </c>
      <c r="Y21" s="30" t="s">
        <v>3021</v>
      </c>
      <c r="Z21" s="30" t="s">
        <v>3041</v>
      </c>
      <c r="AA21" s="30" t="s">
        <v>3042</v>
      </c>
      <c r="AB21" s="30" t="s">
        <v>1112</v>
      </c>
      <c r="AC21" s="30" t="s">
        <v>3024</v>
      </c>
      <c r="AD21" s="30" t="s">
        <v>1112</v>
      </c>
      <c r="AE21" s="30" t="s">
        <v>3102</v>
      </c>
      <c r="AF21" s="30">
        <v>1.0E7</v>
      </c>
    </row>
    <row r="22" ht="15.75" customHeight="1">
      <c r="B22" s="78" t="s">
        <v>3011</v>
      </c>
      <c r="C22" s="30" t="s">
        <v>3026</v>
      </c>
      <c r="D22" s="30" t="s">
        <v>1299</v>
      </c>
      <c r="E22" s="30" t="s">
        <v>3103</v>
      </c>
      <c r="F22" s="116" t="s">
        <v>3104</v>
      </c>
      <c r="G22" s="78" t="s">
        <v>3011</v>
      </c>
      <c r="H22" s="36" t="s">
        <v>3009</v>
      </c>
      <c r="I22" s="36" t="s">
        <v>1112</v>
      </c>
      <c r="J22" s="32" t="s">
        <v>3105</v>
      </c>
      <c r="K22" s="31" t="str">
        <f>IFERROR(__xludf.DUMMYFUNCTION("IF(ISBLANK(J22), """", GOOGLETRANSLATE(J22, ""es"", ""en""))"),"funding source group name")</f>
        <v>funding source group name</v>
      </c>
      <c r="M22" s="30" t="s">
        <v>3013</v>
      </c>
      <c r="N22" s="30" t="s">
        <v>3056</v>
      </c>
      <c r="O22" s="30" t="s">
        <v>125</v>
      </c>
      <c r="P22" s="30" t="s">
        <v>125</v>
      </c>
      <c r="Q22" s="30" t="s">
        <v>3057</v>
      </c>
      <c r="R22" s="30" t="s">
        <v>3058</v>
      </c>
      <c r="S22" s="30" t="s">
        <v>3059</v>
      </c>
      <c r="T22" s="30" t="s">
        <v>3060</v>
      </c>
      <c r="U22" s="30" t="s">
        <v>973</v>
      </c>
      <c r="V22" s="30">
        <v>2022.0</v>
      </c>
      <c r="W22" s="30" t="s">
        <v>3061</v>
      </c>
      <c r="X22" s="30" t="s">
        <v>1545</v>
      </c>
      <c r="Y22" s="30" t="s">
        <v>3021</v>
      </c>
      <c r="Z22" s="30" t="s">
        <v>3062</v>
      </c>
      <c r="AA22" s="30" t="s">
        <v>3063</v>
      </c>
      <c r="AB22" s="30" t="s">
        <v>1112</v>
      </c>
      <c r="AC22" s="30" t="s">
        <v>3024</v>
      </c>
      <c r="AD22" s="30" t="s">
        <v>1112</v>
      </c>
      <c r="AE22" s="30" t="s">
        <v>3064</v>
      </c>
      <c r="AF22" s="30">
        <v>1000000.0</v>
      </c>
    </row>
    <row r="23" ht="15.75" customHeight="1">
      <c r="B23" s="78" t="s">
        <v>3011</v>
      </c>
      <c r="C23" s="30" t="s">
        <v>3026</v>
      </c>
      <c r="D23" s="30" t="s">
        <v>1299</v>
      </c>
      <c r="E23" s="30" t="s">
        <v>3106</v>
      </c>
      <c r="F23" s="30" t="s">
        <v>3107</v>
      </c>
      <c r="G23" s="78" t="s">
        <v>3011</v>
      </c>
      <c r="H23" s="36" t="s">
        <v>3010</v>
      </c>
      <c r="I23" s="36" t="s">
        <v>3025</v>
      </c>
      <c r="J23" s="32" t="s">
        <v>3108</v>
      </c>
      <c r="K23" s="31" t="str">
        <f>IFERROR(__xludf.DUMMYFUNCTION("IF(ISBLANK(J23), """", GOOGLETRANSLATE(J23, ""es"", ""en""))"),"current budget total value")</f>
        <v>current budget total value</v>
      </c>
      <c r="M23" s="30" t="s">
        <v>3013</v>
      </c>
      <c r="N23" s="30" t="s">
        <v>3056</v>
      </c>
      <c r="O23" s="30" t="s">
        <v>125</v>
      </c>
      <c r="P23" s="30" t="s">
        <v>125</v>
      </c>
      <c r="Q23" s="30" t="s">
        <v>3057</v>
      </c>
      <c r="R23" s="30" t="s">
        <v>3058</v>
      </c>
      <c r="S23" s="30" t="s">
        <v>3059</v>
      </c>
      <c r="T23" s="30" t="s">
        <v>3060</v>
      </c>
      <c r="U23" s="30" t="s">
        <v>973</v>
      </c>
      <c r="V23" s="30">
        <v>2022.0</v>
      </c>
      <c r="W23" s="30" t="s">
        <v>3061</v>
      </c>
      <c r="X23" s="30" t="s">
        <v>1545</v>
      </c>
      <c r="Y23" s="30" t="s">
        <v>3021</v>
      </c>
      <c r="Z23" s="30" t="s">
        <v>3062</v>
      </c>
      <c r="AA23" s="30" t="s">
        <v>3063</v>
      </c>
      <c r="AB23" s="30" t="s">
        <v>1112</v>
      </c>
      <c r="AC23" s="30" t="s">
        <v>3024</v>
      </c>
      <c r="AD23" s="30" t="s">
        <v>1112</v>
      </c>
      <c r="AE23" s="30" t="s">
        <v>3064</v>
      </c>
      <c r="AF23" s="30">
        <v>1000000.0</v>
      </c>
    </row>
    <row r="24" ht="15.75" customHeight="1">
      <c r="B24" s="78" t="s">
        <v>3011</v>
      </c>
      <c r="C24" s="30" t="s">
        <v>3026</v>
      </c>
      <c r="D24" s="30" t="s">
        <v>1299</v>
      </c>
      <c r="E24" s="30" t="s">
        <v>3109</v>
      </c>
      <c r="F24" s="30" t="s">
        <v>1516</v>
      </c>
      <c r="G24" s="78" t="s">
        <v>3011</v>
      </c>
      <c r="H24" s="36" t="s">
        <v>1401</v>
      </c>
      <c r="I24" s="36">
        <v>3.5952928E8</v>
      </c>
      <c r="J24" s="32" t="s">
        <v>3110</v>
      </c>
      <c r="K24" s="31" t="str">
        <f>IFERROR(__xludf.DUMMYFUNCTION("IF(ISBLANK(J24), """", GOOGLETRANSLATE(J24, ""es"", ""en""))"),"total accrued value")</f>
        <v>total accrued value</v>
      </c>
      <c r="M24" s="30" t="s">
        <v>3013</v>
      </c>
      <c r="N24" s="30" t="s">
        <v>3056</v>
      </c>
      <c r="O24" s="30" t="s">
        <v>125</v>
      </c>
      <c r="P24" s="30" t="s">
        <v>125</v>
      </c>
      <c r="Q24" s="30" t="s">
        <v>3057</v>
      </c>
      <c r="R24" s="30" t="s">
        <v>3058</v>
      </c>
      <c r="S24" s="30" t="s">
        <v>3059</v>
      </c>
      <c r="T24" s="30" t="s">
        <v>3060</v>
      </c>
      <c r="U24" s="30" t="s">
        <v>973</v>
      </c>
      <c r="V24" s="30">
        <v>2022.0</v>
      </c>
      <c r="W24" s="30" t="s">
        <v>3061</v>
      </c>
      <c r="X24" s="30" t="s">
        <v>1545</v>
      </c>
      <c r="Y24" s="30" t="s">
        <v>3021</v>
      </c>
      <c r="Z24" s="30" t="s">
        <v>3062</v>
      </c>
      <c r="AA24" s="30" t="s">
        <v>3063</v>
      </c>
      <c r="AB24" s="30" t="s">
        <v>1112</v>
      </c>
      <c r="AC24" s="30" t="s">
        <v>3024</v>
      </c>
      <c r="AD24" s="30" t="s">
        <v>1112</v>
      </c>
      <c r="AE24" s="30" t="s">
        <v>3064</v>
      </c>
      <c r="AF24" s="30">
        <v>1000000.0</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G2:K2"/>
    <mergeCell ref="G3:I3"/>
    <mergeCell ref="J3:K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sheetViews>
  <sheetFormatPr customHeight="1" defaultColWidth="12.63" defaultRowHeight="15.0"/>
  <cols>
    <col customWidth="1" min="1" max="1" width="3.88"/>
    <col customWidth="1" min="2" max="2" width="23.63"/>
    <col customWidth="1" min="3" max="3" width="66.25"/>
    <col customWidth="1" min="4" max="5" width="31.63"/>
  </cols>
  <sheetData>
    <row r="1" ht="15.75" customHeight="1"/>
    <row r="2" ht="15.75" customHeight="1">
      <c r="B2" s="162" t="s">
        <v>3111</v>
      </c>
      <c r="C2" s="4"/>
    </row>
    <row r="3" ht="15.75" customHeight="1"/>
    <row r="4" ht="15.75" customHeight="1">
      <c r="B4" s="128" t="s">
        <v>3112</v>
      </c>
      <c r="G4" s="128" t="s">
        <v>33</v>
      </c>
    </row>
    <row r="5" ht="15.75" customHeight="1">
      <c r="B5" s="26" t="s">
        <v>1692</v>
      </c>
      <c r="C5" s="26" t="s">
        <v>1693</v>
      </c>
      <c r="D5" s="26" t="s">
        <v>1694</v>
      </c>
      <c r="E5" s="26" t="s">
        <v>1695</v>
      </c>
      <c r="G5" s="29" t="s">
        <v>3067</v>
      </c>
      <c r="H5" s="29" t="s">
        <v>3113</v>
      </c>
      <c r="I5" s="29" t="s">
        <v>3114</v>
      </c>
      <c r="J5" s="29" t="s">
        <v>3115</v>
      </c>
      <c r="K5" s="29" t="s">
        <v>3116</v>
      </c>
      <c r="L5" s="29" t="s">
        <v>3117</v>
      </c>
      <c r="M5" s="29" t="s">
        <v>3118</v>
      </c>
      <c r="N5" s="29" t="s">
        <v>3119</v>
      </c>
      <c r="O5" s="29" t="s">
        <v>3120</v>
      </c>
      <c r="P5" s="29" t="s">
        <v>3121</v>
      </c>
      <c r="Q5" s="29" t="s">
        <v>3122</v>
      </c>
      <c r="R5" s="29" t="s">
        <v>3123</v>
      </c>
      <c r="S5" s="29" t="s">
        <v>3124</v>
      </c>
      <c r="T5" s="29" t="s">
        <v>3125</v>
      </c>
      <c r="U5" s="29" t="s">
        <v>3126</v>
      </c>
      <c r="V5" s="29" t="s">
        <v>3127</v>
      </c>
      <c r="W5" s="29" t="s">
        <v>3128</v>
      </c>
      <c r="X5" s="29" t="s">
        <v>3129</v>
      </c>
      <c r="Y5" s="29" t="s">
        <v>3130</v>
      </c>
      <c r="Z5" s="29" t="s">
        <v>3131</v>
      </c>
      <c r="AA5" s="29" t="s">
        <v>3132</v>
      </c>
      <c r="AB5" s="29" t="s">
        <v>1150</v>
      </c>
      <c r="AC5" s="29" t="s">
        <v>1153</v>
      </c>
      <c r="AD5" s="29" t="s">
        <v>1155</v>
      </c>
      <c r="AE5" s="29" t="s">
        <v>3133</v>
      </c>
      <c r="AF5" s="29" t="s">
        <v>3134</v>
      </c>
      <c r="AG5" s="29" t="s">
        <v>3135</v>
      </c>
    </row>
    <row r="6" ht="15.75" customHeight="1">
      <c r="B6" s="36" t="s">
        <v>3067</v>
      </c>
      <c r="C6" s="32">
        <v>2022.0</v>
      </c>
      <c r="D6" s="30" t="s">
        <v>3136</v>
      </c>
      <c r="E6" s="31" t="str">
        <f>IFERROR(__xludf.DUMMYFUNCTION("IF(ISBLANK(D6), """", GOOGLETRANSLATE(D6, ""es"", ""en""))"),"Year / Period of Imputation")</f>
        <v>Year / Period of Imputation</v>
      </c>
      <c r="G6" s="30">
        <v>2022.0</v>
      </c>
      <c r="H6" s="30" t="s">
        <v>3137</v>
      </c>
      <c r="I6" s="30" t="s">
        <v>3138</v>
      </c>
      <c r="J6" s="30" t="s">
        <v>3139</v>
      </c>
      <c r="K6" s="30" t="s">
        <v>3140</v>
      </c>
      <c r="L6" s="30" t="s">
        <v>3141</v>
      </c>
      <c r="M6" s="30" t="s">
        <v>3142</v>
      </c>
      <c r="N6" s="30" t="s">
        <v>3143</v>
      </c>
      <c r="O6" s="30" t="s">
        <v>3144</v>
      </c>
      <c r="P6" s="30" t="s">
        <v>3145</v>
      </c>
      <c r="Q6" s="30" t="s">
        <v>3146</v>
      </c>
      <c r="R6" s="30" t="s">
        <v>3147</v>
      </c>
      <c r="S6" s="30" t="s">
        <v>3148</v>
      </c>
      <c r="T6" s="30" t="s">
        <v>3149</v>
      </c>
      <c r="U6" s="30" t="s">
        <v>3150</v>
      </c>
      <c r="V6" s="30" t="s">
        <v>3151</v>
      </c>
      <c r="W6" s="30" t="s">
        <v>3152</v>
      </c>
      <c r="X6" s="30" t="s">
        <v>3153</v>
      </c>
      <c r="Y6" s="30" t="s">
        <v>3154</v>
      </c>
      <c r="Z6" s="30" t="s">
        <v>3155</v>
      </c>
      <c r="AA6" s="30" t="s">
        <v>3156</v>
      </c>
      <c r="AB6" s="30">
        <v>0.0</v>
      </c>
      <c r="AC6" s="30">
        <v>9.9414E7</v>
      </c>
      <c r="AD6" s="30">
        <v>9.9414E7</v>
      </c>
      <c r="AE6" s="30">
        <v>0.0</v>
      </c>
      <c r="AF6" s="30">
        <v>9.9414E7</v>
      </c>
      <c r="AG6" s="30">
        <v>9.9414E7</v>
      </c>
    </row>
    <row r="7" ht="15.75" customHeight="1">
      <c r="B7" s="36" t="s">
        <v>3113</v>
      </c>
      <c r="C7" s="32" t="s">
        <v>3137</v>
      </c>
      <c r="D7" s="30" t="s">
        <v>3157</v>
      </c>
      <c r="E7" s="31" t="str">
        <f>IFERROR(__xludf.DUMMYFUNCTION("IF(ISBLANK(D7), """", GOOGLETRANSLATE(D7, ""es"", ""en""))"),"Section Name")</f>
        <v>Section Name</v>
      </c>
      <c r="G7" s="30">
        <v>2022.0</v>
      </c>
      <c r="H7" s="30" t="s">
        <v>3137</v>
      </c>
      <c r="I7" s="30" t="s">
        <v>3138</v>
      </c>
      <c r="J7" s="30" t="s">
        <v>3139</v>
      </c>
      <c r="K7" s="30" t="s">
        <v>3140</v>
      </c>
      <c r="L7" s="30" t="s">
        <v>3141</v>
      </c>
      <c r="M7" s="30" t="s">
        <v>3142</v>
      </c>
      <c r="N7" s="30" t="s">
        <v>3143</v>
      </c>
      <c r="O7" s="30" t="s">
        <v>3144</v>
      </c>
      <c r="P7" s="30" t="s">
        <v>3145</v>
      </c>
      <c r="Q7" s="30" t="s">
        <v>3146</v>
      </c>
      <c r="R7" s="30" t="s">
        <v>3147</v>
      </c>
      <c r="S7" s="30" t="s">
        <v>3148</v>
      </c>
      <c r="T7" s="30" t="s">
        <v>3149</v>
      </c>
      <c r="U7" s="30" t="s">
        <v>3150</v>
      </c>
      <c r="V7" s="30" t="s">
        <v>3151</v>
      </c>
      <c r="W7" s="30" t="s">
        <v>3152</v>
      </c>
      <c r="X7" s="30" t="s">
        <v>3153</v>
      </c>
      <c r="Y7" s="30" t="s">
        <v>3158</v>
      </c>
      <c r="Z7" s="30" t="s">
        <v>3159</v>
      </c>
      <c r="AA7" s="30" t="s">
        <v>3156</v>
      </c>
      <c r="AB7" s="30">
        <v>0.0</v>
      </c>
      <c r="AC7" s="30" t="s">
        <v>3160</v>
      </c>
      <c r="AD7" s="30" t="s">
        <v>3160</v>
      </c>
      <c r="AE7" s="30" t="s">
        <v>3161</v>
      </c>
      <c r="AF7" s="30" t="s">
        <v>3162</v>
      </c>
      <c r="AG7" s="30" t="s">
        <v>3162</v>
      </c>
    </row>
    <row r="8" ht="15.75" customHeight="1">
      <c r="B8" s="36" t="s">
        <v>3114</v>
      </c>
      <c r="C8" s="32" t="s">
        <v>3138</v>
      </c>
      <c r="D8" s="30" t="s">
        <v>3163</v>
      </c>
      <c r="E8" s="31" t="str">
        <f>IFERROR(__xludf.DUMMYFUNCTION("IF(ISBLANK(D8), """", GOOGLETRANSLATE(D8, ""es"", ""en""))"),"Chapter name")</f>
        <v>Chapter name</v>
      </c>
      <c r="G8" s="30">
        <v>2022.0</v>
      </c>
      <c r="H8" s="30" t="s">
        <v>3137</v>
      </c>
      <c r="I8" s="30" t="s">
        <v>3138</v>
      </c>
      <c r="J8" s="30" t="s">
        <v>3139</v>
      </c>
      <c r="K8" s="30" t="s">
        <v>3140</v>
      </c>
      <c r="L8" s="30" t="s">
        <v>3141</v>
      </c>
      <c r="M8" s="30" t="s">
        <v>3142</v>
      </c>
      <c r="N8" s="30" t="s">
        <v>3143</v>
      </c>
      <c r="O8" s="30" t="s">
        <v>3144</v>
      </c>
      <c r="P8" s="30" t="s">
        <v>3145</v>
      </c>
      <c r="Q8" s="30" t="s">
        <v>3146</v>
      </c>
      <c r="R8" s="30" t="s">
        <v>3147</v>
      </c>
      <c r="S8" s="30" t="s">
        <v>3148</v>
      </c>
      <c r="T8" s="30" t="s">
        <v>3149</v>
      </c>
      <c r="U8" s="30" t="s">
        <v>3150</v>
      </c>
      <c r="V8" s="30" t="s">
        <v>3151</v>
      </c>
      <c r="W8" s="30" t="s">
        <v>3152</v>
      </c>
      <c r="X8" s="30" t="s">
        <v>3164</v>
      </c>
      <c r="Y8" s="30" t="s">
        <v>3165</v>
      </c>
      <c r="Z8" s="30" t="s">
        <v>3166</v>
      </c>
      <c r="AA8" s="30" t="s">
        <v>3156</v>
      </c>
      <c r="AB8" s="30">
        <v>0.0</v>
      </c>
      <c r="AC8" s="30" t="s">
        <v>3167</v>
      </c>
      <c r="AD8" s="30" t="s">
        <v>3167</v>
      </c>
      <c r="AE8" s="30" t="s">
        <v>3168</v>
      </c>
      <c r="AF8" s="30" t="s">
        <v>3169</v>
      </c>
      <c r="AG8" s="30" t="s">
        <v>3169</v>
      </c>
    </row>
    <row r="9" ht="15.75" customHeight="1">
      <c r="B9" s="36" t="s">
        <v>3115</v>
      </c>
      <c r="C9" s="32" t="s">
        <v>3139</v>
      </c>
      <c r="D9" s="30" t="s">
        <v>3170</v>
      </c>
      <c r="E9" s="31" t="str">
        <f>IFERROR(__xludf.DUMMYFUNCTION("IF(ISBLANK(D9), """", GOOGLETRANSLATE(D9, ""es"", ""en""))"),"Subchapter name")</f>
        <v>Subchapter name</v>
      </c>
      <c r="G9" s="30">
        <v>2022.0</v>
      </c>
      <c r="H9" s="30" t="s">
        <v>3137</v>
      </c>
      <c r="I9" s="30" t="s">
        <v>3138</v>
      </c>
      <c r="J9" s="30" t="s">
        <v>3139</v>
      </c>
      <c r="K9" s="30" t="s">
        <v>3140</v>
      </c>
      <c r="L9" s="30" t="s">
        <v>3171</v>
      </c>
      <c r="M9" s="30" t="s">
        <v>3172</v>
      </c>
      <c r="N9" s="30" t="s">
        <v>3173</v>
      </c>
      <c r="O9" s="30" t="s">
        <v>3174</v>
      </c>
      <c r="P9" s="30" t="s">
        <v>3145</v>
      </c>
      <c r="Q9" s="30" t="s">
        <v>3146</v>
      </c>
      <c r="R9" s="30" t="s">
        <v>3147</v>
      </c>
      <c r="S9" s="30" t="s">
        <v>3175</v>
      </c>
      <c r="T9" s="30" t="s">
        <v>3176</v>
      </c>
      <c r="U9" s="30" t="s">
        <v>3177</v>
      </c>
      <c r="V9" s="30" t="s">
        <v>3151</v>
      </c>
      <c r="W9" s="30" t="s">
        <v>3178</v>
      </c>
      <c r="X9" s="30" t="s">
        <v>3179</v>
      </c>
      <c r="Y9" s="30" t="s">
        <v>3180</v>
      </c>
      <c r="Z9" s="30" t="s">
        <v>3181</v>
      </c>
      <c r="AA9" s="30" t="s">
        <v>3182</v>
      </c>
      <c r="AB9" s="30">
        <v>0.0</v>
      </c>
      <c r="AC9" s="30" t="s">
        <v>3183</v>
      </c>
      <c r="AD9" s="30" t="s">
        <v>3183</v>
      </c>
      <c r="AE9" s="30">
        <v>0.0</v>
      </c>
      <c r="AF9" s="30" t="s">
        <v>3183</v>
      </c>
      <c r="AG9" s="30" t="s">
        <v>3183</v>
      </c>
    </row>
    <row r="10" ht="15.75" customHeight="1">
      <c r="B10" s="36" t="s">
        <v>3116</v>
      </c>
      <c r="C10" s="32" t="s">
        <v>3140</v>
      </c>
      <c r="D10" s="30" t="s">
        <v>3184</v>
      </c>
      <c r="E10" s="31" t="str">
        <f>IFERROR(__xludf.DUMMYFUNCTION("IF(ISBLANK(D10), """", GOOGLETRANSLATE(D10, ""es"", ""en""))"),"Name of the Executing Unit")</f>
        <v>Name of the Executing Unit</v>
      </c>
      <c r="G10" s="30">
        <v>2022.0</v>
      </c>
      <c r="H10" s="30" t="s">
        <v>3137</v>
      </c>
      <c r="I10" s="30" t="s">
        <v>3138</v>
      </c>
      <c r="J10" s="30" t="s">
        <v>3139</v>
      </c>
      <c r="K10" s="30" t="s">
        <v>3140</v>
      </c>
      <c r="L10" s="30" t="s">
        <v>3185</v>
      </c>
      <c r="M10" s="30" t="s">
        <v>3186</v>
      </c>
      <c r="N10" s="30" t="s">
        <v>3187</v>
      </c>
      <c r="O10" s="30" t="s">
        <v>3188</v>
      </c>
      <c r="P10" s="30" t="s">
        <v>3145</v>
      </c>
      <c r="Q10" s="30" t="s">
        <v>3146</v>
      </c>
      <c r="R10" s="30" t="s">
        <v>3147</v>
      </c>
      <c r="S10" s="30" t="s">
        <v>3148</v>
      </c>
      <c r="T10" s="30" t="s">
        <v>3149</v>
      </c>
      <c r="U10" s="30" t="s">
        <v>3189</v>
      </c>
      <c r="V10" s="30" t="s">
        <v>3151</v>
      </c>
      <c r="W10" s="30" t="s">
        <v>3190</v>
      </c>
      <c r="X10" s="30" t="s">
        <v>3191</v>
      </c>
      <c r="Y10" s="30" t="s">
        <v>3192</v>
      </c>
      <c r="Z10" s="30" t="s">
        <v>3193</v>
      </c>
      <c r="AA10" s="30" t="s">
        <v>3194</v>
      </c>
      <c r="AB10" s="30">
        <v>0.0</v>
      </c>
      <c r="AC10" s="30">
        <v>1800000.0</v>
      </c>
      <c r="AD10" s="30">
        <v>1800000.0</v>
      </c>
      <c r="AE10" s="30">
        <v>0.0</v>
      </c>
      <c r="AF10" s="30">
        <v>1800000.0</v>
      </c>
      <c r="AG10" s="30">
        <v>1800000.0</v>
      </c>
    </row>
    <row r="11" ht="15.75" customHeight="1">
      <c r="B11" s="36" t="s">
        <v>3117</v>
      </c>
      <c r="C11" s="32" t="s">
        <v>3141</v>
      </c>
      <c r="D11" s="30" t="s">
        <v>3195</v>
      </c>
      <c r="E11" s="31" t="str">
        <f>IFERROR(__xludf.DUMMYFUNCTION("IF(ISBLANK(D11), """", GOOGLETRANSLATE(D11, ""es"", ""en""))"),"Budget line program")</f>
        <v>Budget line program</v>
      </c>
      <c r="G11" s="30">
        <v>2022.0</v>
      </c>
      <c r="H11" s="30" t="s">
        <v>3137</v>
      </c>
      <c r="I11" s="30" t="s">
        <v>3138</v>
      </c>
      <c r="J11" s="30" t="s">
        <v>3139</v>
      </c>
      <c r="K11" s="30" t="s">
        <v>3140</v>
      </c>
      <c r="L11" s="30" t="s">
        <v>3185</v>
      </c>
      <c r="M11" s="30" t="s">
        <v>3186</v>
      </c>
      <c r="N11" s="30" t="s">
        <v>3187</v>
      </c>
      <c r="O11" s="30" t="s">
        <v>3188</v>
      </c>
      <c r="P11" s="30" t="s">
        <v>3145</v>
      </c>
      <c r="Q11" s="30" t="s">
        <v>3146</v>
      </c>
      <c r="R11" s="30" t="s">
        <v>3147</v>
      </c>
      <c r="S11" s="30" t="s">
        <v>3148</v>
      </c>
      <c r="T11" s="30" t="s">
        <v>3149</v>
      </c>
      <c r="U11" s="30" t="s">
        <v>3189</v>
      </c>
      <c r="V11" s="30" t="s">
        <v>3151</v>
      </c>
      <c r="W11" s="30" t="s">
        <v>3178</v>
      </c>
      <c r="X11" s="30" t="s">
        <v>3196</v>
      </c>
      <c r="Y11" s="30" t="s">
        <v>3197</v>
      </c>
      <c r="Z11" s="30" t="s">
        <v>3198</v>
      </c>
      <c r="AA11" s="30" t="s">
        <v>3199</v>
      </c>
      <c r="AB11" s="30">
        <v>0.0</v>
      </c>
      <c r="AC11" s="30" t="s">
        <v>3200</v>
      </c>
      <c r="AD11" s="30" t="s">
        <v>3200</v>
      </c>
      <c r="AE11" s="30" t="s">
        <v>3201</v>
      </c>
      <c r="AF11" s="30" t="s">
        <v>3202</v>
      </c>
      <c r="AG11" s="30" t="s">
        <v>3202</v>
      </c>
    </row>
    <row r="12" ht="15.75" customHeight="1">
      <c r="B12" s="36" t="s">
        <v>3118</v>
      </c>
      <c r="C12" s="32" t="s">
        <v>3142</v>
      </c>
      <c r="D12" s="30" t="s">
        <v>3203</v>
      </c>
      <c r="E12" s="31" t="str">
        <f>IFERROR(__xludf.DUMMYFUNCTION("IF(ISBLANK(D12), """", GOOGLETRANSLATE(D12, ""es"", ""en""))"),"Product name")</f>
        <v>Product name</v>
      </c>
      <c r="G12" s="30">
        <v>2022.0</v>
      </c>
      <c r="H12" s="30" t="s">
        <v>3137</v>
      </c>
      <c r="I12" s="30" t="s">
        <v>3138</v>
      </c>
      <c r="J12" s="30" t="s">
        <v>3139</v>
      </c>
      <c r="K12" s="30" t="s">
        <v>3140</v>
      </c>
      <c r="L12" s="30" t="s">
        <v>3185</v>
      </c>
      <c r="M12" s="30" t="s">
        <v>3186</v>
      </c>
      <c r="N12" s="30" t="s">
        <v>3187</v>
      </c>
      <c r="O12" s="30" t="s">
        <v>3188</v>
      </c>
      <c r="P12" s="30" t="s">
        <v>3145</v>
      </c>
      <c r="Q12" s="30" t="s">
        <v>3146</v>
      </c>
      <c r="R12" s="30" t="s">
        <v>3147</v>
      </c>
      <c r="S12" s="30" t="s">
        <v>3148</v>
      </c>
      <c r="T12" s="30" t="s">
        <v>3149</v>
      </c>
      <c r="U12" s="30" t="s">
        <v>3189</v>
      </c>
      <c r="V12" s="30" t="s">
        <v>3151</v>
      </c>
      <c r="W12" s="30" t="s">
        <v>3178</v>
      </c>
      <c r="X12" s="30" t="s">
        <v>3196</v>
      </c>
      <c r="Y12" s="30" t="s">
        <v>3197</v>
      </c>
      <c r="Z12" s="30" t="s">
        <v>3198</v>
      </c>
      <c r="AA12" s="30" t="s">
        <v>3204</v>
      </c>
      <c r="AB12" s="30">
        <v>0.0</v>
      </c>
      <c r="AC12" s="30" t="s">
        <v>3205</v>
      </c>
      <c r="AD12" s="30" t="s">
        <v>3205</v>
      </c>
      <c r="AE12" s="30">
        <v>0.0</v>
      </c>
      <c r="AF12" s="30" t="s">
        <v>3205</v>
      </c>
      <c r="AG12" s="30" t="s">
        <v>3205</v>
      </c>
    </row>
    <row r="13" ht="15.75" customHeight="1">
      <c r="B13" s="36" t="s">
        <v>3119</v>
      </c>
      <c r="C13" s="32" t="s">
        <v>3143</v>
      </c>
      <c r="D13" s="30" t="s">
        <v>1818</v>
      </c>
      <c r="E13" s="31" t="str">
        <f>IFERROR(__xludf.DUMMYFUNCTION("IF(ISBLANK(D13), """", GOOGLETRANSLATE(D13, ""es"", ""en""))"),"Project's name")</f>
        <v>Project's name</v>
      </c>
      <c r="G13" s="30">
        <v>2022.0</v>
      </c>
      <c r="H13" s="30" t="s">
        <v>3137</v>
      </c>
      <c r="I13" s="30" t="s">
        <v>3138</v>
      </c>
      <c r="J13" s="30" t="s">
        <v>3139</v>
      </c>
      <c r="K13" s="30" t="s">
        <v>3140</v>
      </c>
      <c r="L13" s="30" t="s">
        <v>3185</v>
      </c>
      <c r="M13" s="30" t="s">
        <v>3186</v>
      </c>
      <c r="N13" s="30" t="s">
        <v>3187</v>
      </c>
      <c r="O13" s="30" t="s">
        <v>3188</v>
      </c>
      <c r="P13" s="30" t="s">
        <v>3145</v>
      </c>
      <c r="Q13" s="30" t="s">
        <v>3146</v>
      </c>
      <c r="R13" s="30" t="s">
        <v>3147</v>
      </c>
      <c r="S13" s="30" t="s">
        <v>3148</v>
      </c>
      <c r="T13" s="30" t="s">
        <v>3206</v>
      </c>
      <c r="U13" s="30" t="s">
        <v>3207</v>
      </c>
      <c r="V13" s="30" t="s">
        <v>3151</v>
      </c>
      <c r="W13" s="30" t="s">
        <v>3190</v>
      </c>
      <c r="X13" s="30" t="s">
        <v>3208</v>
      </c>
      <c r="Y13" s="30" t="s">
        <v>3209</v>
      </c>
      <c r="Z13" s="30" t="s">
        <v>3210</v>
      </c>
      <c r="AA13" s="30" t="s">
        <v>3211</v>
      </c>
      <c r="AB13" s="30">
        <v>0.0</v>
      </c>
      <c r="AC13" s="30">
        <v>1.3072472E7</v>
      </c>
      <c r="AD13" s="30">
        <v>1.3072472E7</v>
      </c>
      <c r="AE13" s="30">
        <v>0.0</v>
      </c>
      <c r="AF13" s="30">
        <v>1.3072472E7</v>
      </c>
      <c r="AG13" s="30">
        <v>1.3072472E7</v>
      </c>
    </row>
    <row r="14" ht="15.75" customHeight="1">
      <c r="B14" s="36" t="s">
        <v>3120</v>
      </c>
      <c r="C14" s="32" t="s">
        <v>3144</v>
      </c>
      <c r="D14" s="30" t="s">
        <v>3212</v>
      </c>
      <c r="E14" s="31" t="str">
        <f>IFERROR(__xludf.DUMMYFUNCTION("IF(ISBLANK(D14), """", GOOGLETRANSLATE(D14, ""es"", ""en""))"),"Name of the activity")</f>
        <v>Name of the activity</v>
      </c>
      <c r="G14" s="30">
        <v>2022.0</v>
      </c>
      <c r="H14" s="30" t="s">
        <v>3137</v>
      </c>
      <c r="I14" s="30" t="s">
        <v>3138</v>
      </c>
      <c r="J14" s="30" t="s">
        <v>3139</v>
      </c>
      <c r="K14" s="30" t="s">
        <v>3140</v>
      </c>
      <c r="L14" s="30" t="s">
        <v>3185</v>
      </c>
      <c r="M14" s="30" t="s">
        <v>3186</v>
      </c>
      <c r="N14" s="30" t="s">
        <v>3187</v>
      </c>
      <c r="O14" s="30" t="s">
        <v>3188</v>
      </c>
      <c r="P14" s="30" t="s">
        <v>3145</v>
      </c>
      <c r="Q14" s="30" t="s">
        <v>3146</v>
      </c>
      <c r="R14" s="30" t="s">
        <v>3147</v>
      </c>
      <c r="S14" s="30" t="s">
        <v>3148</v>
      </c>
      <c r="T14" s="30" t="s">
        <v>3206</v>
      </c>
      <c r="U14" s="30" t="s">
        <v>3207</v>
      </c>
      <c r="V14" s="30" t="s">
        <v>3151</v>
      </c>
      <c r="W14" s="30" t="s">
        <v>3178</v>
      </c>
      <c r="X14" s="30" t="s">
        <v>3213</v>
      </c>
      <c r="Y14" s="30" t="s">
        <v>3214</v>
      </c>
      <c r="Z14" s="30" t="s">
        <v>3215</v>
      </c>
      <c r="AA14" s="30" t="s">
        <v>3211</v>
      </c>
      <c r="AB14" s="30">
        <v>0.0</v>
      </c>
      <c r="AC14" s="30">
        <v>1.37185E7</v>
      </c>
      <c r="AD14" s="30">
        <v>1.37185E7</v>
      </c>
      <c r="AE14" s="30">
        <v>0.0</v>
      </c>
      <c r="AF14" s="30">
        <v>1.37185E7</v>
      </c>
      <c r="AG14" s="30">
        <v>1.37185E7</v>
      </c>
    </row>
    <row r="15" ht="15.75" customHeight="1">
      <c r="B15" s="36" t="s">
        <v>3121</v>
      </c>
      <c r="C15" s="32" t="s">
        <v>3145</v>
      </c>
      <c r="D15" s="30" t="s">
        <v>3216</v>
      </c>
      <c r="E15" s="31" t="str">
        <f>IFERROR(__xludf.DUMMYFUNCTION("IF(ISBLANK(D15), """", GOOGLETRANSLATE(D15, ""es"", ""en""))"),"Name of the Financing Organization")</f>
        <v>Name of the Financing Organization</v>
      </c>
      <c r="G15" s="30">
        <v>2022.0</v>
      </c>
      <c r="H15" s="30" t="s">
        <v>3137</v>
      </c>
      <c r="I15" s="30" t="s">
        <v>3138</v>
      </c>
      <c r="J15" s="30" t="s">
        <v>3139</v>
      </c>
      <c r="K15" s="30" t="s">
        <v>3140</v>
      </c>
      <c r="L15" s="30" t="s">
        <v>3185</v>
      </c>
      <c r="M15" s="30" t="s">
        <v>3186</v>
      </c>
      <c r="N15" s="30" t="s">
        <v>3187</v>
      </c>
      <c r="O15" s="30" t="s">
        <v>3188</v>
      </c>
      <c r="P15" s="30" t="s">
        <v>3145</v>
      </c>
      <c r="Q15" s="30" t="s">
        <v>3146</v>
      </c>
      <c r="R15" s="30" t="s">
        <v>3147</v>
      </c>
      <c r="S15" s="30" t="s">
        <v>3175</v>
      </c>
      <c r="T15" s="30" t="s">
        <v>3217</v>
      </c>
      <c r="U15" s="30" t="s">
        <v>3218</v>
      </c>
      <c r="V15" s="30" t="s">
        <v>3151</v>
      </c>
      <c r="W15" s="30" t="s">
        <v>3178</v>
      </c>
      <c r="X15" s="30" t="s">
        <v>3213</v>
      </c>
      <c r="Y15" s="30" t="s">
        <v>3219</v>
      </c>
      <c r="Z15" s="30" t="s">
        <v>3220</v>
      </c>
      <c r="AA15" s="30" t="s">
        <v>3221</v>
      </c>
      <c r="AB15" s="30">
        <v>0.0</v>
      </c>
      <c r="AC15" s="30" t="s">
        <v>3222</v>
      </c>
      <c r="AD15" s="30" t="s">
        <v>3222</v>
      </c>
      <c r="AE15" s="30">
        <v>0.0</v>
      </c>
      <c r="AF15" s="30" t="s">
        <v>3222</v>
      </c>
      <c r="AG15" s="30" t="s">
        <v>3222</v>
      </c>
    </row>
    <row r="16" ht="15.75" customHeight="1">
      <c r="B16" s="36" t="s">
        <v>3122</v>
      </c>
      <c r="C16" s="32" t="s">
        <v>3146</v>
      </c>
      <c r="D16" s="30" t="s">
        <v>3223</v>
      </c>
      <c r="E16" s="31" t="str">
        <f>IFERROR(__xludf.DUMMYFUNCTION("IF(ISBLANK(D16), """", GOOGLETRANSLATE(D16, ""es"", ""en""))"),"Name of Funding Source")</f>
        <v>Name of Funding Source</v>
      </c>
      <c r="G16" s="30">
        <v>2022.0</v>
      </c>
      <c r="H16" s="30" t="s">
        <v>3137</v>
      </c>
      <c r="I16" s="30" t="s">
        <v>3138</v>
      </c>
      <c r="J16" s="30" t="s">
        <v>3139</v>
      </c>
      <c r="K16" s="30" t="s">
        <v>991</v>
      </c>
      <c r="L16" s="30" t="s">
        <v>3224</v>
      </c>
      <c r="M16" s="30" t="s">
        <v>3225</v>
      </c>
      <c r="N16" s="30" t="s">
        <v>3226</v>
      </c>
      <c r="O16" s="30" t="s">
        <v>3227</v>
      </c>
      <c r="P16" s="30" t="s">
        <v>3145</v>
      </c>
      <c r="Q16" s="30" t="s">
        <v>3146</v>
      </c>
      <c r="R16" s="30" t="s">
        <v>3147</v>
      </c>
      <c r="S16" s="30" t="s">
        <v>3148</v>
      </c>
      <c r="T16" s="30" t="s">
        <v>3149</v>
      </c>
      <c r="U16" s="30" t="s">
        <v>3150</v>
      </c>
      <c r="V16" s="30" t="s">
        <v>3151</v>
      </c>
      <c r="W16" s="30" t="s">
        <v>3152</v>
      </c>
      <c r="X16" s="30" t="s">
        <v>3153</v>
      </c>
      <c r="Y16" s="30" t="s">
        <v>3158</v>
      </c>
      <c r="Z16" s="30" t="s">
        <v>3159</v>
      </c>
      <c r="AA16" s="30" t="s">
        <v>3156</v>
      </c>
      <c r="AB16" s="30">
        <v>0.0</v>
      </c>
      <c r="AC16" s="30">
        <v>1.4085464E8</v>
      </c>
      <c r="AD16" s="30">
        <v>1.4085464E8</v>
      </c>
      <c r="AE16" s="30" t="s">
        <v>3228</v>
      </c>
      <c r="AF16" s="30" t="s">
        <v>3229</v>
      </c>
      <c r="AG16" s="30" t="s">
        <v>3229</v>
      </c>
    </row>
    <row r="17" ht="15.75" customHeight="1">
      <c r="B17" s="36" t="s">
        <v>3123</v>
      </c>
      <c r="C17" s="32" t="s">
        <v>3147</v>
      </c>
      <c r="D17" s="30" t="s">
        <v>3230</v>
      </c>
      <c r="E17" s="31" t="str">
        <f>IFERROR(__xludf.DUMMYFUNCTION("IF(ISBLANK(D17), """", GOOGLETRANSLATE(D17, ""es"", ""en""))"),"Specific Source Name")</f>
        <v>Specific Source Name</v>
      </c>
      <c r="G17" s="30">
        <v>2022.0</v>
      </c>
      <c r="H17" s="30" t="s">
        <v>3137</v>
      </c>
      <c r="I17" s="30" t="s">
        <v>3138</v>
      </c>
      <c r="J17" s="30" t="s">
        <v>3139</v>
      </c>
      <c r="K17" s="30" t="s">
        <v>991</v>
      </c>
      <c r="L17" s="30" t="s">
        <v>3224</v>
      </c>
      <c r="M17" s="30" t="s">
        <v>3225</v>
      </c>
      <c r="N17" s="30" t="s">
        <v>3226</v>
      </c>
      <c r="O17" s="30" t="s">
        <v>3227</v>
      </c>
      <c r="P17" s="30" t="s">
        <v>3145</v>
      </c>
      <c r="Q17" s="30" t="s">
        <v>3146</v>
      </c>
      <c r="R17" s="30" t="s">
        <v>3147</v>
      </c>
      <c r="S17" s="30" t="s">
        <v>3148</v>
      </c>
      <c r="T17" s="30" t="s">
        <v>3149</v>
      </c>
      <c r="U17" s="30" t="s">
        <v>3150</v>
      </c>
      <c r="V17" s="30" t="s">
        <v>3151</v>
      </c>
      <c r="W17" s="30" t="s">
        <v>3152</v>
      </c>
      <c r="X17" s="30" t="s">
        <v>3164</v>
      </c>
      <c r="Y17" s="30" t="s">
        <v>3231</v>
      </c>
      <c r="Z17" s="30" t="s">
        <v>3232</v>
      </c>
      <c r="AA17" s="30" t="s">
        <v>3156</v>
      </c>
      <c r="AB17" s="30">
        <v>0.0</v>
      </c>
      <c r="AC17" s="30">
        <v>5.0E7</v>
      </c>
      <c r="AD17" s="30">
        <v>5.0E7</v>
      </c>
      <c r="AE17" s="30">
        <v>1036490.0</v>
      </c>
      <c r="AF17" s="30">
        <v>4.896351E7</v>
      </c>
      <c r="AG17" s="30">
        <v>4.896351E7</v>
      </c>
    </row>
    <row r="18" ht="15.75" customHeight="1">
      <c r="B18" s="36" t="s">
        <v>3124</v>
      </c>
      <c r="C18" s="32" t="s">
        <v>3148</v>
      </c>
      <c r="D18" s="30" t="s">
        <v>3233</v>
      </c>
      <c r="E18" s="31" t="str">
        <f>IFERROR(__xludf.DUMMYFUNCTION("IF(ISBLANK(D18), """", GOOGLETRANSLATE(D18, ""es"", ""en""))"),"Purpose Name")</f>
        <v>Purpose Name</v>
      </c>
      <c r="G18" s="30">
        <v>2022.0</v>
      </c>
      <c r="H18" s="30" t="s">
        <v>3137</v>
      </c>
      <c r="I18" s="30" t="s">
        <v>3138</v>
      </c>
      <c r="J18" s="30" t="s">
        <v>3139</v>
      </c>
      <c r="K18" s="30" t="s">
        <v>991</v>
      </c>
      <c r="L18" s="30" t="s">
        <v>3224</v>
      </c>
      <c r="M18" s="30" t="s">
        <v>3225</v>
      </c>
      <c r="N18" s="30" t="s">
        <v>3226</v>
      </c>
      <c r="O18" s="30" t="s">
        <v>3227</v>
      </c>
      <c r="P18" s="30" t="s">
        <v>3145</v>
      </c>
      <c r="Q18" s="30" t="s">
        <v>3146</v>
      </c>
      <c r="R18" s="30" t="s">
        <v>3147</v>
      </c>
      <c r="S18" s="30" t="s">
        <v>3148</v>
      </c>
      <c r="T18" s="30" t="s">
        <v>3149</v>
      </c>
      <c r="U18" s="30" t="s">
        <v>3150</v>
      </c>
      <c r="V18" s="30" t="s">
        <v>3151</v>
      </c>
      <c r="W18" s="30" t="s">
        <v>3152</v>
      </c>
      <c r="X18" s="30" t="s">
        <v>3164</v>
      </c>
      <c r="Y18" s="30" t="s">
        <v>3165</v>
      </c>
      <c r="Z18" s="30" t="s">
        <v>3234</v>
      </c>
      <c r="AA18" s="30" t="s">
        <v>3156</v>
      </c>
      <c r="AB18" s="30">
        <v>0.0</v>
      </c>
      <c r="AC18" s="30">
        <v>2.70856E7</v>
      </c>
      <c r="AD18" s="30">
        <v>2.70856E7</v>
      </c>
      <c r="AE18" s="30">
        <v>9822160.0</v>
      </c>
      <c r="AF18" s="30">
        <v>1.726344E7</v>
      </c>
      <c r="AG18" s="30">
        <v>1.726344E7</v>
      </c>
    </row>
    <row r="19" ht="15.75" customHeight="1">
      <c r="B19" s="36" t="s">
        <v>3125</v>
      </c>
      <c r="C19" s="32" t="s">
        <v>3149</v>
      </c>
      <c r="D19" s="30" t="s">
        <v>3235</v>
      </c>
      <c r="E19" s="31" t="str">
        <f>IFERROR(__xludf.DUMMYFUNCTION("IF(ISBLANK(D19), """", GOOGLETRANSLATE(D19, ""es"", ""en""))"),"Name of the Function / Sector")</f>
        <v>Name of the Function / Sector</v>
      </c>
      <c r="G19" s="30">
        <v>2022.0</v>
      </c>
      <c r="H19" s="30" t="s">
        <v>3137</v>
      </c>
      <c r="I19" s="30" t="s">
        <v>3138</v>
      </c>
      <c r="J19" s="30" t="s">
        <v>3139</v>
      </c>
      <c r="K19" s="30" t="s">
        <v>991</v>
      </c>
      <c r="L19" s="30" t="s">
        <v>3224</v>
      </c>
      <c r="M19" s="30" t="s">
        <v>3225</v>
      </c>
      <c r="N19" s="30" t="s">
        <v>3226</v>
      </c>
      <c r="O19" s="30" t="s">
        <v>3227</v>
      </c>
      <c r="P19" s="30" t="s">
        <v>3145</v>
      </c>
      <c r="Q19" s="30" t="s">
        <v>3146</v>
      </c>
      <c r="R19" s="30" t="s">
        <v>3147</v>
      </c>
      <c r="S19" s="30" t="s">
        <v>3148</v>
      </c>
      <c r="T19" s="30" t="s">
        <v>3149</v>
      </c>
      <c r="U19" s="30" t="s">
        <v>3150</v>
      </c>
      <c r="V19" s="30" t="s">
        <v>3151</v>
      </c>
      <c r="W19" s="30" t="s">
        <v>3152</v>
      </c>
      <c r="X19" s="30" t="s">
        <v>3164</v>
      </c>
      <c r="Y19" s="30" t="s">
        <v>3165</v>
      </c>
      <c r="Z19" s="30" t="s">
        <v>3166</v>
      </c>
      <c r="AA19" s="30" t="s">
        <v>3156</v>
      </c>
      <c r="AB19" s="30">
        <v>0.0</v>
      </c>
      <c r="AC19" s="30">
        <v>2.82256E7</v>
      </c>
      <c r="AD19" s="30">
        <v>2.82256E7</v>
      </c>
      <c r="AE19" s="30" t="s">
        <v>3236</v>
      </c>
      <c r="AF19" s="30" t="s">
        <v>3237</v>
      </c>
      <c r="AG19" s="30" t="s">
        <v>3237</v>
      </c>
    </row>
    <row r="20" ht="15.75" customHeight="1">
      <c r="B20" s="36" t="s">
        <v>3126</v>
      </c>
      <c r="C20" s="32" t="s">
        <v>3150</v>
      </c>
      <c r="D20" s="30" t="s">
        <v>3238</v>
      </c>
      <c r="E20" s="31" t="str">
        <f>IFERROR(__xludf.DUMMYFUNCTION("IF(ISBLANK(D20), """", GOOGLETRANSLATE(D20, ""es"", ""en""))"),"Sub function name")</f>
        <v>Sub function name</v>
      </c>
      <c r="G20" s="30">
        <v>2022.0</v>
      </c>
      <c r="H20" s="30" t="s">
        <v>3137</v>
      </c>
      <c r="I20" s="30" t="s">
        <v>3138</v>
      </c>
      <c r="J20" s="30" t="s">
        <v>3139</v>
      </c>
      <c r="K20" s="30" t="s">
        <v>991</v>
      </c>
      <c r="L20" s="30" t="s">
        <v>3224</v>
      </c>
      <c r="M20" s="30" t="s">
        <v>3225</v>
      </c>
      <c r="N20" s="30" t="s">
        <v>3226</v>
      </c>
      <c r="O20" s="30" t="s">
        <v>3227</v>
      </c>
      <c r="P20" s="30" t="s">
        <v>3145</v>
      </c>
      <c r="Q20" s="30" t="s">
        <v>3146</v>
      </c>
      <c r="R20" s="30" t="s">
        <v>3147</v>
      </c>
      <c r="S20" s="30" t="s">
        <v>3148</v>
      </c>
      <c r="T20" s="30" t="s">
        <v>3149</v>
      </c>
      <c r="U20" s="30" t="s">
        <v>3150</v>
      </c>
      <c r="V20" s="30" t="s">
        <v>3151</v>
      </c>
      <c r="W20" s="30" t="s">
        <v>3239</v>
      </c>
      <c r="X20" s="30" t="s">
        <v>3240</v>
      </c>
      <c r="Y20" s="30" t="s">
        <v>3241</v>
      </c>
      <c r="Z20" s="30" t="s">
        <v>3242</v>
      </c>
      <c r="AA20" s="30" t="s">
        <v>3156</v>
      </c>
      <c r="AB20" s="30">
        <v>0.0</v>
      </c>
      <c r="AC20" s="30">
        <v>1.0E7</v>
      </c>
      <c r="AD20" s="30">
        <v>1.0E7</v>
      </c>
      <c r="AE20" s="30" t="s">
        <v>3243</v>
      </c>
      <c r="AF20" s="30" t="s">
        <v>3244</v>
      </c>
      <c r="AG20" s="30" t="s">
        <v>3244</v>
      </c>
    </row>
    <row r="21" ht="15.75" customHeight="1">
      <c r="B21" s="36" t="s">
        <v>3127</v>
      </c>
      <c r="C21" s="32" t="s">
        <v>3151</v>
      </c>
      <c r="D21" s="30" t="s">
        <v>3245</v>
      </c>
      <c r="E21" s="31" t="str">
        <f>IFERROR(__xludf.DUMMYFUNCTION("IF(ISBLANK(D21), """", GOOGLETRANSLATE(D21, ""es"", ""en""))"),"Account type")</f>
        <v>Account type</v>
      </c>
    </row>
    <row r="22" ht="15.75" customHeight="1">
      <c r="B22" s="36" t="s">
        <v>3128</v>
      </c>
      <c r="C22" s="32" t="s">
        <v>3152</v>
      </c>
      <c r="D22" s="30" t="s">
        <v>3246</v>
      </c>
      <c r="E22" s="31" t="str">
        <f>IFERROR(__xludf.DUMMYFUNCTION("IF(ISBLANK(D22), """", GOOGLETRANSLATE(D22, ""es"", ""en""))"),"Accounting concept")</f>
        <v>Accounting concept</v>
      </c>
    </row>
    <row r="23" ht="15.75" customHeight="1">
      <c r="B23" s="36" t="s">
        <v>3129</v>
      </c>
      <c r="C23" s="32" t="s">
        <v>3153</v>
      </c>
      <c r="D23" s="30" t="s">
        <v>3247</v>
      </c>
      <c r="E23" s="31" t="str">
        <f>IFERROR(__xludf.DUMMYFUNCTION("IF(ISBLANK(D23), """", GOOGLETRANSLATE(D23, ""es"", ""en""))"),"Account name")</f>
        <v>Account name</v>
      </c>
    </row>
    <row r="24" ht="15.75" customHeight="1">
      <c r="B24" s="36" t="s">
        <v>3130</v>
      </c>
      <c r="C24" s="32" t="s">
        <v>3154</v>
      </c>
      <c r="D24" s="30" t="s">
        <v>3248</v>
      </c>
      <c r="E24" s="31" t="str">
        <f>IFERROR(__xludf.DUMMYFUNCTION("IF(ISBLANK(D24), """", GOOGLETRANSLATE(D24, ""es"", ""en""))"),"Accounting Sub Account Name")</f>
        <v>Accounting Sub Account Name</v>
      </c>
    </row>
    <row r="25" ht="15.75" customHeight="1">
      <c r="B25" s="36" t="s">
        <v>3131</v>
      </c>
      <c r="C25" s="32" t="s">
        <v>3155</v>
      </c>
      <c r="D25" s="30" t="s">
        <v>3249</v>
      </c>
      <c r="E25" s="31" t="str">
        <f>IFERROR(__xludf.DUMMYFUNCTION("IF(ISBLANK(D25), """", GOOGLETRANSLATE(D25, ""es"", ""en""))"),"Accounting assistant")</f>
        <v>Accounting assistant</v>
      </c>
    </row>
    <row r="26" ht="15.75" customHeight="1">
      <c r="B26" s="36" t="s">
        <v>3132</v>
      </c>
      <c r="C26" s="32" t="s">
        <v>3156</v>
      </c>
      <c r="D26" s="30" t="s">
        <v>3250</v>
      </c>
      <c r="E26" s="31" t="str">
        <f>IFERROR(__xludf.DUMMYFUNCTION("IF(ISBLANK(D26), """", GOOGLETRANSLATE(D26, ""es"", ""en""))"),"Receiving institution")</f>
        <v>Receiving institution</v>
      </c>
    </row>
    <row r="27" ht="15.75" customHeight="1">
      <c r="B27" s="36" t="s">
        <v>1150</v>
      </c>
      <c r="C27" s="32">
        <v>0.0</v>
      </c>
      <c r="D27" s="30" t="s">
        <v>3251</v>
      </c>
      <c r="E27" s="31" t="str">
        <f>IFERROR(__xludf.DUMMYFUNCTION("IF(ISBLANK(D27), """", GOOGLETRANSLATE(D27, ""es"", ""en""))"),"Initial value")</f>
        <v>Initial value</v>
      </c>
    </row>
    <row r="28" ht="15.75" customHeight="1">
      <c r="B28" s="36" t="s">
        <v>1153</v>
      </c>
      <c r="C28" s="32">
        <v>9.9414E7</v>
      </c>
      <c r="D28" s="30" t="s">
        <v>3252</v>
      </c>
      <c r="E28" s="31" t="str">
        <f>IFERROR(__xludf.DUMMYFUNCTION("IF(ISBLANK(D28), """", GOOGLETRANSLATE(D28, ""es"", ""en""))"),"Approved / Modified Value")</f>
        <v>Approved / Modified Value</v>
      </c>
    </row>
    <row r="29" ht="15.75" customHeight="1">
      <c r="B29" s="36" t="s">
        <v>1155</v>
      </c>
      <c r="C29" s="32">
        <v>9.9414E7</v>
      </c>
      <c r="D29" s="30" t="s">
        <v>1961</v>
      </c>
      <c r="E29" s="31" t="str">
        <f>IFERROR(__xludf.DUMMYFUNCTION("IF(ISBLANK(D29), """", GOOGLETRANSLATE(D29, ""es"", ""en""))"),"Current Value")</f>
        <v>Current Value</v>
      </c>
    </row>
    <row r="30" ht="15.75" customHeight="1">
      <c r="B30" s="36" t="s">
        <v>3133</v>
      </c>
      <c r="C30" s="32">
        <v>0.0</v>
      </c>
      <c r="D30" s="30" t="s">
        <v>3253</v>
      </c>
      <c r="E30" s="31" t="str">
        <f>IFERROR(__xludf.DUMMYFUNCTION("IF(ISBLANK(D30), """", GOOGLETRANSLATE(D30, ""es"", ""en""))"),"Unearned Available Value")</f>
        <v>Unearned Available Value</v>
      </c>
    </row>
    <row r="31" ht="15.75" customHeight="1">
      <c r="B31" s="36" t="s">
        <v>3134</v>
      </c>
      <c r="C31" s="32">
        <v>9.9414E7</v>
      </c>
      <c r="D31" s="30" t="s">
        <v>3254</v>
      </c>
      <c r="E31" s="31" t="str">
        <f>IFERROR(__xludf.DUMMYFUNCTION("IF(ISBLANK(D31), """", GOOGLETRANSLATE(D31, ""es"", ""en""))"),"Earned Value")</f>
        <v>Earned Value</v>
      </c>
    </row>
    <row r="32" ht="15.75" customHeight="1">
      <c r="B32" s="36" t="s">
        <v>3135</v>
      </c>
      <c r="C32" s="32">
        <v>9.9414E7</v>
      </c>
      <c r="D32" s="30" t="s">
        <v>3255</v>
      </c>
      <c r="E32" s="31" t="str">
        <f>IFERROR(__xludf.DUMMYFUNCTION("IF(ISBLANK(D32), """", GOOGLETRANSLATE(D32, ""es"", ""en""))"),"Released Value")</f>
        <v>Released Value</v>
      </c>
    </row>
    <row r="33" ht="15.75" customHeight="1"/>
    <row r="34" ht="15.75" customHeight="1"/>
    <row r="35" ht="15.75" customHeight="1">
      <c r="G35" s="128" t="s">
        <v>33</v>
      </c>
    </row>
    <row r="36" ht="15.75" customHeight="1">
      <c r="B36" s="128" t="s">
        <v>3256</v>
      </c>
      <c r="G36" s="6" t="s">
        <v>3067</v>
      </c>
      <c r="H36" s="6" t="s">
        <v>3257</v>
      </c>
      <c r="I36" s="6" t="s">
        <v>3113</v>
      </c>
      <c r="J36" s="6" t="s">
        <v>3114</v>
      </c>
      <c r="K36" s="6" t="s">
        <v>3115</v>
      </c>
      <c r="L36" s="6" t="s">
        <v>3116</v>
      </c>
      <c r="M36" s="6" t="s">
        <v>3117</v>
      </c>
      <c r="N36" s="6" t="s">
        <v>3118</v>
      </c>
      <c r="O36" s="6" t="s">
        <v>3119</v>
      </c>
      <c r="P36" s="6" t="s">
        <v>3120</v>
      </c>
      <c r="Q36" s="6" t="s">
        <v>3121</v>
      </c>
      <c r="R36" s="6" t="s">
        <v>3122</v>
      </c>
      <c r="S36" s="6" t="s">
        <v>3123</v>
      </c>
      <c r="T36" s="6" t="s">
        <v>3124</v>
      </c>
      <c r="U36" s="6" t="s">
        <v>3125</v>
      </c>
      <c r="V36" s="6" t="s">
        <v>3126</v>
      </c>
      <c r="W36" s="6" t="s">
        <v>3127</v>
      </c>
      <c r="X36" s="6" t="s">
        <v>3128</v>
      </c>
      <c r="Y36" s="6" t="s">
        <v>3129</v>
      </c>
      <c r="Z36" s="6" t="s">
        <v>3130</v>
      </c>
      <c r="AA36" s="6" t="s">
        <v>3131</v>
      </c>
      <c r="AB36" s="6" t="s">
        <v>3258</v>
      </c>
      <c r="AC36" s="6" t="s">
        <v>3132</v>
      </c>
      <c r="AD36" s="6" t="s">
        <v>3134</v>
      </c>
      <c r="AE36" s="6" t="s">
        <v>3135</v>
      </c>
    </row>
    <row r="37" ht="15.75" customHeight="1">
      <c r="B37" s="26" t="s">
        <v>1692</v>
      </c>
      <c r="C37" s="26" t="s">
        <v>1693</v>
      </c>
      <c r="D37" s="26" t="s">
        <v>1694</v>
      </c>
      <c r="E37" s="26" t="s">
        <v>1695</v>
      </c>
      <c r="G37" s="30">
        <v>2022.0</v>
      </c>
      <c r="H37" s="30">
        <v>3.0</v>
      </c>
      <c r="I37" s="30" t="s">
        <v>3259</v>
      </c>
      <c r="J37" s="30" t="s">
        <v>3260</v>
      </c>
      <c r="K37" s="30" t="s">
        <v>3261</v>
      </c>
      <c r="L37" s="30" t="s">
        <v>3262</v>
      </c>
      <c r="M37" s="30" t="s">
        <v>3263</v>
      </c>
      <c r="N37" s="30" t="s">
        <v>3264</v>
      </c>
      <c r="O37" s="30" t="s">
        <v>3265</v>
      </c>
      <c r="P37" s="30" t="s">
        <v>3266</v>
      </c>
      <c r="Q37" s="30" t="s">
        <v>3267</v>
      </c>
      <c r="R37" s="30" t="s">
        <v>3146</v>
      </c>
      <c r="S37" s="30" t="s">
        <v>3147</v>
      </c>
      <c r="T37" s="30" t="s">
        <v>3175</v>
      </c>
      <c r="U37" s="30" t="s">
        <v>3268</v>
      </c>
      <c r="V37" s="30" t="s">
        <v>3269</v>
      </c>
      <c r="W37" s="30" t="s">
        <v>3151</v>
      </c>
      <c r="X37" s="30" t="s">
        <v>3152</v>
      </c>
      <c r="Y37" s="30" t="s">
        <v>3153</v>
      </c>
      <c r="Z37" s="30" t="s">
        <v>3154</v>
      </c>
      <c r="AA37" s="30" t="s">
        <v>3155</v>
      </c>
      <c r="AB37" s="30" t="s">
        <v>3270</v>
      </c>
      <c r="AC37" s="30" t="s">
        <v>3156</v>
      </c>
      <c r="AD37" s="30" t="s">
        <v>3271</v>
      </c>
      <c r="AE37" s="30" t="s">
        <v>3271</v>
      </c>
    </row>
    <row r="38" ht="15.75" customHeight="1">
      <c r="B38" s="36" t="s">
        <v>3067</v>
      </c>
      <c r="C38" s="32">
        <v>2022.0</v>
      </c>
      <c r="D38" s="30" t="s">
        <v>3136</v>
      </c>
      <c r="E38" s="31" t="str">
        <f>IFERROR(__xludf.DUMMYFUNCTION("IF(ISBLANK(D38), """", GOOGLETRANSLATE(D38, ""es"", ""en""))"),"Year / Period of Imputation")</f>
        <v>Year / Period of Imputation</v>
      </c>
      <c r="G38" s="30">
        <v>2022.0</v>
      </c>
      <c r="H38" s="30">
        <v>4.0</v>
      </c>
      <c r="I38" s="30" t="s">
        <v>3259</v>
      </c>
      <c r="J38" s="30" t="s">
        <v>3260</v>
      </c>
      <c r="K38" s="30" t="s">
        <v>3261</v>
      </c>
      <c r="L38" s="30" t="s">
        <v>3262</v>
      </c>
      <c r="M38" s="30" t="s">
        <v>3263</v>
      </c>
      <c r="N38" s="30" t="s">
        <v>3264</v>
      </c>
      <c r="O38" s="30" t="s">
        <v>3265</v>
      </c>
      <c r="P38" s="30" t="s">
        <v>3266</v>
      </c>
      <c r="Q38" s="30" t="s">
        <v>3267</v>
      </c>
      <c r="R38" s="30" t="s">
        <v>3146</v>
      </c>
      <c r="S38" s="30" t="s">
        <v>3147</v>
      </c>
      <c r="T38" s="30" t="s">
        <v>3175</v>
      </c>
      <c r="U38" s="30" t="s">
        <v>3268</v>
      </c>
      <c r="V38" s="30" t="s">
        <v>3269</v>
      </c>
      <c r="W38" s="30" t="s">
        <v>3151</v>
      </c>
      <c r="X38" s="30" t="s">
        <v>3152</v>
      </c>
      <c r="Y38" s="30" t="s">
        <v>3153</v>
      </c>
      <c r="Z38" s="30" t="s">
        <v>3154</v>
      </c>
      <c r="AA38" s="30" t="s">
        <v>3155</v>
      </c>
      <c r="AB38" s="30" t="s">
        <v>3270</v>
      </c>
      <c r="AC38" s="30" t="s">
        <v>3156</v>
      </c>
      <c r="AD38" s="30" t="s">
        <v>3272</v>
      </c>
      <c r="AE38" s="30" t="s">
        <v>3272</v>
      </c>
    </row>
    <row r="39" ht="15.75" customHeight="1">
      <c r="B39" s="36" t="s">
        <v>3257</v>
      </c>
      <c r="C39" s="32">
        <v>3.0</v>
      </c>
      <c r="D39" s="30" t="s">
        <v>3273</v>
      </c>
      <c r="E39" s="31" t="str">
        <f>IFERROR(__xludf.DUMMYFUNCTION("IF(ISBLANK(D39), """", GOOGLETRANSLATE(D39, ""es"", ""en""))"),"Imputation Month")</f>
        <v>Imputation Month</v>
      </c>
      <c r="G39" s="30">
        <v>2022.0</v>
      </c>
      <c r="H39" s="30">
        <v>5.0</v>
      </c>
      <c r="I39" s="30" t="s">
        <v>3259</v>
      </c>
      <c r="J39" s="30" t="s">
        <v>3260</v>
      </c>
      <c r="K39" s="30" t="s">
        <v>3261</v>
      </c>
      <c r="L39" s="30" t="s">
        <v>3262</v>
      </c>
      <c r="M39" s="30" t="s">
        <v>3263</v>
      </c>
      <c r="N39" s="30" t="s">
        <v>3264</v>
      </c>
      <c r="O39" s="30" t="s">
        <v>3265</v>
      </c>
      <c r="P39" s="30" t="s">
        <v>3266</v>
      </c>
      <c r="Q39" s="30" t="s">
        <v>3267</v>
      </c>
      <c r="R39" s="30" t="s">
        <v>3146</v>
      </c>
      <c r="S39" s="30" t="s">
        <v>3147</v>
      </c>
      <c r="T39" s="30" t="s">
        <v>3175</v>
      </c>
      <c r="U39" s="30" t="s">
        <v>3268</v>
      </c>
      <c r="V39" s="30" t="s">
        <v>3269</v>
      </c>
      <c r="W39" s="30" t="s">
        <v>3151</v>
      </c>
      <c r="X39" s="30" t="s">
        <v>3152</v>
      </c>
      <c r="Y39" s="30" t="s">
        <v>3153</v>
      </c>
      <c r="Z39" s="30" t="s">
        <v>3154</v>
      </c>
      <c r="AA39" s="30" t="s">
        <v>3155</v>
      </c>
      <c r="AB39" s="30" t="s">
        <v>3270</v>
      </c>
      <c r="AC39" s="30" t="s">
        <v>3156</v>
      </c>
      <c r="AD39" s="30" t="s">
        <v>3274</v>
      </c>
      <c r="AE39" s="30" t="s">
        <v>3274</v>
      </c>
    </row>
    <row r="40" ht="15.75" customHeight="1">
      <c r="B40" s="36" t="s">
        <v>3113</v>
      </c>
      <c r="C40" s="32" t="s">
        <v>3259</v>
      </c>
      <c r="D40" s="30" t="s">
        <v>3157</v>
      </c>
      <c r="E40" s="31" t="str">
        <f>IFERROR(__xludf.DUMMYFUNCTION("IF(ISBLANK(D40), """", GOOGLETRANSLATE(D40, ""es"", ""en""))"),"Section Name")</f>
        <v>Section Name</v>
      </c>
      <c r="G40" s="30">
        <v>2022.0</v>
      </c>
      <c r="H40" s="30">
        <v>6.0</v>
      </c>
      <c r="I40" s="30" t="s">
        <v>3259</v>
      </c>
      <c r="J40" s="30" t="s">
        <v>3260</v>
      </c>
      <c r="K40" s="30" t="s">
        <v>3261</v>
      </c>
      <c r="L40" s="30" t="s">
        <v>3262</v>
      </c>
      <c r="M40" s="30" t="s">
        <v>3263</v>
      </c>
      <c r="N40" s="30" t="s">
        <v>3264</v>
      </c>
      <c r="O40" s="30" t="s">
        <v>3265</v>
      </c>
      <c r="P40" s="30" t="s">
        <v>3266</v>
      </c>
      <c r="Q40" s="30" t="s">
        <v>3267</v>
      </c>
      <c r="R40" s="30" t="s">
        <v>3146</v>
      </c>
      <c r="S40" s="30" t="s">
        <v>3147</v>
      </c>
      <c r="T40" s="30" t="s">
        <v>3175</v>
      </c>
      <c r="U40" s="30" t="s">
        <v>3268</v>
      </c>
      <c r="V40" s="30" t="s">
        <v>3269</v>
      </c>
      <c r="W40" s="30" t="s">
        <v>3151</v>
      </c>
      <c r="X40" s="30" t="s">
        <v>3152</v>
      </c>
      <c r="Y40" s="30" t="s">
        <v>3153</v>
      </c>
      <c r="Z40" s="30" t="s">
        <v>3154</v>
      </c>
      <c r="AA40" s="30" t="s">
        <v>3155</v>
      </c>
      <c r="AB40" s="30" t="s">
        <v>3270</v>
      </c>
      <c r="AC40" s="30" t="s">
        <v>3156</v>
      </c>
      <c r="AD40" s="30">
        <v>1365723.0</v>
      </c>
      <c r="AE40" s="30">
        <v>1365723.0</v>
      </c>
    </row>
    <row r="41" ht="15.75" customHeight="1">
      <c r="B41" s="36" t="s">
        <v>3114</v>
      </c>
      <c r="C41" s="32" t="s">
        <v>3260</v>
      </c>
      <c r="D41" s="30" t="s">
        <v>3163</v>
      </c>
      <c r="E41" s="31" t="str">
        <f>IFERROR(__xludf.DUMMYFUNCTION("IF(ISBLANK(D41), """", GOOGLETRANSLATE(D41, ""es"", ""en""))"),"Chapter name")</f>
        <v>Chapter name</v>
      </c>
      <c r="G41" s="30">
        <v>2022.0</v>
      </c>
      <c r="H41" s="30">
        <v>7.0</v>
      </c>
      <c r="I41" s="30" t="s">
        <v>3259</v>
      </c>
      <c r="J41" s="30" t="s">
        <v>3260</v>
      </c>
      <c r="K41" s="30" t="s">
        <v>3261</v>
      </c>
      <c r="L41" s="30" t="s">
        <v>3262</v>
      </c>
      <c r="M41" s="30" t="s">
        <v>3263</v>
      </c>
      <c r="N41" s="30" t="s">
        <v>3264</v>
      </c>
      <c r="O41" s="30" t="s">
        <v>3265</v>
      </c>
      <c r="P41" s="30" t="s">
        <v>3266</v>
      </c>
      <c r="Q41" s="30" t="s">
        <v>3267</v>
      </c>
      <c r="R41" s="30" t="s">
        <v>3146</v>
      </c>
      <c r="S41" s="30" t="s">
        <v>3147</v>
      </c>
      <c r="T41" s="30" t="s">
        <v>3175</v>
      </c>
      <c r="U41" s="30" t="s">
        <v>3268</v>
      </c>
      <c r="V41" s="30" t="s">
        <v>3269</v>
      </c>
      <c r="W41" s="30" t="s">
        <v>3151</v>
      </c>
      <c r="X41" s="30" t="s">
        <v>3152</v>
      </c>
      <c r="Y41" s="30" t="s">
        <v>3153</v>
      </c>
      <c r="Z41" s="30" t="s">
        <v>3154</v>
      </c>
      <c r="AA41" s="30" t="s">
        <v>3155</v>
      </c>
      <c r="AB41" s="30" t="s">
        <v>3270</v>
      </c>
      <c r="AC41" s="30" t="s">
        <v>3156</v>
      </c>
      <c r="AD41" s="30">
        <v>4248.0</v>
      </c>
      <c r="AE41" s="30">
        <v>4248.0</v>
      </c>
    </row>
    <row r="42" ht="15.75" customHeight="1">
      <c r="B42" s="36" t="s">
        <v>3115</v>
      </c>
      <c r="C42" s="32" t="s">
        <v>3261</v>
      </c>
      <c r="D42" s="30" t="s">
        <v>3170</v>
      </c>
      <c r="E42" s="31" t="str">
        <f>IFERROR(__xludf.DUMMYFUNCTION("IF(ISBLANK(D42), """", GOOGLETRANSLATE(D42, ""es"", ""en""))"),"Subchapter name")</f>
        <v>Subchapter name</v>
      </c>
      <c r="G42" s="30">
        <v>2022.0</v>
      </c>
      <c r="H42" s="30">
        <v>8.0</v>
      </c>
      <c r="I42" s="30" t="s">
        <v>3259</v>
      </c>
      <c r="J42" s="30" t="s">
        <v>3260</v>
      </c>
      <c r="K42" s="30" t="s">
        <v>3261</v>
      </c>
      <c r="L42" s="30" t="s">
        <v>3262</v>
      </c>
      <c r="M42" s="30" t="s">
        <v>3263</v>
      </c>
      <c r="N42" s="30" t="s">
        <v>3264</v>
      </c>
      <c r="O42" s="30" t="s">
        <v>3265</v>
      </c>
      <c r="P42" s="30" t="s">
        <v>3266</v>
      </c>
      <c r="Q42" s="30" t="s">
        <v>3267</v>
      </c>
      <c r="R42" s="30" t="s">
        <v>3146</v>
      </c>
      <c r="S42" s="30" t="s">
        <v>3147</v>
      </c>
      <c r="T42" s="30" t="s">
        <v>3175</v>
      </c>
      <c r="U42" s="30" t="s">
        <v>3268</v>
      </c>
      <c r="V42" s="30" t="s">
        <v>3269</v>
      </c>
      <c r="W42" s="30" t="s">
        <v>3151</v>
      </c>
      <c r="X42" s="30" t="s">
        <v>3152</v>
      </c>
      <c r="Y42" s="30" t="s">
        <v>3153</v>
      </c>
      <c r="Z42" s="30" t="s">
        <v>3154</v>
      </c>
      <c r="AA42" s="30" t="s">
        <v>3155</v>
      </c>
      <c r="AB42" s="30" t="s">
        <v>3270</v>
      </c>
      <c r="AC42" s="30" t="s">
        <v>3156</v>
      </c>
      <c r="AD42" s="30" t="s">
        <v>3275</v>
      </c>
      <c r="AE42" s="30" t="s">
        <v>3275</v>
      </c>
    </row>
    <row r="43" ht="15.75" customHeight="1">
      <c r="B43" s="36" t="s">
        <v>3116</v>
      </c>
      <c r="C43" s="32" t="s">
        <v>3262</v>
      </c>
      <c r="D43" s="30" t="s">
        <v>3184</v>
      </c>
      <c r="E43" s="31" t="str">
        <f>IFERROR(__xludf.DUMMYFUNCTION("IF(ISBLANK(D43), """", GOOGLETRANSLATE(D43, ""es"", ""en""))"),"Name of the Executing Unit")</f>
        <v>Name of the Executing Unit</v>
      </c>
      <c r="G43" s="30">
        <v>2022.0</v>
      </c>
      <c r="H43" s="30">
        <v>9.0</v>
      </c>
      <c r="I43" s="30" t="s">
        <v>3137</v>
      </c>
      <c r="J43" s="30" t="s">
        <v>3276</v>
      </c>
      <c r="K43" s="30" t="s">
        <v>3277</v>
      </c>
      <c r="L43" s="30" t="s">
        <v>3278</v>
      </c>
      <c r="M43" s="30" t="s">
        <v>3185</v>
      </c>
      <c r="N43" s="30" t="s">
        <v>3186</v>
      </c>
      <c r="O43" s="30" t="s">
        <v>3187</v>
      </c>
      <c r="P43" s="30" t="s">
        <v>3279</v>
      </c>
      <c r="Q43" s="30" t="s">
        <v>3145</v>
      </c>
      <c r="R43" s="30" t="s">
        <v>3146</v>
      </c>
      <c r="S43" s="30" t="s">
        <v>3147</v>
      </c>
      <c r="T43" s="30" t="s">
        <v>3148</v>
      </c>
      <c r="U43" s="30" t="s">
        <v>3149</v>
      </c>
      <c r="V43" s="30" t="s">
        <v>3189</v>
      </c>
      <c r="W43" s="30" t="s">
        <v>3151</v>
      </c>
      <c r="X43" s="30" t="s">
        <v>3190</v>
      </c>
      <c r="Y43" s="30" t="s">
        <v>3191</v>
      </c>
      <c r="Z43" s="30" t="s">
        <v>3192</v>
      </c>
      <c r="AA43" s="30" t="s">
        <v>3193</v>
      </c>
      <c r="AB43" s="30" t="s">
        <v>3280</v>
      </c>
      <c r="AC43" s="30" t="s">
        <v>3281</v>
      </c>
      <c r="AD43" s="30">
        <v>1500000.0</v>
      </c>
      <c r="AE43" s="30">
        <v>1500000.0</v>
      </c>
    </row>
    <row r="44" ht="15.75" customHeight="1">
      <c r="B44" s="36" t="s">
        <v>3117</v>
      </c>
      <c r="C44" s="32" t="s">
        <v>3263</v>
      </c>
      <c r="D44" s="30" t="s">
        <v>3195</v>
      </c>
      <c r="E44" s="31" t="str">
        <f>IFERROR(__xludf.DUMMYFUNCTION("IF(ISBLANK(D44), """", GOOGLETRANSLATE(D44, ""es"", ""en""))"),"Budget line program")</f>
        <v>Budget line program</v>
      </c>
      <c r="G44" s="30">
        <v>2022.0</v>
      </c>
      <c r="H44" s="30">
        <v>9.0</v>
      </c>
      <c r="I44" s="30" t="s">
        <v>3137</v>
      </c>
      <c r="J44" s="30" t="s">
        <v>3276</v>
      </c>
      <c r="K44" s="30" t="s">
        <v>3277</v>
      </c>
      <c r="L44" s="30" t="s">
        <v>3278</v>
      </c>
      <c r="M44" s="30" t="s">
        <v>3185</v>
      </c>
      <c r="N44" s="30" t="s">
        <v>3186</v>
      </c>
      <c r="O44" s="30" t="s">
        <v>3187</v>
      </c>
      <c r="P44" s="30" t="s">
        <v>3279</v>
      </c>
      <c r="Q44" s="30" t="s">
        <v>3145</v>
      </c>
      <c r="R44" s="30" t="s">
        <v>3146</v>
      </c>
      <c r="S44" s="30" t="s">
        <v>3147</v>
      </c>
      <c r="T44" s="30" t="s">
        <v>3148</v>
      </c>
      <c r="U44" s="30" t="s">
        <v>3149</v>
      </c>
      <c r="V44" s="30" t="s">
        <v>3189</v>
      </c>
      <c r="W44" s="30" t="s">
        <v>3151</v>
      </c>
      <c r="X44" s="30" t="s">
        <v>3190</v>
      </c>
      <c r="Y44" s="30" t="s">
        <v>3191</v>
      </c>
      <c r="Z44" s="30" t="s">
        <v>3192</v>
      </c>
      <c r="AA44" s="30" t="s">
        <v>3193</v>
      </c>
      <c r="AB44" s="30" t="s">
        <v>3280</v>
      </c>
      <c r="AC44" s="30" t="s">
        <v>3282</v>
      </c>
      <c r="AD44" s="30">
        <v>1500000.0</v>
      </c>
      <c r="AE44" s="30">
        <v>1500000.0</v>
      </c>
    </row>
    <row r="45" ht="15.75" customHeight="1">
      <c r="B45" s="36" t="s">
        <v>3118</v>
      </c>
      <c r="C45" s="32" t="s">
        <v>3264</v>
      </c>
      <c r="D45" s="30" t="s">
        <v>3203</v>
      </c>
      <c r="E45" s="31" t="str">
        <f>IFERROR(__xludf.DUMMYFUNCTION("IF(ISBLANK(D45), """", GOOGLETRANSLATE(D45, ""es"", ""en""))"),"Product name")</f>
        <v>Product name</v>
      </c>
      <c r="G45" s="30">
        <v>2022.0</v>
      </c>
      <c r="H45" s="30">
        <v>9.0</v>
      </c>
      <c r="I45" s="30" t="s">
        <v>3137</v>
      </c>
      <c r="J45" s="30" t="s">
        <v>3276</v>
      </c>
      <c r="K45" s="30" t="s">
        <v>3277</v>
      </c>
      <c r="L45" s="30" t="s">
        <v>3278</v>
      </c>
      <c r="M45" s="30" t="s">
        <v>3185</v>
      </c>
      <c r="N45" s="30" t="s">
        <v>3186</v>
      </c>
      <c r="O45" s="30" t="s">
        <v>3187</v>
      </c>
      <c r="P45" s="30" t="s">
        <v>3279</v>
      </c>
      <c r="Q45" s="30" t="s">
        <v>3145</v>
      </c>
      <c r="R45" s="30" t="s">
        <v>3146</v>
      </c>
      <c r="S45" s="30" t="s">
        <v>3147</v>
      </c>
      <c r="T45" s="30" t="s">
        <v>3148</v>
      </c>
      <c r="U45" s="30" t="s">
        <v>3149</v>
      </c>
      <c r="V45" s="30" t="s">
        <v>3189</v>
      </c>
      <c r="W45" s="30" t="s">
        <v>3151</v>
      </c>
      <c r="X45" s="30" t="s">
        <v>3190</v>
      </c>
      <c r="Y45" s="30" t="s">
        <v>3191</v>
      </c>
      <c r="Z45" s="30" t="s">
        <v>3192</v>
      </c>
      <c r="AA45" s="30" t="s">
        <v>3193</v>
      </c>
      <c r="AB45" s="30" t="s">
        <v>3280</v>
      </c>
      <c r="AC45" s="30" t="s">
        <v>3283</v>
      </c>
      <c r="AD45" s="30">
        <v>1500000.0</v>
      </c>
      <c r="AE45" s="30">
        <v>1500000.0</v>
      </c>
    </row>
    <row r="46" ht="15.75" customHeight="1">
      <c r="B46" s="36" t="s">
        <v>3119</v>
      </c>
      <c r="C46" s="32" t="s">
        <v>3265</v>
      </c>
      <c r="D46" s="30" t="s">
        <v>1818</v>
      </c>
      <c r="E46" s="31" t="str">
        <f>IFERROR(__xludf.DUMMYFUNCTION("IF(ISBLANK(D46), """", GOOGLETRANSLATE(D46, ""es"", ""en""))"),"Project's name")</f>
        <v>Project's name</v>
      </c>
      <c r="G46" s="30">
        <v>2022.0</v>
      </c>
      <c r="H46" s="30">
        <v>9.0</v>
      </c>
      <c r="I46" s="30" t="s">
        <v>3137</v>
      </c>
      <c r="J46" s="30" t="s">
        <v>3276</v>
      </c>
      <c r="K46" s="30" t="s">
        <v>3277</v>
      </c>
      <c r="L46" s="30" t="s">
        <v>3278</v>
      </c>
      <c r="M46" s="30" t="s">
        <v>3185</v>
      </c>
      <c r="N46" s="30" t="s">
        <v>3186</v>
      </c>
      <c r="O46" s="30" t="s">
        <v>3187</v>
      </c>
      <c r="P46" s="30" t="s">
        <v>3279</v>
      </c>
      <c r="Q46" s="30" t="s">
        <v>3145</v>
      </c>
      <c r="R46" s="30" t="s">
        <v>3146</v>
      </c>
      <c r="S46" s="30" t="s">
        <v>3147</v>
      </c>
      <c r="T46" s="30" t="s">
        <v>3148</v>
      </c>
      <c r="U46" s="30" t="s">
        <v>3149</v>
      </c>
      <c r="V46" s="30" t="s">
        <v>3189</v>
      </c>
      <c r="W46" s="30" t="s">
        <v>3151</v>
      </c>
      <c r="X46" s="30" t="s">
        <v>3190</v>
      </c>
      <c r="Y46" s="30" t="s">
        <v>3191</v>
      </c>
      <c r="Z46" s="30" t="s">
        <v>3192</v>
      </c>
      <c r="AA46" s="30" t="s">
        <v>3193</v>
      </c>
      <c r="AB46" s="30" t="s">
        <v>3280</v>
      </c>
      <c r="AC46" s="30" t="s">
        <v>3284</v>
      </c>
      <c r="AD46" s="30">
        <v>1500000.0</v>
      </c>
      <c r="AE46" s="30">
        <v>1500000.0</v>
      </c>
    </row>
    <row r="47" ht="15.75" customHeight="1">
      <c r="B47" s="36" t="s">
        <v>3120</v>
      </c>
      <c r="C47" s="32" t="s">
        <v>3266</v>
      </c>
      <c r="D47" s="30" t="s">
        <v>3212</v>
      </c>
      <c r="E47" s="31" t="str">
        <f>IFERROR(__xludf.DUMMYFUNCTION("IF(ISBLANK(D47), """", GOOGLETRANSLATE(D47, ""es"", ""en""))"),"Name of the activity")</f>
        <v>Name of the activity</v>
      </c>
      <c r="G47" s="30">
        <v>2022.0</v>
      </c>
      <c r="H47" s="30">
        <v>9.0</v>
      </c>
      <c r="I47" s="30" t="s">
        <v>3137</v>
      </c>
      <c r="J47" s="30" t="s">
        <v>3276</v>
      </c>
      <c r="K47" s="30" t="s">
        <v>3277</v>
      </c>
      <c r="L47" s="30" t="s">
        <v>3278</v>
      </c>
      <c r="M47" s="30" t="s">
        <v>3185</v>
      </c>
      <c r="N47" s="30" t="s">
        <v>3186</v>
      </c>
      <c r="O47" s="30" t="s">
        <v>3187</v>
      </c>
      <c r="P47" s="30" t="s">
        <v>3279</v>
      </c>
      <c r="Q47" s="30" t="s">
        <v>3145</v>
      </c>
      <c r="R47" s="30" t="s">
        <v>3146</v>
      </c>
      <c r="S47" s="30" t="s">
        <v>3147</v>
      </c>
      <c r="T47" s="30" t="s">
        <v>3148</v>
      </c>
      <c r="U47" s="30" t="s">
        <v>3149</v>
      </c>
      <c r="V47" s="30" t="s">
        <v>3189</v>
      </c>
      <c r="W47" s="30" t="s">
        <v>3151</v>
      </c>
      <c r="X47" s="30" t="s">
        <v>3190</v>
      </c>
      <c r="Y47" s="30" t="s">
        <v>3191</v>
      </c>
      <c r="Z47" s="30" t="s">
        <v>3192</v>
      </c>
      <c r="AA47" s="30" t="s">
        <v>3193</v>
      </c>
      <c r="AB47" s="30" t="s">
        <v>3280</v>
      </c>
      <c r="AC47" s="30" t="s">
        <v>3285</v>
      </c>
      <c r="AD47" s="30">
        <v>1500000.0</v>
      </c>
      <c r="AE47" s="30">
        <v>1500000.0</v>
      </c>
    </row>
    <row r="48" ht="15.75" customHeight="1">
      <c r="B48" s="36" t="s">
        <v>3121</v>
      </c>
      <c r="C48" s="32" t="s">
        <v>3267</v>
      </c>
      <c r="D48" s="30" t="s">
        <v>3216</v>
      </c>
      <c r="E48" s="31" t="str">
        <f>IFERROR(__xludf.DUMMYFUNCTION("IF(ISBLANK(D48), """", GOOGLETRANSLATE(D48, ""es"", ""en""))"),"Name of the Financing Organization")</f>
        <v>Name of the Financing Organization</v>
      </c>
      <c r="G48" s="30">
        <v>2022.0</v>
      </c>
      <c r="H48" s="30">
        <v>9.0</v>
      </c>
      <c r="I48" s="30" t="s">
        <v>3137</v>
      </c>
      <c r="J48" s="30" t="s">
        <v>3276</v>
      </c>
      <c r="K48" s="30" t="s">
        <v>3277</v>
      </c>
      <c r="L48" s="30" t="s">
        <v>3278</v>
      </c>
      <c r="M48" s="30" t="s">
        <v>3185</v>
      </c>
      <c r="N48" s="30" t="s">
        <v>3186</v>
      </c>
      <c r="O48" s="30" t="s">
        <v>3187</v>
      </c>
      <c r="P48" s="30" t="s">
        <v>3279</v>
      </c>
      <c r="Q48" s="30" t="s">
        <v>3145</v>
      </c>
      <c r="R48" s="30" t="s">
        <v>3146</v>
      </c>
      <c r="S48" s="30" t="s">
        <v>3147</v>
      </c>
      <c r="T48" s="30" t="s">
        <v>3148</v>
      </c>
      <c r="U48" s="30" t="s">
        <v>3149</v>
      </c>
      <c r="V48" s="30" t="s">
        <v>3189</v>
      </c>
      <c r="W48" s="30" t="s">
        <v>3151</v>
      </c>
      <c r="X48" s="30" t="s">
        <v>3190</v>
      </c>
      <c r="Y48" s="30" t="s">
        <v>3191</v>
      </c>
      <c r="Z48" s="30" t="s">
        <v>3192</v>
      </c>
      <c r="AA48" s="30" t="s">
        <v>3193</v>
      </c>
      <c r="AB48" s="30" t="s">
        <v>3280</v>
      </c>
      <c r="AC48" s="30" t="s">
        <v>3286</v>
      </c>
      <c r="AD48" s="30">
        <v>1500000.0</v>
      </c>
      <c r="AE48" s="30">
        <v>1500000.0</v>
      </c>
    </row>
    <row r="49" ht="15.75" customHeight="1">
      <c r="B49" s="36" t="s">
        <v>3122</v>
      </c>
      <c r="C49" s="32" t="s">
        <v>3146</v>
      </c>
      <c r="D49" s="30" t="s">
        <v>3223</v>
      </c>
      <c r="E49" s="31" t="str">
        <f>IFERROR(__xludf.DUMMYFUNCTION("IF(ISBLANK(D49), """", GOOGLETRANSLATE(D49, ""es"", ""en""))"),"Name of Funding Source")</f>
        <v>Name of Funding Source</v>
      </c>
      <c r="G49" s="30">
        <v>2022.0</v>
      </c>
      <c r="H49" s="30">
        <v>9.0</v>
      </c>
      <c r="I49" s="30" t="s">
        <v>3137</v>
      </c>
      <c r="J49" s="30" t="s">
        <v>3276</v>
      </c>
      <c r="K49" s="30" t="s">
        <v>3277</v>
      </c>
      <c r="L49" s="30" t="s">
        <v>3278</v>
      </c>
      <c r="M49" s="30" t="s">
        <v>3185</v>
      </c>
      <c r="N49" s="30" t="s">
        <v>3186</v>
      </c>
      <c r="O49" s="30" t="s">
        <v>3187</v>
      </c>
      <c r="P49" s="30" t="s">
        <v>3279</v>
      </c>
      <c r="Q49" s="30" t="s">
        <v>3145</v>
      </c>
      <c r="R49" s="30" t="s">
        <v>3146</v>
      </c>
      <c r="S49" s="30" t="s">
        <v>3147</v>
      </c>
      <c r="T49" s="30" t="s">
        <v>3148</v>
      </c>
      <c r="U49" s="30" t="s">
        <v>3149</v>
      </c>
      <c r="V49" s="30" t="s">
        <v>3189</v>
      </c>
      <c r="W49" s="30" t="s">
        <v>3151</v>
      </c>
      <c r="X49" s="30" t="s">
        <v>3190</v>
      </c>
      <c r="Y49" s="30" t="s">
        <v>3191</v>
      </c>
      <c r="Z49" s="30" t="s">
        <v>3192</v>
      </c>
      <c r="AA49" s="30" t="s">
        <v>3193</v>
      </c>
      <c r="AB49" s="30" t="s">
        <v>3280</v>
      </c>
      <c r="AC49" s="30" t="s">
        <v>3287</v>
      </c>
      <c r="AD49" s="30">
        <v>1500000.0</v>
      </c>
      <c r="AE49" s="30">
        <v>1500000.0</v>
      </c>
    </row>
    <row r="50" ht="15.75" customHeight="1">
      <c r="B50" s="36" t="s">
        <v>3123</v>
      </c>
      <c r="C50" s="32" t="s">
        <v>3147</v>
      </c>
      <c r="D50" s="30" t="s">
        <v>3230</v>
      </c>
      <c r="E50" s="31" t="str">
        <f>IFERROR(__xludf.DUMMYFUNCTION("IF(ISBLANK(D50), """", GOOGLETRANSLATE(D50, ""es"", ""en""))"),"Specific Source Name")</f>
        <v>Specific Source Name</v>
      </c>
      <c r="G50" s="30">
        <v>2022.0</v>
      </c>
      <c r="H50" s="30">
        <v>9.0</v>
      </c>
      <c r="I50" s="30" t="s">
        <v>3137</v>
      </c>
      <c r="J50" s="30" t="s">
        <v>3276</v>
      </c>
      <c r="K50" s="30" t="s">
        <v>3277</v>
      </c>
      <c r="L50" s="30" t="s">
        <v>3278</v>
      </c>
      <c r="M50" s="30" t="s">
        <v>3185</v>
      </c>
      <c r="N50" s="30" t="s">
        <v>3186</v>
      </c>
      <c r="O50" s="30" t="s">
        <v>3187</v>
      </c>
      <c r="P50" s="30" t="s">
        <v>3279</v>
      </c>
      <c r="Q50" s="30" t="s">
        <v>3145</v>
      </c>
      <c r="R50" s="30" t="s">
        <v>3146</v>
      </c>
      <c r="S50" s="30" t="s">
        <v>3147</v>
      </c>
      <c r="T50" s="30" t="s">
        <v>3148</v>
      </c>
      <c r="U50" s="30" t="s">
        <v>3149</v>
      </c>
      <c r="V50" s="30" t="s">
        <v>3189</v>
      </c>
      <c r="W50" s="30" t="s">
        <v>3151</v>
      </c>
      <c r="X50" s="30" t="s">
        <v>3190</v>
      </c>
      <c r="Y50" s="30" t="s">
        <v>3191</v>
      </c>
      <c r="Z50" s="30" t="s">
        <v>3192</v>
      </c>
      <c r="AA50" s="30" t="s">
        <v>3193</v>
      </c>
      <c r="AB50" s="30" t="s">
        <v>3280</v>
      </c>
      <c r="AC50" s="30" t="s">
        <v>3288</v>
      </c>
      <c r="AD50" s="30">
        <v>1500000.0</v>
      </c>
      <c r="AE50" s="30">
        <v>1500000.0</v>
      </c>
    </row>
    <row r="51" ht="15.75" customHeight="1">
      <c r="B51" s="36" t="s">
        <v>3124</v>
      </c>
      <c r="C51" s="32" t="s">
        <v>3175</v>
      </c>
      <c r="D51" s="30" t="s">
        <v>3233</v>
      </c>
      <c r="E51" s="31" t="str">
        <f>IFERROR(__xludf.DUMMYFUNCTION("IF(ISBLANK(D51), """", GOOGLETRANSLATE(D51, ""es"", ""en""))"),"Purpose Name")</f>
        <v>Purpose Name</v>
      </c>
      <c r="G51" s="30">
        <v>2022.0</v>
      </c>
      <c r="H51" s="30">
        <v>9.0</v>
      </c>
      <c r="I51" s="30" t="s">
        <v>3137</v>
      </c>
      <c r="J51" s="30" t="s">
        <v>3276</v>
      </c>
      <c r="K51" s="30" t="s">
        <v>3277</v>
      </c>
      <c r="L51" s="30" t="s">
        <v>3278</v>
      </c>
      <c r="M51" s="30" t="s">
        <v>3185</v>
      </c>
      <c r="N51" s="30" t="s">
        <v>3186</v>
      </c>
      <c r="O51" s="30" t="s">
        <v>3187</v>
      </c>
      <c r="P51" s="30" t="s">
        <v>3279</v>
      </c>
      <c r="Q51" s="30" t="s">
        <v>3145</v>
      </c>
      <c r="R51" s="30" t="s">
        <v>3146</v>
      </c>
      <c r="S51" s="30" t="s">
        <v>3147</v>
      </c>
      <c r="T51" s="30" t="s">
        <v>3148</v>
      </c>
      <c r="U51" s="30" t="s">
        <v>3149</v>
      </c>
      <c r="V51" s="30" t="s">
        <v>3189</v>
      </c>
      <c r="W51" s="30" t="s">
        <v>3151</v>
      </c>
      <c r="X51" s="30" t="s">
        <v>3190</v>
      </c>
      <c r="Y51" s="30" t="s">
        <v>3191</v>
      </c>
      <c r="Z51" s="30" t="s">
        <v>3192</v>
      </c>
      <c r="AA51" s="30" t="s">
        <v>3193</v>
      </c>
      <c r="AB51" s="30" t="s">
        <v>3280</v>
      </c>
      <c r="AC51" s="30" t="s">
        <v>3289</v>
      </c>
      <c r="AD51" s="30">
        <v>2000000.0</v>
      </c>
      <c r="AE51" s="30">
        <v>2000000.0</v>
      </c>
    </row>
    <row r="52" ht="15.75" customHeight="1">
      <c r="B52" s="36" t="s">
        <v>3125</v>
      </c>
      <c r="C52" s="32" t="s">
        <v>3268</v>
      </c>
      <c r="D52" s="30" t="s">
        <v>3235</v>
      </c>
      <c r="E52" s="31" t="str">
        <f>IFERROR(__xludf.DUMMYFUNCTION("IF(ISBLANK(D52), """", GOOGLETRANSLATE(D52, ""es"", ""en""))"),"Name of the Function / Sector")</f>
        <v>Name of the Function / Sector</v>
      </c>
    </row>
    <row r="53" ht="15.75" customHeight="1">
      <c r="B53" s="36" t="s">
        <v>3126</v>
      </c>
      <c r="C53" s="32" t="s">
        <v>3269</v>
      </c>
      <c r="D53" s="30" t="s">
        <v>3238</v>
      </c>
      <c r="E53" s="31" t="str">
        <f>IFERROR(__xludf.DUMMYFUNCTION("IF(ISBLANK(D53), """", GOOGLETRANSLATE(D53, ""es"", ""en""))"),"Sub function name")</f>
        <v>Sub function name</v>
      </c>
    </row>
    <row r="54" ht="15.75" customHeight="1">
      <c r="B54" s="36" t="s">
        <v>3127</v>
      </c>
      <c r="C54" s="32" t="s">
        <v>3151</v>
      </c>
      <c r="D54" s="30" t="s">
        <v>3245</v>
      </c>
      <c r="E54" s="31" t="str">
        <f>IFERROR(__xludf.DUMMYFUNCTION("IF(ISBLANK(D54), """", GOOGLETRANSLATE(D54, ""es"", ""en""))"),"Account type")</f>
        <v>Account type</v>
      </c>
    </row>
    <row r="55" ht="15.75" customHeight="1">
      <c r="B55" s="36" t="s">
        <v>3128</v>
      </c>
      <c r="C55" s="32" t="s">
        <v>3152</v>
      </c>
      <c r="D55" s="30" t="s">
        <v>3246</v>
      </c>
      <c r="E55" s="31" t="str">
        <f>IFERROR(__xludf.DUMMYFUNCTION("IF(ISBLANK(D55), """", GOOGLETRANSLATE(D55, ""es"", ""en""))"),"Accounting concept")</f>
        <v>Accounting concept</v>
      </c>
    </row>
    <row r="56" ht="15.75" customHeight="1">
      <c r="B56" s="36" t="s">
        <v>3129</v>
      </c>
      <c r="C56" s="32" t="s">
        <v>3153</v>
      </c>
      <c r="D56" s="30" t="s">
        <v>3247</v>
      </c>
      <c r="E56" s="31" t="str">
        <f>IFERROR(__xludf.DUMMYFUNCTION("IF(ISBLANK(D56), """", GOOGLETRANSLATE(D56, ""es"", ""en""))"),"Account name")</f>
        <v>Account name</v>
      </c>
    </row>
    <row r="57" ht="15.75" customHeight="1">
      <c r="B57" s="36" t="s">
        <v>3130</v>
      </c>
      <c r="C57" s="32" t="s">
        <v>3154</v>
      </c>
      <c r="D57" s="30" t="s">
        <v>3248</v>
      </c>
      <c r="E57" s="31" t="str">
        <f>IFERROR(__xludf.DUMMYFUNCTION("IF(ISBLANK(D57), """", GOOGLETRANSLATE(D57, ""es"", ""en""))"),"Accounting Sub Account Name")</f>
        <v>Accounting Sub Account Name</v>
      </c>
    </row>
    <row r="58" ht="15.75" customHeight="1">
      <c r="B58" s="36" t="s">
        <v>3131</v>
      </c>
      <c r="C58" s="32" t="s">
        <v>3155</v>
      </c>
      <c r="D58" s="30" t="s">
        <v>3249</v>
      </c>
      <c r="E58" s="31" t="str">
        <f>IFERROR(__xludf.DUMMYFUNCTION("IF(ISBLANK(D58), """", GOOGLETRANSLATE(D58, ""es"", ""en""))"),"Accounting assistant")</f>
        <v>Accounting assistant</v>
      </c>
    </row>
    <row r="59" ht="15.75" customHeight="1">
      <c r="B59" s="36" t="s">
        <v>3258</v>
      </c>
      <c r="C59" s="32" t="s">
        <v>3270</v>
      </c>
      <c r="D59" s="30" t="s">
        <v>3290</v>
      </c>
      <c r="E59" s="31" t="str">
        <f>IFERROR(__xludf.DUMMYFUNCTION("IF(ISBLANK(D59), """", GOOGLETRANSLATE(D59, ""es"", ""en""))"),"Expenditure grouping concept")</f>
        <v>Expenditure grouping concept</v>
      </c>
    </row>
    <row r="60" ht="15.75" customHeight="1">
      <c r="B60" s="36" t="s">
        <v>3132</v>
      </c>
      <c r="C60" s="32" t="s">
        <v>3156</v>
      </c>
      <c r="D60" s="30" t="s">
        <v>3250</v>
      </c>
      <c r="E60" s="31" t="str">
        <f>IFERROR(__xludf.DUMMYFUNCTION("IF(ISBLANK(D60), """", GOOGLETRANSLATE(D60, ""es"", ""en""))"),"Receiving institution")</f>
        <v>Receiving institution</v>
      </c>
    </row>
    <row r="61" ht="15.75" customHeight="1">
      <c r="B61" s="36" t="s">
        <v>3134</v>
      </c>
      <c r="C61" s="32" t="s">
        <v>3271</v>
      </c>
      <c r="D61" s="30" t="s">
        <v>3254</v>
      </c>
      <c r="E61" s="31" t="str">
        <f>IFERROR(__xludf.DUMMYFUNCTION("IF(ISBLANK(D61), """", GOOGLETRANSLATE(D61, ""es"", ""en""))"),"Earned Value")</f>
        <v>Earned Value</v>
      </c>
    </row>
    <row r="62" ht="15.75" customHeight="1">
      <c r="B62" s="36" t="s">
        <v>3135</v>
      </c>
      <c r="C62" s="32" t="s">
        <v>3271</v>
      </c>
      <c r="D62" s="30" t="s">
        <v>3255</v>
      </c>
      <c r="E62" s="31" t="str">
        <f>IFERROR(__xludf.DUMMYFUNCTION("IF(ISBLANK(D62), """", GOOGLETRANSLATE(D62, ""es"", ""en""))"),"Released Value")</f>
        <v>Released Value</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0"/>
  <cols>
    <col customWidth="1" min="1" max="1" width="4.5"/>
    <col customWidth="1" min="2" max="3" width="29.63"/>
    <col customWidth="1" min="4" max="4" width="74.13"/>
    <col customWidth="1" min="5" max="6" width="47.0"/>
  </cols>
  <sheetData>
    <row r="1" ht="15.75" customHeight="1">
      <c r="B1" s="4"/>
      <c r="C1" s="4"/>
      <c r="D1" s="3"/>
      <c r="E1" s="56"/>
      <c r="F1" s="56"/>
    </row>
    <row r="2" ht="15.75" customHeight="1">
      <c r="B2" s="6" t="s">
        <v>1</v>
      </c>
      <c r="C2" s="6" t="s">
        <v>2</v>
      </c>
      <c r="D2" s="7" t="s">
        <v>3</v>
      </c>
      <c r="E2" s="7" t="s">
        <v>4</v>
      </c>
      <c r="F2" s="56"/>
    </row>
    <row r="3" ht="15.75" customHeight="1">
      <c r="B3" s="57" t="s">
        <v>946</v>
      </c>
      <c r="C3" s="10" t="s">
        <v>947</v>
      </c>
      <c r="D3" s="11" t="s">
        <v>948</v>
      </c>
      <c r="E3" s="12" t="s">
        <v>949</v>
      </c>
      <c r="F3" s="56" t="s">
        <v>950</v>
      </c>
    </row>
    <row r="4" ht="15.75" customHeight="1">
      <c r="B4" s="57" t="s">
        <v>951</v>
      </c>
      <c r="C4" s="10" t="s">
        <v>952</v>
      </c>
      <c r="D4" s="11" t="s">
        <v>953</v>
      </c>
      <c r="E4" s="15" t="s">
        <v>954</v>
      </c>
      <c r="F4" s="56"/>
    </row>
    <row r="5" ht="15.75" customHeight="1">
      <c r="B5" s="57" t="s">
        <v>951</v>
      </c>
      <c r="C5" s="10" t="s">
        <v>955</v>
      </c>
      <c r="D5" s="11" t="s">
        <v>956</v>
      </c>
      <c r="E5" s="12" t="s">
        <v>957</v>
      </c>
      <c r="F5" s="56"/>
    </row>
    <row r="6" ht="15.75" customHeight="1">
      <c r="B6" s="4"/>
      <c r="C6" s="4"/>
      <c r="D6" s="3"/>
      <c r="E6" s="56"/>
      <c r="F6" s="56"/>
    </row>
    <row r="7" ht="15.75" customHeight="1">
      <c r="B7" s="4"/>
      <c r="C7" s="4"/>
      <c r="D7" s="3"/>
      <c r="E7" s="56"/>
      <c r="F7" s="56"/>
    </row>
    <row r="8" ht="27.0" customHeight="1">
      <c r="B8" s="58"/>
      <c r="C8" s="58" t="s">
        <v>958</v>
      </c>
    </row>
    <row r="9" ht="33.0" customHeight="1">
      <c r="B9" s="59"/>
      <c r="C9" s="59" t="s">
        <v>959</v>
      </c>
      <c r="E9" s="60" t="str">
        <f>IFERROR(__xludf.DUMMYFUNCTION("IF(ISBLANK(C9), """", GOOGLETRANSLATE(C9, ""es"", ""en""))"),"Detail of expense items and their classifiers.")</f>
        <v>Detail of expense items and their classifiers.</v>
      </c>
    </row>
    <row r="10" ht="15.75" customHeight="1">
      <c r="B10" s="61"/>
      <c r="C10" s="7" t="s">
        <v>960</v>
      </c>
      <c r="D10" s="62" t="s">
        <v>961</v>
      </c>
      <c r="E10" s="63" t="s">
        <v>962</v>
      </c>
      <c r="F10" s="63" t="s">
        <v>963</v>
      </c>
    </row>
    <row r="11" ht="15.75" customHeight="1">
      <c r="B11" s="4"/>
      <c r="C11" s="31" t="s">
        <v>964</v>
      </c>
      <c r="D11" s="32" t="s">
        <v>965</v>
      </c>
      <c r="E11" s="64" t="s">
        <v>966</v>
      </c>
      <c r="F11" s="65" t="str">
        <f>IFERROR(__xludf.DUMMYFUNCTION("IF(ISBLANK(E11), """", GOOGLETRANSLATE(E11, ""es"", ""en""))"),"Internal code identifying the expense item")</f>
        <v>Internal code identifying the expense item</v>
      </c>
    </row>
    <row r="12" ht="15.75" customHeight="1">
      <c r="B12" s="4"/>
      <c r="C12" s="31" t="s">
        <v>967</v>
      </c>
      <c r="D12" s="32">
        <v>2024.0</v>
      </c>
      <c r="E12" s="64" t="s">
        <v>968</v>
      </c>
      <c r="F12" s="65" t="str">
        <f>IFERROR(__xludf.DUMMYFUNCTION("IF(ISBLANK(E12), """", GOOGLETRANSLATE(E12, ""es"", ""en""))"),"The year to which the expense item corresponds. Each expense item is unique in each year")</f>
        <v>The year to which the expense item corresponds. Each expense item is unique in each year</v>
      </c>
    </row>
    <row r="13" ht="15.75" customHeight="1">
      <c r="B13" s="4"/>
      <c r="C13" s="31" t="s">
        <v>969</v>
      </c>
      <c r="D13" s="32" t="s">
        <v>970</v>
      </c>
      <c r="E13" s="64" t="s">
        <v>971</v>
      </c>
      <c r="F13" s="65" t="str">
        <f>IFERROR(__xludf.DUMMYFUNCTION("IF(ISBLANK(E13), """", GOOGLETRANSLATE(E13, ""es"", ""en""))"),"Identifier code of the institutional level to which the expense item is assigned")</f>
        <v>Identifier code of the institutional level to which the expense item is assigned</v>
      </c>
    </row>
    <row r="14" ht="15.75" customHeight="1">
      <c r="B14" s="4"/>
      <c r="C14" s="31" t="s">
        <v>972</v>
      </c>
      <c r="D14" s="32" t="s">
        <v>973</v>
      </c>
      <c r="E14" s="64" t="s">
        <v>974</v>
      </c>
      <c r="F14" s="65" t="str">
        <f>IFERROR(__xludf.DUMMYFUNCTION("IF(ISBLANK(E14), """", GOOGLETRANSLATE(E14, ""es"", ""en""))"),"Name or identification of the institutional level to which the expense item is assigned")</f>
        <v>Name or identification of the institutional level to which the expense item is assigned</v>
      </c>
    </row>
    <row r="15" ht="15.75" customHeight="1">
      <c r="B15" s="4"/>
      <c r="C15" s="31" t="s">
        <v>975</v>
      </c>
      <c r="D15" s="32">
        <v>201.0</v>
      </c>
      <c r="E15" s="64" t="s">
        <v>976</v>
      </c>
      <c r="F15" s="65" t="str">
        <f>IFERROR(__xludf.DUMMYFUNCTION("IF(ISBLANK(E15), """", GOOGLETRANSLATE(E15, ""es"", ""en""))"),"Identifier code of the highest level of hierarchy within the institutional level")</f>
        <v>Identifier code of the highest level of hierarchy within the institutional level</v>
      </c>
    </row>
    <row r="16" ht="15.75" customHeight="1">
      <c r="B16" s="4"/>
      <c r="C16" s="31" t="s">
        <v>977</v>
      </c>
      <c r="D16" s="32" t="s">
        <v>978</v>
      </c>
      <c r="E16" s="64" t="s">
        <v>979</v>
      </c>
      <c r="F16" s="65" t="str">
        <f>IFERROR(__xludf.DUMMYFUNCTION("IF(ISBLANK(E16), """", GOOGLETRANSLATE(E16, ""es"", ""en""))"),"Name or identification of the highest level of hierarchy within the institutional level")</f>
        <v>Name or identification of the highest level of hierarchy within the institutional level</v>
      </c>
    </row>
    <row r="17" ht="15.75" customHeight="1">
      <c r="B17" s="4"/>
      <c r="C17" s="31" t="s">
        <v>980</v>
      </c>
      <c r="D17" s="32">
        <v>1.0</v>
      </c>
      <c r="E17" s="64" t="s">
        <v>981</v>
      </c>
      <c r="F17" s="65" t="str">
        <f>IFERROR(__xludf.DUMMYFUNCTION("IF(ISBLANK(E17), """", GOOGLETRANSLATE(E17, ""es"", ""en""))"),"Identification code of the second level of hierarchy within the institutional level")</f>
        <v>Identification code of the second level of hierarchy within the institutional level</v>
      </c>
    </row>
    <row r="18" ht="15.75" customHeight="1">
      <c r="B18" s="4"/>
      <c r="C18" s="31" t="s">
        <v>982</v>
      </c>
      <c r="D18" s="32" t="s">
        <v>983</v>
      </c>
      <c r="E18" s="64" t="s">
        <v>984</v>
      </c>
      <c r="F18" s="65" t="str">
        <f>IFERROR(__xludf.DUMMYFUNCTION("IF(ISBLANK(E18), """", GOOGLETRANSLATE(E18, ""es"", ""en""))"),"Name or identification of the second level of hierarchy within the institutional level")</f>
        <v>Name or identification of the second level of hierarchy within the institutional level</v>
      </c>
    </row>
    <row r="19" ht="15.75" customHeight="1">
      <c r="B19" s="4"/>
      <c r="C19" s="31" t="s">
        <v>985</v>
      </c>
      <c r="D19" s="32">
        <v>9.0</v>
      </c>
      <c r="E19" s="64" t="s">
        <v>986</v>
      </c>
      <c r="F19" s="65" t="str">
        <f>IFERROR(__xludf.DUMMYFUNCTION("IF(ISBLANK(E19), """", GOOGLETRANSLATE(E19, ""es"", ""en""))"),"Identifier code of the Executing Unit assigned to the expense item.")</f>
        <v>Identifier code of the Executing Unit assigned to the expense item.</v>
      </c>
    </row>
    <row r="20" ht="15.75" customHeight="1">
      <c r="B20" s="4"/>
      <c r="C20" s="31" t="s">
        <v>987</v>
      </c>
      <c r="D20" s="32" t="s">
        <v>988</v>
      </c>
      <c r="E20" s="64" t="s">
        <v>989</v>
      </c>
      <c r="F20" s="65" t="str">
        <f>IFERROR(__xludf.DUMMYFUNCTION("IF(ISBLANK(E20), """", GOOGLETRANSLATE(E20, ""es"", ""en""))"),"Name or identification of the Executing Unit. Order the public sector institutions according to the institutional level to which they correspond. Defines budget items from the point of view of ""Who Spends"".")</f>
        <v>Name or identification of the Executing Unit. Order the public sector institutions according to the institutional level to which they correspond. Defines budget items from the point of view of "Who Spends".</v>
      </c>
    </row>
    <row r="21" ht="15.75" customHeight="1">
      <c r="B21" s="4"/>
      <c r="C21" s="31" t="s">
        <v>990</v>
      </c>
      <c r="D21" s="32" t="s">
        <v>991</v>
      </c>
      <c r="E21" s="64" t="s">
        <v>992</v>
      </c>
      <c r="F21" s="65" t="str">
        <f>IFERROR(__xludf.DUMMYFUNCTION("IF(ISBLANK(E21), """", GOOGLETRANSLATE(E21, ""es"", ""en""))"),"Complete description of the Executing Unit that includes the codes of the first and second institutional level. It organizes the public sector institutions according to the institutional level to which they correspond.")</f>
        <v>Complete description of the Executing Unit that includes the codes of the first and second institutional level. It organizes the public sector institutions according to the institutional level to which they correspond.</v>
      </c>
    </row>
    <row r="22" ht="15.75" customHeight="1">
      <c r="B22" s="4"/>
      <c r="C22" s="31" t="s">
        <v>993</v>
      </c>
      <c r="D22" s="32">
        <v>22.0</v>
      </c>
      <c r="E22" s="64" t="s">
        <v>994</v>
      </c>
      <c r="F22" s="65" t="str">
        <f>IFERROR(__xludf.DUMMYFUNCTION("IF(ISBLANK(E22), """", GOOGLETRANSLATE(E22, ""es"", ""en""))"),"Program identification code. It is a structure that allows you to identify a specific objective that you want to achieve.")</f>
        <v>Program identification code. It is a structure that allows you to identify a specific objective that you want to achieve.</v>
      </c>
    </row>
    <row r="23" ht="15.75" customHeight="1">
      <c r="B23" s="4"/>
      <c r="C23" s="31" t="s">
        <v>995</v>
      </c>
      <c r="D23" s="32" t="s">
        <v>996</v>
      </c>
      <c r="E23" s="64" t="s">
        <v>997</v>
      </c>
      <c r="F23" s="65" t="str">
        <f>IFERROR(__xludf.DUMMYFUNCTION("IF(ISBLANK(E23), """", GOOGLETRANSLATE(E23, ""es"", ""en""))"),"Name or identification of the program. It is a structure that allows you to identify a specific objective that you want to achieve.")</f>
        <v>Name or identification of the program. It is a structure that allows you to identify a specific objective that you want to achieve.</v>
      </c>
    </row>
    <row r="24" ht="15.75" customHeight="1">
      <c r="B24" s="4"/>
      <c r="C24" s="31" t="s">
        <v>998</v>
      </c>
      <c r="D24" s="32">
        <v>3.0</v>
      </c>
      <c r="E24" s="64" t="s">
        <v>999</v>
      </c>
      <c r="F24" s="65" t="str">
        <f>IFERROR(__xludf.DUMMYFUNCTION("IF(ISBLANK(E24), """", GOOGLETRANSLATE(E24, ""es"", ""en""))"),"Product identification code associated with the expense item. ")</f>
        <v>Product identification code associated with the expense item. </v>
      </c>
    </row>
    <row r="25" ht="15.75" customHeight="1">
      <c r="B25" s="4"/>
      <c r="C25" s="31" t="s">
        <v>1000</v>
      </c>
      <c r="D25" s="32" t="s">
        <v>1001</v>
      </c>
      <c r="E25" s="64" t="s">
        <v>1002</v>
      </c>
      <c r="F25" s="65" t="str">
        <f>IFERROR(__xludf.DUMMYFUNCTION("IF(ISBLANK(E25), """", GOOGLETRANSLATE(E25, ""es"", ""en""))"),"Name or identification of the product associated with the expense item.")</f>
        <v>Name or identification of the product associated with the expense item.</v>
      </c>
    </row>
    <row r="26" ht="15.75" customHeight="1">
      <c r="B26" s="4"/>
      <c r="C26" s="31" t="s">
        <v>1003</v>
      </c>
      <c r="D26" s="32">
        <v>90.0</v>
      </c>
      <c r="E26" s="64" t="s">
        <v>1004</v>
      </c>
      <c r="F26" s="65" t="str">
        <f>IFERROR(__xludf.DUMMYFUNCTION("IF(ISBLANK(E26), """", GOOGLETRANSLATE(E26, ""es"", ""en""))"),"Identifier code of the project to which the expense item is assigned.")</f>
        <v>Identifier code of the project to which the expense item is assigned.</v>
      </c>
    </row>
    <row r="27" ht="15.75" customHeight="1">
      <c r="B27" s="4"/>
      <c r="C27" s="31" t="s">
        <v>1005</v>
      </c>
      <c r="D27" s="32" t="s">
        <v>1006</v>
      </c>
      <c r="E27" s="64" t="s">
        <v>1007</v>
      </c>
      <c r="F27" s="65" t="str">
        <f>IFERROR(__xludf.DUMMYFUNCTION("IF(ISBLANK(E27), """", GOOGLETRANSLATE(E27, ""es"", ""en""))"),"Name or description of the project to which the expense item is assigned.")</f>
        <v>Name or description of the project to which the expense item is assigned.</v>
      </c>
    </row>
    <row r="28" ht="15.75" customHeight="1">
      <c r="B28" s="4"/>
      <c r="C28" s="31" t="s">
        <v>1008</v>
      </c>
      <c r="D28" s="32">
        <v>52.0</v>
      </c>
      <c r="E28" s="64" t="s">
        <v>1009</v>
      </c>
      <c r="F28" s="65" t="str">
        <f>IFERROR(__xludf.DUMMYFUNCTION("IF(ISBLANK(E28), """", GOOGLETRANSLATE(E28, ""es"", ""en""))"),"Identification code of the activity or work associated with the expense item")</f>
        <v>Identification code of the activity or work associated with the expense item</v>
      </c>
    </row>
    <row r="29" ht="15.75" customHeight="1">
      <c r="B29" s="4"/>
      <c r="C29" s="31" t="s">
        <v>1010</v>
      </c>
      <c r="D29" s="32" t="s">
        <v>1011</v>
      </c>
      <c r="E29" s="64" t="s">
        <v>1012</v>
      </c>
      <c r="F29" s="65" t="str">
        <f>IFERROR(__xludf.DUMMYFUNCTION("IF(ISBLANK(E29), """", GOOGLETRANSLATE(E29, ""es"", ""en""))"),"Name or identification of the activity or work associated with the expense item. Identify a goal or objective to achieve.")</f>
        <v>Name or identification of the activity or work associated with the expense item. Identify a goal or objective to achieve.</v>
      </c>
    </row>
    <row r="30" ht="15.75" customHeight="1">
      <c r="B30" s="4"/>
      <c r="C30" s="31" t="s">
        <v>1013</v>
      </c>
      <c r="D30" s="32" t="s">
        <v>1014</v>
      </c>
      <c r="E30" s="64" t="s">
        <v>1015</v>
      </c>
      <c r="F30" s="65" t="str">
        <f>IFERROR(__xludf.DUMMYFUNCTION("IF(ISBLANK(E30), """", GOOGLETRANSLATE(E30, ""es"", ""en""))"),"Full name of the activity or work associated with the expense item that includes the codes at the Program / Product / Project / Activity level. Identify a goal or objective to achieve.")</f>
        <v>Full name of the activity or work associated with the expense item that includes the codes at the Program / Product / Project / Activity level. Identify a goal or objective to achieve.</v>
      </c>
    </row>
    <row r="31" ht="15.75" customHeight="1">
      <c r="B31" s="4"/>
      <c r="C31" s="31" t="s">
        <v>1016</v>
      </c>
      <c r="D31" s="32">
        <v>100.0</v>
      </c>
      <c r="E31" s="64" t="s">
        <v>1017</v>
      </c>
      <c r="F31" s="65" t="str">
        <f>IFERROR(__xludf.DUMMYFUNCTION("IF(ISBLANK(E31), """", GOOGLETRANSLATE(E31, ""es"", ""en""))"),"Identifier code of the financing organization associated with the expense item.")</f>
        <v>Identifier code of the financing organization associated with the expense item.</v>
      </c>
    </row>
    <row r="32" ht="15.75" customHeight="1">
      <c r="B32" s="4"/>
      <c r="C32" s="31" t="s">
        <v>1018</v>
      </c>
      <c r="D32" s="32" t="s">
        <v>1019</v>
      </c>
      <c r="E32" s="64" t="s">
        <v>1020</v>
      </c>
      <c r="F32" s="65" t="str">
        <f>IFERROR(__xludf.DUMMYFUNCTION("IF(ISBLANK(E32), """", GOOGLETRANSLATE(E32, ""es"", ""en""))"),"Name or identification of the national and international organizations that finance the budget of public sector institutions")</f>
        <v>Name or identification of the national and international organizations that finance the budget of public sector institutions</v>
      </c>
    </row>
    <row r="33" ht="15.75" customHeight="1">
      <c r="B33" s="4"/>
      <c r="C33" s="31" t="s">
        <v>1021</v>
      </c>
      <c r="D33" s="32">
        <v>10.0</v>
      </c>
      <c r="E33" s="64" t="s">
        <v>1022</v>
      </c>
      <c r="F33" s="65" t="str">
        <f>IFERROR(__xludf.DUMMYFUNCTION("IF(ISBLANK(E33), """", GOOGLETRANSLATE(E33, ""es"", ""en""))"),"Identifier code of the Financing Source associated with the expense item.")</f>
        <v>Identifier code of the Financing Source associated with the expense item.</v>
      </c>
    </row>
    <row r="34" ht="15.75" customHeight="1">
      <c r="B34" s="4"/>
      <c r="C34" s="31" t="s">
        <v>1023</v>
      </c>
      <c r="D34" s="32" t="s">
        <v>1024</v>
      </c>
      <c r="E34" s="64" t="s">
        <v>1025</v>
      </c>
      <c r="F34" s="65" t="str">
        <f>IFERROR(__xludf.DUMMYFUNCTION("IF(ISBLANK(E34), """", GOOGLETRANSLATE(E34, ""es"", ""en""))"),"Name or identification of the Financing Source associated with the expense item. Presents public resources according to the type of resource used for financing")</f>
        <v>Name or identification of the Financing Source associated with the expense item. Presents public resources according to the type of resource used for financing</v>
      </c>
    </row>
    <row r="35" ht="15.75" customHeight="1">
      <c r="B35" s="4"/>
      <c r="C35" s="31" t="s">
        <v>1026</v>
      </c>
      <c r="D35" s="32">
        <v>100.0</v>
      </c>
      <c r="E35" s="64" t="s">
        <v>1027</v>
      </c>
      <c r="F35" s="65" t="str">
        <f>IFERROR(__xludf.DUMMYFUNCTION("IF(ISBLANK(E35), """", GOOGLETRANSLATE(E35, ""es"", ""en""))"),"Identifier code of the specific source associated with the expense item.")</f>
        <v>Identifier code of the specific source associated with the expense item.</v>
      </c>
    </row>
    <row r="36" ht="15.75" customHeight="1">
      <c r="B36" s="4"/>
      <c r="C36" s="31" t="s">
        <v>1028</v>
      </c>
      <c r="D36" s="32" t="s">
        <v>1024</v>
      </c>
      <c r="E36" s="64" t="s">
        <v>1029</v>
      </c>
      <c r="F36" s="65" t="str">
        <f>IFERROR(__xludf.DUMMYFUNCTION("IF(ISBLANK(E36), """", GOOGLETRANSLATE(E36, ""es"", ""en""))"),"Name or identification of the specific source associated with the expense item.")</f>
        <v>Name or identification of the specific source associated with the expense item.</v>
      </c>
    </row>
    <row r="37" ht="15.75" customHeight="1">
      <c r="B37" s="4"/>
      <c r="C37" s="31" t="s">
        <v>1030</v>
      </c>
      <c r="D37" s="32">
        <v>4.0</v>
      </c>
      <c r="E37" s="64" t="s">
        <v>1031</v>
      </c>
      <c r="F37" s="65" t="str">
        <f>IFERROR(__xludf.DUMMYFUNCTION("IF(ISBLANK(E37), """", GOOGLETRANSLATE(E37, ""es"", ""en""))"),"Identifier code of the purpose associated with the expense item.")</f>
        <v>Identifier code of the purpose associated with the expense item.</v>
      </c>
    </row>
    <row r="38" ht="15.75" customHeight="1">
      <c r="B38" s="4"/>
      <c r="C38" s="31" t="s">
        <v>1032</v>
      </c>
      <c r="D38" s="32" t="s">
        <v>1033</v>
      </c>
      <c r="E38" s="64" t="s">
        <v>1034</v>
      </c>
      <c r="F38" s="65" t="str">
        <f>IFERROR(__xludf.DUMMYFUNCTION("IF(ISBLANK(E38), """", GOOGLETRANSLATE(E38, ""es"", ""en""))"),"Name or identification of the purpose associated with the expense item. First level of classification of the destination of resources.")</f>
        <v>Name or identification of the purpose associated with the expense item. First level of classification of the destination of resources.</v>
      </c>
    </row>
    <row r="39" ht="15.75" customHeight="1">
      <c r="B39" s="4"/>
      <c r="C39" s="31" t="s">
        <v>1035</v>
      </c>
      <c r="D39" s="66">
        <v>45355.0</v>
      </c>
      <c r="E39" s="64" t="s">
        <v>1036</v>
      </c>
      <c r="F39" s="65" t="str">
        <f>IFERROR(__xludf.DUMMYFUNCTION("IF(ISBLANK(E39), """", GOOGLETRANSLATE(E39, ""es"", ""en""))"),"Identifier code of the function associated with the expense item.")</f>
        <v>Identifier code of the function associated with the expense item.</v>
      </c>
    </row>
    <row r="40" ht="15.75" customHeight="1">
      <c r="B40" s="4"/>
      <c r="C40" s="31" t="s">
        <v>1037</v>
      </c>
      <c r="D40" s="32" t="s">
        <v>1038</v>
      </c>
      <c r="E40" s="64" t="s">
        <v>1039</v>
      </c>
      <c r="F40" s="65" t="str">
        <f>IFERROR(__xludf.DUMMYFUNCTION("IF(ISBLANK(E40), """", GOOGLETRANSLATE(E40, ""es"", ""en""))"),"Name or identification of the function associated with the expense item. Second level level of classification of the destination of resources.")</f>
        <v>Name or identification of the function associated with the expense item. Second level level of classification of the destination of resources.</v>
      </c>
    </row>
    <row r="41" ht="15.75" customHeight="1">
      <c r="B41" s="4"/>
      <c r="C41" s="31" t="s">
        <v>1040</v>
      </c>
      <c r="D41" s="53">
        <v>37319.0</v>
      </c>
      <c r="E41" s="64" t="s">
        <v>1041</v>
      </c>
      <c r="F41" s="65" t="str">
        <f>IFERROR(__xludf.DUMMYFUNCTION("IF(ISBLANK(E41), """", GOOGLETRANSLATE(E41, ""es"", ""en""))"),"Identifier code of the subfunction associated with the expense item.")</f>
        <v>Identifier code of the subfunction associated with the expense item.</v>
      </c>
    </row>
    <row r="42" ht="15.75" customHeight="1">
      <c r="B42" s="4"/>
      <c r="C42" s="31" t="s">
        <v>1042</v>
      </c>
      <c r="D42" s="32" t="s">
        <v>1043</v>
      </c>
      <c r="E42" s="64" t="s">
        <v>1044</v>
      </c>
      <c r="F42" s="65" t="str">
        <f>IFERROR(__xludf.DUMMYFUNCTION("IF(ISBLANK(E42), """", GOOGLETRANSLATE(E42, ""es"", ""en""))"),"Name or identification of the subfunction associated with the expense item. Third level of classification of the destination of resources.")</f>
        <v>Name or identification of the subfunction associated with the expense item. Third level of classification of the destination of resources.</v>
      </c>
    </row>
    <row r="43" ht="15.75" customHeight="1">
      <c r="B43" s="4"/>
      <c r="C43" s="31" t="s">
        <v>1045</v>
      </c>
      <c r="D43" s="32">
        <v>2.0</v>
      </c>
      <c r="E43" s="64" t="s">
        <v>1046</v>
      </c>
      <c r="F43" s="65" t="str">
        <f>IFERROR(__xludf.DUMMYFUNCTION("IF(ISBLANK(E43), """", GOOGLETRANSLATE(E43, ""es"", ""en""))"),"Identifier code of the type of expense item")</f>
        <v>Identifier code of the type of expense item</v>
      </c>
    </row>
    <row r="44" ht="15.75" customHeight="1">
      <c r="B44" s="4"/>
      <c r="C44" s="31" t="s">
        <v>1047</v>
      </c>
      <c r="D44" s="32" t="s">
        <v>1048</v>
      </c>
      <c r="E44" s="64" t="s">
        <v>1049</v>
      </c>
      <c r="F44" s="65" t="str">
        <f>IFERROR(__xludf.DUMMYFUNCTION("IF(ISBLANK(E44), """", GOOGLETRANSLATE(E44, ""es"", ""en""))"),"Name or identification of the type of expense item.")</f>
        <v>Name or identification of the type of expense item.</v>
      </c>
    </row>
    <row r="45" ht="15.75" customHeight="1">
      <c r="B45" s="4"/>
      <c r="C45" s="31" t="s">
        <v>1050</v>
      </c>
      <c r="D45" s="66">
        <v>45475.0</v>
      </c>
      <c r="E45" s="64" t="s">
        <v>1051</v>
      </c>
      <c r="F45" s="65" t="str">
        <f>IFERROR(__xludf.DUMMYFUNCTION("IF(ISBLANK(E45), """", GOOGLETRANSLATE(E45, ""es"", ""en""))"),"Identification code of the concept associated with the expense item.")</f>
        <v>Identification code of the concept associated with the expense item.</v>
      </c>
    </row>
    <row r="46" ht="15.75" customHeight="1">
      <c r="B46" s="4"/>
      <c r="C46" s="31" t="s">
        <v>1052</v>
      </c>
      <c r="D46" s="32" t="s">
        <v>1053</v>
      </c>
      <c r="E46" s="64" t="s">
        <v>1054</v>
      </c>
      <c r="F46" s="65" t="str">
        <f>IFERROR(__xludf.DUMMYFUNCTION("IF(ISBLANK(E46), """", GOOGLETRANSLATE(E46, ""es"", ""en""))"),"Name or identification of the concept associated with the expense item.  First level of organization according to the good or service that is acquired")</f>
        <v>Name or identification of the concept associated with the expense item.  First level of organization according to the good or service that is acquired</v>
      </c>
    </row>
    <row r="47" ht="15.75" customHeight="1">
      <c r="B47" s="4"/>
      <c r="C47" s="31" t="s">
        <v>1055</v>
      </c>
      <c r="D47" s="67">
        <v>37074.0</v>
      </c>
      <c r="E47" s="64" t="s">
        <v>1056</v>
      </c>
      <c r="F47" s="65" t="str">
        <f>IFERROR(__xludf.DUMMYFUNCTION("IF(ISBLANK(E47), """", GOOGLETRANSLATE(E47, ""es"", ""en""))"),"Account identification code associated with the expense item.")</f>
        <v>Account identification code associated with the expense item.</v>
      </c>
    </row>
    <row r="48" ht="15.75" customHeight="1">
      <c r="B48" s="4"/>
      <c r="C48" s="31" t="s">
        <v>1057</v>
      </c>
      <c r="D48" s="32" t="s">
        <v>1058</v>
      </c>
      <c r="E48" s="64" t="s">
        <v>1059</v>
      </c>
      <c r="F48" s="65" t="str">
        <f>IFERROR(__xludf.DUMMYFUNCTION("IF(ISBLANK(E48), """", GOOGLETRANSLATE(E48, ""es"", ""en""))"),"Name or identification of the account associated with the expense item.  Second level of organization according to the good or service that is acquired")</f>
        <v>Name or identification of the account associated with the expense item.  Second level of organization according to the good or service that is acquired</v>
      </c>
    </row>
    <row r="49" ht="15.75" customHeight="1">
      <c r="B49" s="4"/>
      <c r="C49" s="31" t="s">
        <v>1060</v>
      </c>
      <c r="D49" s="32" t="s">
        <v>1061</v>
      </c>
      <c r="E49" s="64" t="s">
        <v>1062</v>
      </c>
      <c r="F49" s="65" t="str">
        <f>IFERROR(__xludf.DUMMYFUNCTION("IF(ISBLANK(E49), """", GOOGLETRANSLATE(E49, ""es"", ""en""))"),"Subaccount identifier code associated with the expense item.")</f>
        <v>Subaccount identifier code associated with the expense item.</v>
      </c>
    </row>
    <row r="50" ht="15.75" customHeight="1">
      <c r="B50" s="4"/>
      <c r="C50" s="31" t="s">
        <v>1063</v>
      </c>
      <c r="D50" s="32" t="s">
        <v>1064</v>
      </c>
      <c r="E50" s="64" t="s">
        <v>1065</v>
      </c>
      <c r="F50" s="65" t="str">
        <f>IFERROR(__xludf.DUMMYFUNCTION("IF(ISBLANK(E50), """", GOOGLETRANSLATE(E50, ""es"", ""en""))"),"Name or identification of the subaccount associated with the expense item. Third level of organization according to the good or service that is acquired")</f>
        <v>Name or identification of the subaccount associated with the expense item. Third level of organization according to the good or service that is acquired</v>
      </c>
    </row>
    <row r="51" ht="15.75" customHeight="1">
      <c r="B51" s="4"/>
      <c r="C51" s="31" t="s">
        <v>1066</v>
      </c>
      <c r="D51" s="32" t="s">
        <v>1067</v>
      </c>
      <c r="E51" s="64" t="s">
        <v>1068</v>
      </c>
      <c r="F51" s="65" t="str">
        <f>IFERROR(__xludf.DUMMYFUNCTION("IF(ISBLANK(E51), """", GOOGLETRANSLATE(E51, ""es"", ""en""))"),"Identifier code of the auxiliary associated with the expense item.")</f>
        <v>Identifier code of the auxiliary associated with the expense item.</v>
      </c>
    </row>
    <row r="52" ht="15.75" customHeight="1">
      <c r="B52" s="4"/>
      <c r="C52" s="31" t="s">
        <v>1069</v>
      </c>
      <c r="D52" s="32" t="s">
        <v>1064</v>
      </c>
      <c r="E52" s="64" t="s">
        <v>1070</v>
      </c>
      <c r="F52" s="65" t="str">
        <f>IFERROR(__xludf.DUMMYFUNCTION("IF(ISBLANK(E52), """", GOOGLETRANSLATE(E52, ""es"", ""en""))"),"Name or identification of the assistant associated with the expense item.  Fourth level of organization according to the good or service that is acquired")</f>
        <v>Name or identification of the assistant associated with the expense item.  Fourth level of organization according to the good or service that is acquired</v>
      </c>
    </row>
    <row r="53" ht="15.75" customHeight="1">
      <c r="B53" s="4"/>
      <c r="C53" s="31" t="s">
        <v>1071</v>
      </c>
      <c r="D53" s="32">
        <v>2.0</v>
      </c>
      <c r="E53" s="64" t="s">
        <v>1072</v>
      </c>
      <c r="F53" s="65" t="str">
        <f>IFERROR(__xludf.DUMMYFUNCTION("IF(ISBLANK(E53), """", GOOGLETRANSLATE(E53, ""es"", ""en""))"),"Identifier code of the type of economic classification assigned to the expense item")</f>
        <v>Identifier code of the type of economic classification assigned to the expense item</v>
      </c>
    </row>
    <row r="54" ht="15.75" customHeight="1">
      <c r="B54" s="4"/>
      <c r="C54" s="31" t="s">
        <v>1073</v>
      </c>
      <c r="D54" s="32" t="s">
        <v>1048</v>
      </c>
      <c r="E54" s="64" t="s">
        <v>1074</v>
      </c>
      <c r="F54" s="65" t="str">
        <f>IFERROR(__xludf.DUMMYFUNCTION("IF(ISBLANK(E54), """", GOOGLETRANSLATE(E54, ""es"", ""en""))"),"Name or identification of the type of economic classification assigned to the expense item. It allows identifying the economic nature of the transactions carried out by the public sector, with the purpose of evaluating the impact and repercussions generat"&amp;"ed by fiscal actions.")</f>
        <v>Name or identification of the type of economic classification assigned to the expense item. It allows identifying the economic nature of the transactions carried out by the public sector, with the purpose of evaluating the impact and repercussions generated by fiscal actions.</v>
      </c>
    </row>
    <row r="55" ht="15.75" customHeight="1">
      <c r="B55" s="4"/>
      <c r="C55" s="31" t="s">
        <v>1075</v>
      </c>
      <c r="D55" s="66">
        <v>45324.0</v>
      </c>
      <c r="E55" s="64" t="s">
        <v>1076</v>
      </c>
      <c r="F55" s="65" t="str">
        <f>IFERROR(__xludf.DUMMYFUNCTION("IF(ISBLANK(E55), """", GOOGLETRANSLATE(E55, ""es"", ""en""))"),"Identifier code of the economic classification title assigned to the expense item")</f>
        <v>Identifier code of the economic classification title assigned to the expense item</v>
      </c>
    </row>
    <row r="56" ht="15.75" customHeight="1">
      <c r="B56" s="4"/>
      <c r="C56" s="31" t="s">
        <v>1077</v>
      </c>
      <c r="D56" s="32" t="s">
        <v>1078</v>
      </c>
      <c r="E56" s="64" t="s">
        <v>1079</v>
      </c>
      <c r="F56" s="65" t="str">
        <f>IFERROR(__xludf.DUMMYFUNCTION("IF(ISBLANK(E56), """", GOOGLETRANSLATE(E56, ""es"", ""en""))"),"Name or identification of the title (first level) of economic classification assigned to the expense item. It allows identifying the economic nature of the transactions carried out by the public sector, with the purpose of evaluating the impact and reperc"&amp;"ussions generated by fiscal actions.")</f>
        <v>Name or identification of the title (first level) of economic classification assigned to the expense item. It allows identifying the economic nature of the transactions carried out by the public sector, with the purpose of evaluating the impact and repercussions generated by fiscal actions.</v>
      </c>
    </row>
    <row r="57" ht="15.75" customHeight="1">
      <c r="B57" s="4"/>
      <c r="C57" s="31" t="s">
        <v>1080</v>
      </c>
      <c r="D57" s="67">
        <v>37289.0</v>
      </c>
      <c r="E57" s="64" t="s">
        <v>1081</v>
      </c>
      <c r="F57" s="65" t="str">
        <f>IFERROR(__xludf.DUMMYFUNCTION("IF(ISBLANK(E57), """", GOOGLETRANSLATE(E57, ""es"", ""en""))"),"Identifier code of the economic classification subtitle assigned to the expense item")</f>
        <v>Identifier code of the economic classification subtitle assigned to the expense item</v>
      </c>
    </row>
    <row r="58" ht="15.75" customHeight="1">
      <c r="B58" s="4"/>
      <c r="C58" s="31" t="s">
        <v>1082</v>
      </c>
      <c r="D58" s="32" t="s">
        <v>1083</v>
      </c>
      <c r="E58" s="64" t="s">
        <v>1084</v>
      </c>
      <c r="F58" s="65" t="str">
        <f>IFERROR(__xludf.DUMMYFUNCTION("IF(ISBLANK(E58), """", GOOGLETRANSLATE(E58, ""es"", ""en""))"),"Name or identification of the subtitle (second level) of economic classification assigned to the expense item. It allows identifying the economic nature of the transactions carried out by the public sector, with the purpose of evaluating the impact and re"&amp;"percussions generated by fiscal actions.")</f>
        <v>Name or identification of the subtitle (second level) of economic classification assigned to the expense item. It allows identifying the economic nature of the transactions carried out by the public sector, with the purpose of evaluating the impact and repercussions generated by fiscal actions.</v>
      </c>
    </row>
    <row r="59" ht="15.75" customHeight="1">
      <c r="B59" s="4"/>
      <c r="C59" s="31" t="s">
        <v>1085</v>
      </c>
      <c r="D59" s="32" t="s">
        <v>1086</v>
      </c>
      <c r="E59" s="64" t="s">
        <v>1087</v>
      </c>
      <c r="F59" s="65" t="str">
        <f>IFERROR(__xludf.DUMMYFUNCTION("IF(ISBLANK(E59), """", GOOGLETRANSLATE(E59, ""es"", ""en""))"),"Identifier code of the economic classification group assigned to the expense item")</f>
        <v>Identifier code of the economic classification group assigned to the expense item</v>
      </c>
    </row>
    <row r="60" ht="15.75" customHeight="1">
      <c r="B60" s="4"/>
      <c r="C60" s="31" t="s">
        <v>1088</v>
      </c>
      <c r="D60" s="32" t="s">
        <v>1089</v>
      </c>
      <c r="E60" s="64" t="s">
        <v>1090</v>
      </c>
      <c r="F60" s="65" t="str">
        <f>IFERROR(__xludf.DUMMYFUNCTION("IF(ISBLANK(E60), """", GOOGLETRANSLATE(E60, ""es"", ""en""))"),"Name or identification of the group (third level) of economic classification assigned to the expense item. It allows identifying the economic nature of the transactions carried out by the public sector, with the purpose of evaluating the impact and reperc"&amp;"ussions generated by fiscal actions.")</f>
        <v>Name or identification of the group (third level) of economic classification assigned to the expense item. It allows identifying the economic nature of the transactions carried out by the public sector, with the purpose of evaluating the impact and repercussions generated by fiscal actions.</v>
      </c>
    </row>
    <row r="61" ht="15.75" customHeight="1">
      <c r="B61" s="4"/>
      <c r="C61" s="31" t="s">
        <v>1091</v>
      </c>
      <c r="D61" s="32" t="s">
        <v>1092</v>
      </c>
      <c r="E61" s="64" t="s">
        <v>1093</v>
      </c>
      <c r="F61" s="65" t="str">
        <f>IFERROR(__xludf.DUMMYFUNCTION("IF(ISBLANK(E61), """", GOOGLETRANSLATE(E61, ""es"", ""en""))"),"Identifier code of the economic classification subgroup assigned to the expense item")</f>
        <v>Identifier code of the economic classification subgroup assigned to the expense item</v>
      </c>
    </row>
    <row r="62" ht="15.75" customHeight="1">
      <c r="B62" s="4"/>
      <c r="C62" s="31" t="s">
        <v>1094</v>
      </c>
      <c r="D62" s="32" t="s">
        <v>1064</v>
      </c>
      <c r="E62" s="64" t="s">
        <v>1095</v>
      </c>
      <c r="F62" s="65" t="str">
        <f>IFERROR(__xludf.DUMMYFUNCTION("IF(ISBLANK(E62), """", GOOGLETRANSLATE(E62, ""es"", ""en""))"),"Name or identification of the subgroup (fourth level) of economic classification assigned to the expense item. It allows identifying the economic nature of the transactions carried out by the public sector, with the purpose of evaluating the impact and re"&amp;"percussions generated by fiscal actions.")</f>
        <v>Name or identification of the subgroup (fourth level) of economic classification assigned to the expense item. It allows identifying the economic nature of the transactions carried out by the public sector, with the purpose of evaluating the impact and repercussions generated by fiscal actions.</v>
      </c>
    </row>
    <row r="63" ht="15.75" customHeight="1">
      <c r="B63" s="4"/>
      <c r="C63" s="31" t="s">
        <v>1096</v>
      </c>
      <c r="D63" s="32" t="s">
        <v>1097</v>
      </c>
      <c r="E63" s="64" t="s">
        <v>1098</v>
      </c>
      <c r="F63" s="65" t="str">
        <f>IFERROR(__xludf.DUMMYFUNCTION("IF(ISBLANK(E63), """", GOOGLETRANSLATE(E63, ""es"", ""en""))"),"Identifier code of the economic classification account assigned to the expense item")</f>
        <v>Identifier code of the economic classification account assigned to the expense item</v>
      </c>
    </row>
    <row r="64" ht="15.75" customHeight="1">
      <c r="B64" s="4"/>
      <c r="C64" s="31" t="s">
        <v>1099</v>
      </c>
      <c r="D64" s="32" t="s">
        <v>1097</v>
      </c>
      <c r="E64" s="64" t="s">
        <v>1100</v>
      </c>
      <c r="F64" s="65" t="str">
        <f>IFERROR(__xludf.DUMMYFUNCTION("IF(ISBLANK(E64), """", GOOGLETRANSLATE(E64, ""es"", ""en""))"),"Name or identification of the account (fifth level) of economic classification assigned to the expense item. It allows identifying the economic nature of the transactions carried out by the public sector, with the purpose of evaluating the impact and repe"&amp;"rcussions generated by fiscal actions.")</f>
        <v>Name or identification of the account (fifth level) of economic classification assigned to the expense item. It allows identifying the economic nature of the transactions carried out by the public sector, with the purpose of evaluating the impact and repercussions generated by fiscal actions.</v>
      </c>
    </row>
    <row r="65" ht="15.75" customHeight="1">
      <c r="B65" s="4"/>
      <c r="C65" s="31" t="s">
        <v>1101</v>
      </c>
      <c r="D65" s="32" t="s">
        <v>1097</v>
      </c>
      <c r="E65" s="64" t="s">
        <v>1102</v>
      </c>
      <c r="F65" s="65" t="str">
        <f>IFERROR(__xludf.DUMMYFUNCTION("IF(ISBLANK(E65), """", GOOGLETRANSLATE(E65, ""es"", ""en""))"),"Identifier code of the economic classification assistant assigned to the expense item")</f>
        <v>Identifier code of the economic classification assistant assigned to the expense item</v>
      </c>
    </row>
    <row r="66" ht="15.75" customHeight="1">
      <c r="B66" s="4"/>
      <c r="C66" s="31" t="s">
        <v>1103</v>
      </c>
      <c r="D66" s="32" t="s">
        <v>1097</v>
      </c>
      <c r="E66" s="64" t="s">
        <v>1104</v>
      </c>
      <c r="F66" s="65" t="str">
        <f>IFERROR(__xludf.DUMMYFUNCTION("IF(ISBLANK(E66), """", GOOGLETRANSLATE(E66, ""es"", ""en""))"),"Name or identification of the auxiliary (sixth level) of economic classification assigned to the expense item. It allows identifying the economic nature of the transactions carried out by the public sector, with the purpose of evaluating the impact and re"&amp;"percussions generated by fiscal actions.")</f>
        <v>Name or identification of the auxiliary (sixth level) of economic classification assigned to the expense item. It allows identifying the economic nature of the transactions carried out by the public sector, with the purpose of evaluating the impact and repercussions generated by fiscal actions.</v>
      </c>
    </row>
    <row r="67" ht="15.75" customHeight="1">
      <c r="B67" s="4"/>
      <c r="C67" s="31" t="s">
        <v>1105</v>
      </c>
      <c r="D67" s="32" t="s">
        <v>1097</v>
      </c>
      <c r="E67" s="64" t="s">
        <v>1106</v>
      </c>
      <c r="F67" s="65" t="str">
        <f>IFERROR(__xludf.DUMMYFUNCTION("IF(ISBLANK(E67), """", GOOGLETRANSLATE(E67, ""es"", ""en""))"),"Identifier code of the sub-auxiliary economic classification assigned to the expense item")</f>
        <v>Identifier code of the sub-auxiliary economic classification assigned to the expense item</v>
      </c>
    </row>
    <row r="68" ht="15.75" customHeight="1">
      <c r="B68" s="4"/>
      <c r="C68" s="31" t="s">
        <v>1107</v>
      </c>
      <c r="D68" s="32" t="s">
        <v>1097</v>
      </c>
      <c r="E68" s="64" t="s">
        <v>1108</v>
      </c>
      <c r="F68" s="65" t="str">
        <f>IFERROR(__xludf.DUMMYFUNCTION("IF(ISBLANK(E68), """", GOOGLETRANSLATE(E68, ""es"", ""en""))"),"Name or identification of the subauxiliary (seventh level) of economic classification assigned to the expense item. It allows identifying the economic nature of the transactions carried out by the public sector, with the purpose of evaluating the impact a"&amp;"nd repercussions generated by fiscal actions.")</f>
        <v>Name or identification of the subauxiliary (seventh level) of economic classification assigned to the expense item. It allows identifying the economic nature of the transactions carried out by the public sector, with the purpose of evaluating the impact and repercussions generated by fiscal actions.</v>
      </c>
    </row>
    <row r="69" ht="15.75" customHeight="1">
      <c r="B69" s="4"/>
      <c r="C69" s="31" t="s">
        <v>1109</v>
      </c>
      <c r="D69" s="32">
        <v>0.0</v>
      </c>
      <c r="E69" s="64" t="s">
        <v>1110</v>
      </c>
      <c r="F69" s="65" t="str">
        <f>IFERROR(__xludf.DUMMYFUNCTION("IF(ISBLANK(E69), """", GOOGLETRANSLATE(E69, ""es"", ""en""))"),"Identifier code of the institution receiving the resources.")</f>
        <v>Identifier code of the institution receiving the resources.</v>
      </c>
    </row>
    <row r="70" ht="15.75" customHeight="1">
      <c r="B70" s="4"/>
      <c r="C70" s="31" t="s">
        <v>1111</v>
      </c>
      <c r="D70" s="32" t="s">
        <v>1112</v>
      </c>
      <c r="E70" s="64" t="s">
        <v>1113</v>
      </c>
      <c r="F70" s="65" t="str">
        <f>IFERROR(__xludf.DUMMYFUNCTION("IF(ISBLANK(E70), """", GOOGLETRANSLATE(E70, ""es"", ""en""))"),"Name or identification of the institution receiving the resources.")</f>
        <v>Name or identification of the institution receiving the resources.</v>
      </c>
    </row>
    <row r="71" ht="15.75" customHeight="1">
      <c r="B71" s="4"/>
      <c r="C71" s="31" t="s">
        <v>1114</v>
      </c>
      <c r="D71" s="32" t="s">
        <v>66</v>
      </c>
      <c r="E71" s="64" t="s">
        <v>1115</v>
      </c>
      <c r="F71" s="65" t="str">
        <f>IFERROR(__xludf.DUMMYFUNCTION("IF(ISBLANK(E71), """", GOOGLETRANSLATE(E71, ""es"", ""en""))"),"Code of the Type of expense associated with the expense item.")</f>
        <v>Code of the Type of expense associated with the expense item.</v>
      </c>
    </row>
    <row r="72" ht="15.75" customHeight="1">
      <c r="B72" s="4"/>
      <c r="C72" s="31" t="s">
        <v>1116</v>
      </c>
      <c r="D72" s="32" t="s">
        <v>1117</v>
      </c>
      <c r="E72" s="64" t="s">
        <v>1118</v>
      </c>
      <c r="F72" s="65" t="str">
        <f>IFERROR(__xludf.DUMMYFUNCTION("IF(ISBLANK(E72), """", GOOGLETRANSLATE(E72, ""es"", ""en""))"),"Name of the type of expense associated with the expense item.")</f>
        <v>Name of the type of expense associated with the expense item.</v>
      </c>
    </row>
    <row r="73" ht="15.75" customHeight="1">
      <c r="B73" s="4"/>
      <c r="C73" s="31" t="s">
        <v>1119</v>
      </c>
      <c r="D73" s="32">
        <v>14676.0</v>
      </c>
      <c r="E73" s="64" t="s">
        <v>1120</v>
      </c>
      <c r="F73" s="65" t="str">
        <f>IFERROR(__xludf.DUMMYFUNCTION("IF(ISBLANK(E73), """", GOOGLETRANSLATE(E73, ""es"", ""en""))"),"Identifier code of the investment project in the SNIP (National Public Investment System)")</f>
        <v>Identifier code of the investment project in the SNIP (National Public Investment System)</v>
      </c>
    </row>
    <row r="74" ht="15.75" customHeight="1">
      <c r="B74" s="4"/>
      <c r="C74" s="31" t="s">
        <v>1121</v>
      </c>
      <c r="D74" s="32" t="s">
        <v>1006</v>
      </c>
      <c r="E74" s="64" t="s">
        <v>1122</v>
      </c>
      <c r="F74" s="65" t="str">
        <f>IFERROR(__xludf.DUMMYFUNCTION("IF(ISBLANK(E74), """", GOOGLETRANSLATE(E74, ""es"", ""en""))"),"Name of the investment project in the SNIP (Public Investment System)")</f>
        <v>Name of the investment project in the SNIP (Public Investment System)</v>
      </c>
    </row>
    <row r="75" ht="15.75" customHeight="1">
      <c r="B75" s="4"/>
      <c r="C75" s="31" t="s">
        <v>1123</v>
      </c>
      <c r="D75" s="32" t="s">
        <v>1124</v>
      </c>
      <c r="E75" s="64" t="s">
        <v>1125</v>
      </c>
      <c r="F75" s="65" t="str">
        <f>IFERROR(__xludf.DUMMYFUNCTION("IF(ISBLANK(E75), """", GOOGLETRANSLATE(E75, ""es"", ""en""))"),"Complete description of the investment project in the SNIP (Public Investment System) which includes some characteristics of the project")</f>
        <v>Complete description of the investment project in the SNIP (Public Investment System) which includes some characteristics of the project</v>
      </c>
    </row>
    <row r="76" ht="15.75" customHeight="1">
      <c r="B76" s="4"/>
      <c r="C76" s="31" t="s">
        <v>1126</v>
      </c>
      <c r="D76" s="32">
        <v>1.0</v>
      </c>
      <c r="E76" s="64" t="s">
        <v>1127</v>
      </c>
      <c r="F76" s="65" t="str">
        <f>IFERROR(__xludf.DUMMYFUNCTION("IF(ISBLANK(E76), """", GOOGLETRANSLATE(E76, ""es"", ""en""))"),"Identification code of the typology associated with the investment project.")</f>
        <v>Identification code of the typology associated with the investment project.</v>
      </c>
    </row>
    <row r="77" ht="15.75" customHeight="1">
      <c r="B77" s="4"/>
      <c r="C77" s="31" t="s">
        <v>1128</v>
      </c>
      <c r="D77" s="32" t="s">
        <v>1129</v>
      </c>
      <c r="E77" s="64" t="s">
        <v>1130</v>
      </c>
      <c r="F77" s="65" t="str">
        <f>IFERROR(__xludf.DUMMYFUNCTION("IF(ISBLANK(E77), """", GOOGLETRANSLATE(E77, ""es"", ""en""))"),"Name or identification of the typology associated with the investment project.")</f>
        <v>Name or identification of the typology associated with the investment project.</v>
      </c>
    </row>
    <row r="78" ht="15.75" customHeight="1">
      <c r="B78" s="4"/>
      <c r="C78" s="31" t="s">
        <v>1131</v>
      </c>
      <c r="D78" s="32" t="s">
        <v>66</v>
      </c>
      <c r="E78" s="64" t="s">
        <v>1132</v>
      </c>
      <c r="F78" s="65" t="str">
        <f>IFERROR(__xludf.DUMMYFUNCTION("IF(ISBLANK(E78), """", GOOGLETRANSLATE(E78, ""es"", ""en""))"),"Identifier code of the type of investment activity associated with the investment project.")</f>
        <v>Identifier code of the type of investment activity associated with the investment project.</v>
      </c>
    </row>
    <row r="79" ht="15.75" customHeight="1">
      <c r="B79" s="4"/>
      <c r="C79" s="31" t="s">
        <v>1133</v>
      </c>
      <c r="D79" s="32">
        <v>5.0</v>
      </c>
      <c r="E79" s="64" t="s">
        <v>1134</v>
      </c>
      <c r="F79" s="65" t="str">
        <f>IFERROR(__xludf.DUMMYFUNCTION("IF(ISBLANK(E79), """", GOOGLETRANSLATE(E79, ""es"", ""en""))"),"Identifier code of the Region associated with the investment project")</f>
        <v>Identifier code of the Region associated with the investment project</v>
      </c>
    </row>
    <row r="80" ht="15.75" customHeight="1">
      <c r="B80" s="4"/>
      <c r="C80" s="31" t="s">
        <v>1135</v>
      </c>
      <c r="D80" s="32" t="s">
        <v>1136</v>
      </c>
      <c r="E80" s="64" t="s">
        <v>1137</v>
      </c>
      <c r="F80" s="65" t="str">
        <f>IFERROR(__xludf.DUMMYFUNCTION("IF(ISBLANK(E80), """", GOOGLETRANSLATE(E80, ""es"", ""en""))"),"Name or identification of the Region associated with the investment project")</f>
        <v>Name or identification of the Region associated with the investment project</v>
      </c>
    </row>
    <row r="81" ht="15.75" customHeight="1">
      <c r="B81" s="4"/>
      <c r="C81" s="31" t="s">
        <v>1138</v>
      </c>
      <c r="D81" s="32">
        <v>21.0</v>
      </c>
      <c r="E81" s="64" t="s">
        <v>1139</v>
      </c>
      <c r="F81" s="65" t="str">
        <f>IFERROR(__xludf.DUMMYFUNCTION("IF(ISBLANK(E81), """", GOOGLETRANSLATE(E81, ""es"", ""en""))"),"Identifier code of the Province associated with the investment project")</f>
        <v>Identifier code of the Province associated with the investment project</v>
      </c>
    </row>
    <row r="82" ht="15.75" customHeight="1">
      <c r="B82" s="4"/>
      <c r="C82" s="31" t="s">
        <v>1140</v>
      </c>
      <c r="D82" s="32" t="s">
        <v>1141</v>
      </c>
      <c r="E82" s="64" t="s">
        <v>1142</v>
      </c>
      <c r="F82" s="65" t="str">
        <f>IFERROR(__xludf.DUMMYFUNCTION("IF(ISBLANK(E82), """", GOOGLETRANSLATE(E82, ""es"", ""en""))"),"Name or identification of the Province associated with the investment project")</f>
        <v>Name or identification of the Province associated with the investment project</v>
      </c>
    </row>
    <row r="83" ht="15.75" customHeight="1">
      <c r="B83" s="4"/>
      <c r="C83" s="31" t="s">
        <v>1143</v>
      </c>
      <c r="D83" s="32">
        <v>1.0</v>
      </c>
      <c r="E83" s="64" t="s">
        <v>1144</v>
      </c>
      <c r="F83" s="65" t="str">
        <f>IFERROR(__xludf.DUMMYFUNCTION("IF(ISBLANK(E83), """", GOOGLETRANSLATE(E83, ""es"", ""en""))"),"Identifier code of the municipality associated with the investment project")</f>
        <v>Identifier code of the municipality associated with the investment project</v>
      </c>
    </row>
    <row r="84" ht="15.75" customHeight="1">
      <c r="B84" s="4"/>
      <c r="C84" s="31" t="s">
        <v>1145</v>
      </c>
      <c r="D84" s="32" t="s">
        <v>1141</v>
      </c>
      <c r="E84" s="64" t="s">
        <v>1146</v>
      </c>
      <c r="F84" s="65" t="str">
        <f>IFERROR(__xludf.DUMMYFUNCTION("IF(ISBLANK(E84), """", GOOGLETRANSLATE(E84, ""es"", ""en""))"),"Name or identification of the municipality associated with the investment project")</f>
        <v>Name or identification of the municipality associated with the investment project</v>
      </c>
    </row>
    <row r="85" ht="15.75" customHeight="1">
      <c r="B85" s="4"/>
      <c r="C85" s="31" t="s">
        <v>1147</v>
      </c>
      <c r="D85" s="32" t="s">
        <v>1148</v>
      </c>
      <c r="E85" s="64" t="s">
        <v>1149</v>
      </c>
      <c r="F85" s="65" t="str">
        <f>IFERROR(__xludf.DUMMYFUNCTION("IF(ISBLANK(E85), """", GOOGLETRANSLATE(E85, ""es"", ""en""))"),"Description of the expense item")</f>
        <v>Description of the expense item</v>
      </c>
    </row>
    <row r="86" ht="15.75" customHeight="1">
      <c r="B86" s="4"/>
      <c r="C86" s="31" t="s">
        <v>1150</v>
      </c>
      <c r="D86" s="32" t="s">
        <v>1151</v>
      </c>
      <c r="E86" s="64" t="s">
        <v>1152</v>
      </c>
      <c r="F86" s="65" t="str">
        <f>IFERROR(__xludf.DUMMYFUNCTION("IF(ISBLANK(E86), """", GOOGLETRANSLATE(E86, ""es"", ""en""))"),"Initial amount related to the expense item")</f>
        <v>Initial amount related to the expense item</v>
      </c>
    </row>
    <row r="87" ht="15.75" customHeight="1">
      <c r="B87" s="4"/>
      <c r="C87" s="31" t="s">
        <v>1153</v>
      </c>
      <c r="D87" s="32" t="s">
        <v>194</v>
      </c>
      <c r="E87" s="64" t="s">
        <v>1154</v>
      </c>
      <c r="F87" s="65" t="str">
        <f>IFERROR(__xludf.DUMMYFUNCTION("IF(ISBLANK(E87), """", GOOGLETRANSLATE(E87, ""es"", ""en""))"),"Amount of modifications or adjustments related to the expense item.")</f>
        <v>Amount of modifications or adjustments related to the expense item.</v>
      </c>
    </row>
    <row r="88" ht="15.75" customHeight="1">
      <c r="B88" s="4"/>
      <c r="C88" s="31" t="s">
        <v>1155</v>
      </c>
      <c r="D88" s="32" t="s">
        <v>1151</v>
      </c>
      <c r="E88" s="64" t="s">
        <v>1156</v>
      </c>
      <c r="F88" s="65" t="str">
        <f>IFERROR(__xludf.DUMMYFUNCTION("IF(ISBLANK(E88), """", GOOGLETRANSLATE(E88, ""es"", ""en""))"),"Current amount related to the expense item.")</f>
        <v>Current amount related to the expense item.</v>
      </c>
    </row>
    <row r="89" ht="15.75" customHeight="1">
      <c r="B89" s="4"/>
      <c r="C89" s="4"/>
      <c r="D89" s="3"/>
      <c r="E89" s="56"/>
      <c r="F89" s="56"/>
    </row>
    <row r="90" ht="15.75" customHeight="1">
      <c r="B90" s="4"/>
      <c r="C90" s="4"/>
      <c r="D90" s="3"/>
      <c r="E90" s="56"/>
      <c r="F90" s="56"/>
    </row>
    <row r="91" ht="15.75" customHeight="1">
      <c r="B91" s="4"/>
      <c r="C91" s="4"/>
      <c r="D91" s="3"/>
      <c r="E91" s="56"/>
      <c r="F91" s="56"/>
    </row>
    <row r="92" ht="15.75" customHeight="1">
      <c r="B92" s="4"/>
      <c r="C92" s="4"/>
      <c r="D92" s="3"/>
      <c r="E92" s="56"/>
      <c r="F92" s="56"/>
    </row>
    <row r="93" ht="15.75" customHeight="1">
      <c r="B93" s="58"/>
      <c r="C93" s="58" t="s">
        <v>1157</v>
      </c>
    </row>
    <row r="94" ht="15.75" customHeight="1">
      <c r="B94" s="59"/>
      <c r="C94" s="59" t="s">
        <v>1158</v>
      </c>
      <c r="E94" s="60" t="str">
        <f>IFERROR(__xludf.DUMMYFUNCTION("IF(ISBLANK(C94), """", GOOGLETRANSLATE(C94, ""es"", ""en""))"),"Detail of preventive spending forms (Purchasing processes)")</f>
        <v>Detail of preventive spending forms (Purchasing processes)</v>
      </c>
    </row>
    <row r="95" ht="15.75" customHeight="1">
      <c r="B95" s="61"/>
      <c r="C95" s="7" t="s">
        <v>960</v>
      </c>
      <c r="D95" s="62" t="s">
        <v>961</v>
      </c>
      <c r="E95" s="63" t="s">
        <v>962</v>
      </c>
      <c r="F95" s="63" t="s">
        <v>963</v>
      </c>
    </row>
    <row r="96" ht="15.75" customHeight="1">
      <c r="B96" s="4"/>
      <c r="C96" s="31" t="s">
        <v>967</v>
      </c>
      <c r="D96" s="32">
        <v>2023.0</v>
      </c>
      <c r="E96" s="64" t="s">
        <v>1159</v>
      </c>
      <c r="F96" s="65" t="str">
        <f>IFERROR(__xludf.DUMMYFUNCTION("IF(ISBLANK(E96), """", GOOGLETRANSLATE(E96, ""es"", ""en""))"),"Preventive Expenditure Form Year")</f>
        <v>Preventive Expenditure Form Year</v>
      </c>
    </row>
    <row r="97" ht="15.75" customHeight="1">
      <c r="B97" s="4"/>
      <c r="C97" s="31" t="s">
        <v>1160</v>
      </c>
      <c r="D97" s="32" t="s">
        <v>1161</v>
      </c>
      <c r="E97" s="64" t="s">
        <v>1162</v>
      </c>
      <c r="F97" s="65" t="str">
        <f>IFERROR(__xludf.DUMMYFUNCTION("IF(ISBLANK(E97), """", GOOGLETRANSLATE(E97, ""es"", ""en""))"),"Unique identification code of the preventive expense form")</f>
        <v>Unique identification code of the preventive expense form</v>
      </c>
    </row>
    <row r="98" ht="15.75" customHeight="1">
      <c r="B98" s="4"/>
      <c r="C98" s="31" t="s">
        <v>1163</v>
      </c>
      <c r="D98" s="32" t="s">
        <v>1164</v>
      </c>
      <c r="E98" s="64" t="s">
        <v>1165</v>
      </c>
      <c r="F98" s="65" t="str">
        <f>IFERROR(__xludf.DUMMYFUNCTION("IF(ISBLANK(E98), """", GOOGLETRANSLATE(E98, ""es"", ""en""))"),"Preventive Expenditure Form Amount")</f>
        <v>Preventive Expenditure Form Amount</v>
      </c>
    </row>
    <row r="99" ht="15.75" customHeight="1">
      <c r="B99" s="4"/>
      <c r="C99" s="31" t="s">
        <v>1166</v>
      </c>
      <c r="D99" s="32" t="s">
        <v>1167</v>
      </c>
      <c r="E99" s="64" t="s">
        <v>1168</v>
      </c>
      <c r="F99" s="65" t="str">
        <f>IFERROR(__xludf.DUMMYFUNCTION("IF(ISBLANK(E99), """", GOOGLETRANSLATE(E99, ""es"", ""en""))"),"Preventive Expenditure Form Registration Date")</f>
        <v>Preventive Expenditure Form Registration Date</v>
      </c>
    </row>
    <row r="100" ht="15.75" customHeight="1">
      <c r="B100" s="4"/>
      <c r="C100" s="31" t="s">
        <v>1169</v>
      </c>
      <c r="D100" s="32">
        <v>22.0</v>
      </c>
      <c r="E100" s="64" t="s">
        <v>1170</v>
      </c>
      <c r="F100" s="65" t="str">
        <f>IFERROR(__xludf.DUMMYFUNCTION("IF(ISBLANK(E100), """", GOOGLETRANSLATE(E100, ""es"", ""en""))"),"Code of the procedure associated with the preventive expense form")</f>
        <v>Code of the procedure associated with the preventive expense form</v>
      </c>
    </row>
    <row r="101" ht="15.75" customHeight="1">
      <c r="B101" s="4"/>
      <c r="C101" s="31" t="s">
        <v>1171</v>
      </c>
      <c r="D101" s="32">
        <v>2.0</v>
      </c>
      <c r="E101" s="64" t="s">
        <v>1172</v>
      </c>
      <c r="F101" s="65" t="str">
        <f>IFERROR(__xludf.DUMMYFUNCTION("IF(ISBLANK(E101), """", GOOGLETRANSLATE(E101, ""es"", ""en""))"),"Procedure number associated with the preventive expense form")</f>
        <v>Procedure number associated with the preventive expense form</v>
      </c>
    </row>
    <row r="102" ht="15.75" customHeight="1">
      <c r="B102" s="4"/>
      <c r="C102" s="31" t="s">
        <v>1173</v>
      </c>
      <c r="D102" s="32" t="s">
        <v>1174</v>
      </c>
      <c r="E102" s="64" t="s">
        <v>1175</v>
      </c>
      <c r="F102" s="65" t="str">
        <f>IFERROR(__xludf.DUMMYFUNCTION("IF(ISBLANK(E102), """", GOOGLETRANSLATE(E102, ""es"", ""en""))"),"Purchasing process code associated with the preventive expense form")</f>
        <v>Purchasing process code associated with the preventive expense form</v>
      </c>
    </row>
    <row r="103" ht="15.75" customHeight="1">
      <c r="B103" s="4"/>
      <c r="C103" s="31" t="s">
        <v>1176</v>
      </c>
      <c r="D103" s="32" t="s">
        <v>1177</v>
      </c>
      <c r="E103" s="64" t="s">
        <v>1178</v>
      </c>
      <c r="F103" s="65" t="str">
        <f>IFERROR(__xludf.DUMMYFUNCTION("IF(ISBLANK(E103), """", GOOGLETRANSLATE(E103, ""es"", ""en""))"),"Identifier code of the purchase method associated with the purchase process.")</f>
        <v>Identifier code of the purchase method associated with the purchase process.</v>
      </c>
    </row>
    <row r="104" ht="15.75" customHeight="1">
      <c r="B104" s="4"/>
      <c r="C104" s="31" t="s">
        <v>1179</v>
      </c>
      <c r="D104" s="32" t="s">
        <v>1180</v>
      </c>
      <c r="E104" s="64" t="s">
        <v>1181</v>
      </c>
      <c r="F104" s="65" t="str">
        <f>IFERROR(__xludf.DUMMYFUNCTION("IF(ISBLANK(E104), """", GOOGLETRANSLATE(E104, ""es"", ""en""))"),"Name or identification of the purchase method associated with the purchase process.")</f>
        <v>Name or identification of the purchase method associated with the purchase process.</v>
      </c>
    </row>
    <row r="105" ht="15.75" customHeight="1">
      <c r="B105" s="4"/>
      <c r="C105" s="31" t="s">
        <v>1182</v>
      </c>
      <c r="D105" s="32" t="s">
        <v>1183</v>
      </c>
      <c r="E105" s="64" t="s">
        <v>1184</v>
      </c>
      <c r="F105" s="65" t="str">
        <f>IFERROR(__xludf.DUMMYFUNCTION("IF(ISBLANK(E105), """", GOOGLETRANSLATE(E105, ""es"", ""en""))"),"End date for receiving offers associated with the purchasing process.")</f>
        <v>End date for receiving offers associated with the purchasing process.</v>
      </c>
    </row>
    <row r="106" ht="15.75" customHeight="1">
      <c r="B106" s="4"/>
      <c r="C106" s="31" t="s">
        <v>1185</v>
      </c>
      <c r="D106" s="32" t="s">
        <v>1186</v>
      </c>
      <c r="E106" s="64" t="s">
        <v>1187</v>
      </c>
      <c r="F106" s="65" t="str">
        <f>IFERROR(__xludf.DUMMYFUNCTION("IF(ISBLANK(E106), """", GOOGLETRANSLATE(E106, ""es"", ""en""))"),"Complete description of the purchasing process with some characteristics")</f>
        <v>Complete description of the purchasing process with some characteristics</v>
      </c>
    </row>
    <row r="107" ht="15.75" customHeight="1">
      <c r="B107" s="4"/>
      <c r="C107" s="31" t="s">
        <v>1188</v>
      </c>
      <c r="D107" s="32" t="s">
        <v>1186</v>
      </c>
      <c r="E107" s="64" t="s">
        <v>1189</v>
      </c>
      <c r="F107" s="65" t="str">
        <f>IFERROR(__xludf.DUMMYFUNCTION("IF(ISBLANK(E107), """", GOOGLETRANSLATE(E107, ""es"", ""en""))"),"Name or identification of the procedure associated with the preventive expense form")</f>
        <v>Name or identification of the procedure associated with the preventive expense form</v>
      </c>
    </row>
    <row r="108" ht="15.75" customHeight="1">
      <c r="B108" s="4"/>
      <c r="C108" s="31" t="s">
        <v>1190</v>
      </c>
      <c r="D108" s="32">
        <v>3.0</v>
      </c>
      <c r="E108" s="64" t="s">
        <v>1191</v>
      </c>
      <c r="F108" s="65" t="str">
        <f>IFERROR(__xludf.DUMMYFUNCTION("IF(ISBLANK(E108), """", GOOGLETRANSLATE(E108, ""es"", ""en""))"),"State identification code associated with the purchasing process.")</f>
        <v>State identification code associated with the purchasing process.</v>
      </c>
    </row>
    <row r="109" ht="15.75" customHeight="1">
      <c r="B109" s="4"/>
      <c r="C109" s="31" t="s">
        <v>1192</v>
      </c>
      <c r="D109" s="32" t="s">
        <v>1193</v>
      </c>
      <c r="E109" s="64" t="s">
        <v>1194</v>
      </c>
      <c r="F109" s="65" t="str">
        <f>IFERROR(__xludf.DUMMYFUNCTION("IF(ISBLANK(E109), """", GOOGLETRANSLATE(E109, ""es"", ""en""))"),"Identification code of the type of award associated with the purchasing process.")</f>
        <v>Identification code of the type of award associated with the purchasing process.</v>
      </c>
    </row>
    <row r="110" ht="15.75" customHeight="1">
      <c r="B110" s="4"/>
      <c r="C110" s="31" t="s">
        <v>1195</v>
      </c>
      <c r="D110" s="32">
        <v>1.0</v>
      </c>
      <c r="E110" s="64" t="s">
        <v>1196</v>
      </c>
      <c r="F110" s="65" t="str">
        <f>IFERROR(__xludf.DUMMYFUNCTION("IF(ISBLANK(E110), """", GOOGLETRANSLATE(E110, ""es"", ""en""))"),"Currency identifier code")</f>
        <v>Currency identifier code</v>
      </c>
    </row>
    <row r="111" ht="15.75" customHeight="1">
      <c r="B111" s="4"/>
      <c r="C111" s="31" t="s">
        <v>1197</v>
      </c>
      <c r="D111" s="32" t="s">
        <v>1198</v>
      </c>
      <c r="E111" s="64" t="s">
        <v>1168</v>
      </c>
      <c r="F111" s="65" t="str">
        <f>IFERROR(__xludf.DUMMYFUNCTION("IF(ISBLANK(E111), """", GOOGLETRANSLATE(E111, ""es"", ""en""))"),"Preventive Expenditure Form Registration Date")</f>
        <v>Preventive Expenditure Form Registration Date</v>
      </c>
    </row>
    <row r="112" ht="15.75" customHeight="1">
      <c r="B112" s="4"/>
      <c r="C112" s="31" t="s">
        <v>1199</v>
      </c>
      <c r="D112" s="32" t="s">
        <v>1164</v>
      </c>
      <c r="E112" s="64" t="s">
        <v>1200</v>
      </c>
      <c r="F112" s="65" t="str">
        <f>IFERROR(__xludf.DUMMYFUNCTION("IF(ISBLANK(E112), """", GOOGLETRANSLATE(E112, ""es"", ""en""))"),"Estimated amount of the preventive expense form")</f>
        <v>Estimated amount of the preventive expense form</v>
      </c>
    </row>
    <row r="113" ht="15.75" customHeight="1">
      <c r="B113" s="4"/>
      <c r="C113" s="31" t="s">
        <v>1201</v>
      </c>
      <c r="D113" s="32" t="s">
        <v>1202</v>
      </c>
      <c r="E113" s="64" t="s">
        <v>1203</v>
      </c>
      <c r="F113" s="65" t="str">
        <f>IFERROR(__xludf.DUMMYFUNCTION("IF(ISBLANK(E113), """", GOOGLETRANSLATE(E113, ""es"", ""en""))"),"Document class identification code.")</f>
        <v>Document class identification code.</v>
      </c>
    </row>
    <row r="114" ht="15.75" customHeight="1">
      <c r="B114" s="4"/>
      <c r="C114" s="31" t="s">
        <v>1204</v>
      </c>
      <c r="D114" s="32">
        <v>70.0</v>
      </c>
      <c r="E114" s="64" t="s">
        <v>1205</v>
      </c>
      <c r="F114" s="65" t="str">
        <f>IFERROR(__xludf.DUMMYFUNCTION("IF(ISBLANK(E114), """", GOOGLETRANSLATE(E114, ""es"", ""en""))"),"Identifier code of the status of the purchasing process in the contracting portal.")</f>
        <v>Identifier code of the status of the purchasing process in the contracting portal.</v>
      </c>
    </row>
    <row r="115" ht="15.75" customHeight="1">
      <c r="B115" s="4"/>
      <c r="C115" s="4"/>
      <c r="D115" s="3"/>
      <c r="E115" s="56"/>
      <c r="F115" s="56"/>
    </row>
    <row r="116" ht="15.75" customHeight="1">
      <c r="B116" s="4"/>
      <c r="C116" s="4"/>
      <c r="D116" s="3"/>
      <c r="E116" s="56"/>
      <c r="F116" s="56"/>
    </row>
    <row r="117" ht="15.75" customHeight="1">
      <c r="B117" s="58"/>
      <c r="C117" s="58" t="s">
        <v>1206</v>
      </c>
    </row>
    <row r="118" ht="15.75" customHeight="1">
      <c r="B118" s="59"/>
      <c r="C118" s="59" t="s">
        <v>1207</v>
      </c>
      <c r="E118" s="60" t="str">
        <f>IFERROR(__xludf.DUMMYFUNCTION("IF(ISBLANK(C118), """", GOOGLETRANSLATE(C118, ""es"", ""en""))"),"Detail of commitment expense forms (Purchase contracts)")</f>
        <v>Detail of commitment expense forms (Purchase contracts)</v>
      </c>
    </row>
    <row r="119" ht="15.75" customHeight="1">
      <c r="B119" s="61"/>
      <c r="C119" s="7" t="s">
        <v>960</v>
      </c>
      <c r="D119" s="62" t="s">
        <v>961</v>
      </c>
      <c r="E119" s="63" t="s">
        <v>962</v>
      </c>
      <c r="F119" s="63" t="s">
        <v>963</v>
      </c>
    </row>
    <row r="120" ht="15.75" customHeight="1">
      <c r="B120" s="4"/>
      <c r="C120" s="31" t="s">
        <v>1208</v>
      </c>
      <c r="D120" s="32">
        <v>2023.0</v>
      </c>
      <c r="E120" s="64" t="s">
        <v>1209</v>
      </c>
      <c r="F120" s="65" t="str">
        <f>IFERROR(__xludf.DUMMYFUNCTION("IF(ISBLANK(E120), """", GOOGLETRANSLATE(E120, ""es"", ""en""))"),"Year associated with the commitment expense form")</f>
        <v>Year associated with the commitment expense form</v>
      </c>
    </row>
    <row r="121" ht="15.75" customHeight="1">
      <c r="B121" s="4"/>
      <c r="C121" s="31" t="s">
        <v>1160</v>
      </c>
      <c r="D121" s="32" t="s">
        <v>1210</v>
      </c>
      <c r="E121" s="64" t="s">
        <v>1211</v>
      </c>
      <c r="F121" s="65" t="str">
        <f>IFERROR(__xludf.DUMMYFUNCTION("IF(ISBLANK(E121), """", GOOGLETRANSLATE(E121, ""es"", ""en""))"),"Internal identification code of the preventive expense form associated with this commitment expense form")</f>
        <v>Internal identification code of the preventive expense form associated with this commitment expense form</v>
      </c>
    </row>
    <row r="122" ht="15.75" customHeight="1">
      <c r="B122" s="4"/>
      <c r="C122" s="31" t="s">
        <v>1163</v>
      </c>
      <c r="D122" s="32">
        <v>3.65E7</v>
      </c>
      <c r="E122" s="64" t="s">
        <v>1212</v>
      </c>
      <c r="F122" s="65" t="str">
        <f>IFERROR(__xludf.DUMMYFUNCTION("IF(ISBLANK(E122), """", GOOGLETRANSLATE(E122, ""es"", ""en""))"),"Preventive Spending Form Projected Amount")</f>
        <v>Preventive Spending Form Projected Amount</v>
      </c>
    </row>
    <row r="123" ht="15.75" customHeight="1">
      <c r="B123" s="4"/>
      <c r="C123" s="31" t="s">
        <v>1166</v>
      </c>
      <c r="D123" s="32" t="s">
        <v>1213</v>
      </c>
      <c r="E123" s="64" t="s">
        <v>1168</v>
      </c>
      <c r="F123" s="65" t="str">
        <f>IFERROR(__xludf.DUMMYFUNCTION("IF(ISBLANK(E123), """", GOOGLETRANSLATE(E123, ""es"", ""en""))"),"Preventive Expenditure Form Registration Date")</f>
        <v>Preventive Expenditure Form Registration Date</v>
      </c>
    </row>
    <row r="124" ht="15.75" customHeight="1">
      <c r="B124" s="4"/>
      <c r="C124" s="31" t="s">
        <v>1169</v>
      </c>
      <c r="D124" s="32">
        <v>121.0</v>
      </c>
      <c r="E124" s="64" t="s">
        <v>1170</v>
      </c>
      <c r="F124" s="65" t="str">
        <f>IFERROR(__xludf.DUMMYFUNCTION("IF(ISBLANK(E124), """", GOOGLETRANSLATE(E124, ""es"", ""en""))"),"Code of the procedure associated with the preventive expense form")</f>
        <v>Code of the procedure associated with the preventive expense form</v>
      </c>
    </row>
    <row r="125" ht="15.75" customHeight="1">
      <c r="B125" s="4"/>
      <c r="C125" s="31" t="s">
        <v>1171</v>
      </c>
      <c r="D125" s="32">
        <v>7.0</v>
      </c>
      <c r="E125" s="64" t="s">
        <v>1172</v>
      </c>
      <c r="F125" s="65" t="str">
        <f>IFERROR(__xludf.DUMMYFUNCTION("IF(ISBLANK(E125), """", GOOGLETRANSLATE(E125, ""es"", ""en""))"),"Procedure number associated with the preventive expense form")</f>
        <v>Procedure number associated with the preventive expense form</v>
      </c>
    </row>
    <row r="126" ht="15.75" customHeight="1">
      <c r="B126" s="4"/>
      <c r="C126" s="31" t="s">
        <v>1173</v>
      </c>
      <c r="D126" s="32" t="s">
        <v>1214</v>
      </c>
      <c r="E126" s="64" t="s">
        <v>1175</v>
      </c>
      <c r="F126" s="65" t="str">
        <f>IFERROR(__xludf.DUMMYFUNCTION("IF(ISBLANK(E126), """", GOOGLETRANSLATE(E126, ""es"", ""en""))"),"Purchasing process code associated with the preventive expense form")</f>
        <v>Purchasing process code associated with the preventive expense form</v>
      </c>
    </row>
    <row r="127" ht="15.75" customHeight="1">
      <c r="B127" s="4"/>
      <c r="C127" s="31" t="s">
        <v>1176</v>
      </c>
      <c r="D127" s="32" t="s">
        <v>1215</v>
      </c>
      <c r="E127" s="64" t="s">
        <v>1178</v>
      </c>
      <c r="F127" s="65" t="str">
        <f>IFERROR(__xludf.DUMMYFUNCTION("IF(ISBLANK(E127), """", GOOGLETRANSLATE(E127, ""es"", ""en""))"),"Identifier code of the purchase method associated with the purchase process.")</f>
        <v>Identifier code of the purchase method associated with the purchase process.</v>
      </c>
    </row>
    <row r="128" ht="15.75" customHeight="1">
      <c r="B128" s="4"/>
      <c r="C128" s="31" t="s">
        <v>1179</v>
      </c>
      <c r="D128" s="32" t="s">
        <v>1216</v>
      </c>
      <c r="E128" s="64" t="s">
        <v>1181</v>
      </c>
      <c r="F128" s="65" t="str">
        <f>IFERROR(__xludf.DUMMYFUNCTION("IF(ISBLANK(E128), """", GOOGLETRANSLATE(E128, ""es"", ""en""))"),"Name or identification of the purchase method associated with the purchase process.")</f>
        <v>Name or identification of the purchase method associated with the purchase process.</v>
      </c>
    </row>
    <row r="129" ht="15.75" customHeight="1">
      <c r="B129" s="4"/>
      <c r="C129" s="31" t="s">
        <v>1217</v>
      </c>
      <c r="D129" s="32" t="s">
        <v>1218</v>
      </c>
      <c r="E129" s="64" t="s">
        <v>1219</v>
      </c>
      <c r="F129" s="65" t="str">
        <f>IFERROR(__xludf.DUMMYFUNCTION("IF(ISBLANK(E129), """", GOOGLETRANSLATE(E129, ""es"", ""en""))"),"Internal identification code of the commitment expense form")</f>
        <v>Internal identification code of the commitment expense form</v>
      </c>
    </row>
    <row r="130" ht="15.75" customHeight="1">
      <c r="B130" s="4"/>
      <c r="C130" s="31" t="s">
        <v>1220</v>
      </c>
      <c r="D130" s="32" t="s">
        <v>1221</v>
      </c>
      <c r="E130" s="64" t="s">
        <v>1222</v>
      </c>
      <c r="F130" s="65" t="str">
        <f>IFERROR(__xludf.DUMMYFUNCTION("IF(ISBLANK(E130), """", GOOGLETRANSLATE(E130, ""es"", ""en""))"),"Projected Amount of Commitment Spending Form")</f>
        <v>Projected Amount of Commitment Spending Form</v>
      </c>
    </row>
    <row r="131" ht="15.75" customHeight="1">
      <c r="B131" s="4"/>
      <c r="C131" s="31" t="s">
        <v>1223</v>
      </c>
      <c r="D131" s="32" t="s">
        <v>1224</v>
      </c>
      <c r="E131" s="64" t="s">
        <v>1225</v>
      </c>
      <c r="F131" s="65" t="str">
        <f>IFERROR(__xludf.DUMMYFUNCTION("IF(ISBLANK(E131), """", GOOGLETRANSLATE(E131, ""es"", ""en""))"),"Commitment Expense Form Record Date")</f>
        <v>Commitment Expense Form Record Date</v>
      </c>
    </row>
    <row r="132" ht="15.75" customHeight="1">
      <c r="B132" s="4"/>
      <c r="C132" s="31" t="s">
        <v>1226</v>
      </c>
      <c r="D132" s="32" t="s">
        <v>1227</v>
      </c>
      <c r="E132" s="64" t="s">
        <v>1228</v>
      </c>
      <c r="F132" s="65" t="str">
        <f>IFERROR(__xludf.DUMMYFUNCTION("IF(ISBLANK(E132), """", GOOGLETRANSLATE(E132, ""es"", ""en""))"),"Contract ID associated with the commitment expense form")</f>
        <v>Contract ID associated with the commitment expense form</v>
      </c>
    </row>
    <row r="133" ht="15.75" customHeight="1">
      <c r="B133" s="4"/>
      <c r="C133" s="31" t="s">
        <v>1229</v>
      </c>
      <c r="D133" s="32">
        <v>2023.0</v>
      </c>
      <c r="E133" s="64" t="s">
        <v>1230</v>
      </c>
      <c r="F133" s="65" t="str">
        <f>IFERROR(__xludf.DUMMYFUNCTION("IF(ISBLANK(E133), """", GOOGLETRANSLATE(E133, ""es"", ""en""))"),"Year associated with the purchase contract.")</f>
        <v>Year associated with the purchase contract.</v>
      </c>
    </row>
    <row r="134" ht="15.75" customHeight="1">
      <c r="B134" s="4"/>
      <c r="C134" s="31" t="s">
        <v>1231</v>
      </c>
      <c r="D134" s="32">
        <v>9.0</v>
      </c>
      <c r="E134" s="64" t="s">
        <v>1232</v>
      </c>
      <c r="F134" s="65" t="str">
        <f>IFERROR(__xludf.DUMMYFUNCTION("IF(ISBLANK(E134), """", GOOGLETRANSLATE(E134, ""es"", ""en""))"),"Contract number associated with the commitment expense form")</f>
        <v>Contract number associated with the commitment expense form</v>
      </c>
    </row>
    <row r="135" ht="15.75" customHeight="1">
      <c r="B135" s="4"/>
      <c r="C135" s="31" t="s">
        <v>1233</v>
      </c>
      <c r="D135" s="32" t="s">
        <v>1234</v>
      </c>
      <c r="E135" s="64" t="s">
        <v>1235</v>
      </c>
      <c r="F135" s="65" t="str">
        <f>IFERROR(__xludf.DUMMYFUNCTION("IF(ISBLANK(E135), """", GOOGLETRANSLATE(E135, ""es"", ""en""))"),"Purchase contract code associated with the commitment expense form")</f>
        <v>Purchase contract code associated with the commitment expense form</v>
      </c>
    </row>
    <row r="136" ht="15.75" customHeight="1">
      <c r="B136" s="4"/>
      <c r="C136" s="31" t="s">
        <v>1236</v>
      </c>
      <c r="D136" s="32" t="s">
        <v>1237</v>
      </c>
      <c r="E136" s="64" t="s">
        <v>1238</v>
      </c>
      <c r="F136" s="65" t="str">
        <f>IFERROR(__xludf.DUMMYFUNCTION("IF(ISBLANK(E136), """", GOOGLETRANSLATE(E136, ""es"", ""en""))"),"Identification code of the type of purchase contract associated with the commitment form")</f>
        <v>Identification code of the type of purchase contract associated with the commitment form</v>
      </c>
    </row>
    <row r="137" ht="15.75" customHeight="1">
      <c r="B137" s="4"/>
      <c r="C137" s="31" t="s">
        <v>1239</v>
      </c>
      <c r="D137" s="32" t="s">
        <v>1240</v>
      </c>
      <c r="E137" s="64" t="s">
        <v>1241</v>
      </c>
      <c r="F137" s="65" t="str">
        <f>IFERROR(__xludf.DUMMYFUNCTION("IF(ISBLANK(E137), """", GOOGLETRANSLATE(E137, ""es"", ""en""))"),"Name of the type of purchase contract associated with the commitment expense form")</f>
        <v>Name of the type of purchase contract associated with the commitment expense form</v>
      </c>
    </row>
    <row r="138" ht="15.75" customHeight="1">
      <c r="B138" s="4"/>
      <c r="C138" s="31" t="s">
        <v>1242</v>
      </c>
      <c r="D138" s="32">
        <v>26.0</v>
      </c>
      <c r="E138" s="64" t="s">
        <v>1243</v>
      </c>
      <c r="F138" s="65" t="str">
        <f>IFERROR(__xludf.DUMMYFUNCTION("IF(ISBLANK(E138), """", GOOGLETRANSLATE(E138, ""es"", ""en""))"),"Identification code of the type of transaction associated with the commitment expense form")</f>
        <v>Identification code of the type of transaction associated with the commitment expense form</v>
      </c>
    </row>
    <row r="139" ht="15.75" customHeight="1">
      <c r="B139" s="4"/>
      <c r="C139" s="31" t="s">
        <v>1244</v>
      </c>
      <c r="D139" s="32" t="s">
        <v>1245</v>
      </c>
      <c r="E139" s="64" t="s">
        <v>1246</v>
      </c>
      <c r="F139" s="65" t="str">
        <f>IFERROR(__xludf.DUMMYFUNCTION("IF(ISBLANK(E139), """", GOOGLETRANSLATE(E139, ""es"", ""en""))"),"Name or ID of the transaction type associated with the commitment expense form")</f>
        <v>Name or ID of the transaction type associated with the commitment expense form</v>
      </c>
    </row>
    <row r="140" ht="15.75" customHeight="1">
      <c r="B140" s="4"/>
      <c r="C140" s="31" t="s">
        <v>1247</v>
      </c>
      <c r="D140" s="32" t="s">
        <v>422</v>
      </c>
      <c r="E140" s="64" t="s">
        <v>1248</v>
      </c>
      <c r="F140" s="65" t="str">
        <f>IFERROR(__xludf.DUMMYFUNCTION("IF(ISBLANK(E140), """", GOOGLETRANSLATE(E140, ""es"", ""en""))"),"Work type contract identifier code (YES / NO)")</f>
        <v>Work type contract identifier code (YES / NO)</v>
      </c>
    </row>
    <row r="141" ht="15.75" customHeight="1">
      <c r="B141" s="4"/>
      <c r="C141" s="31" t="s">
        <v>1249</v>
      </c>
      <c r="D141" s="32" t="s">
        <v>1250</v>
      </c>
      <c r="E141" s="64" t="s">
        <v>1251</v>
      </c>
      <c r="F141" s="65" t="str">
        <f>IFERROR(__xludf.DUMMYFUNCTION("IF(ISBLANK(E141), """", GOOGLETRANSLATE(E141, ""es"", ""en""))"),"Name or identification of the institution associated with the commitment expense form")</f>
        <v>Name or identification of the institution associated with the commitment expense form</v>
      </c>
    </row>
    <row r="142" ht="15.75" customHeight="1">
      <c r="B142" s="4"/>
      <c r="C142" s="31" t="s">
        <v>1252</v>
      </c>
      <c r="D142" s="32" t="s">
        <v>1215</v>
      </c>
      <c r="E142" s="64" t="s">
        <v>1253</v>
      </c>
      <c r="F142" s="65" t="str">
        <f>IFERROR(__xludf.DUMMYFUNCTION("IF(ISBLANK(E142), """", GOOGLETRANSLATE(E142, ""es"", ""en""))"),"Identification code of the procedure modality associated with the commitment expense form")</f>
        <v>Identification code of the procedure modality associated with the commitment expense form</v>
      </c>
    </row>
    <row r="143" ht="15.75" customHeight="1">
      <c r="B143" s="4"/>
      <c r="C143" s="31" t="s">
        <v>1254</v>
      </c>
      <c r="D143" s="32" t="s">
        <v>1255</v>
      </c>
      <c r="E143" s="64" t="s">
        <v>1256</v>
      </c>
      <c r="F143" s="65" t="str">
        <f>IFERROR(__xludf.DUMMYFUNCTION("IF(ISBLANK(E143), """", GOOGLETRANSLATE(E143, ""es"", ""en""))"),"Description of the purchase contract associated with the commitment expense form")</f>
        <v>Description of the purchase contract associated with the commitment expense form</v>
      </c>
    </row>
    <row r="144" ht="15.75" customHeight="1">
      <c r="B144" s="4"/>
      <c r="C144" s="31" t="s">
        <v>1185</v>
      </c>
      <c r="D144" s="32" t="s">
        <v>1255</v>
      </c>
      <c r="E144" s="64" t="s">
        <v>1257</v>
      </c>
      <c r="F144" s="65" t="str">
        <f>IFERROR(__xludf.DUMMYFUNCTION("IF(ISBLANK(E144), """", GOOGLETRANSLATE(E144, ""es"", ""en""))"),"Complete description of the purchase contract with some characteristics, associated with the commitment expense form")</f>
        <v>Complete description of the purchase contract with some characteristics, associated with the commitment expense form</v>
      </c>
    </row>
    <row r="145" ht="15.75" customHeight="1">
      <c r="B145" s="4"/>
      <c r="C145" s="31" t="s">
        <v>1258</v>
      </c>
      <c r="D145" s="32" t="s">
        <v>1259</v>
      </c>
      <c r="E145" s="64" t="s">
        <v>1260</v>
      </c>
      <c r="F145" s="65" t="str">
        <f>IFERROR(__xludf.DUMMYFUNCTION("IF(ISBLANK(E145), """", GOOGLETRANSLATE(E145, ""es"", ""en""))"),"Description of the legal identifier of the contract")</f>
        <v>Description of the legal identifier of the contract</v>
      </c>
    </row>
    <row r="146" ht="15.75" customHeight="1">
      <c r="B146" s="4"/>
      <c r="C146" s="31" t="s">
        <v>1261</v>
      </c>
      <c r="D146" s="32">
        <v>29360.0</v>
      </c>
      <c r="E146" s="64" t="s">
        <v>1262</v>
      </c>
      <c r="F146" s="65" t="str">
        <f>IFERROR(__xludf.DUMMYFUNCTION("IF(ISBLANK(E146), """", GOOGLETRANSLATE(E146, ""es"", ""en""))"),"Supplier identification code associated with the purchase contract.")</f>
        <v>Supplier identification code associated with the purchase contract.</v>
      </c>
    </row>
    <row r="147" ht="15.75" customHeight="1">
      <c r="B147" s="4"/>
      <c r="C147" s="31" t="s">
        <v>1263</v>
      </c>
      <c r="D147" s="32" t="s">
        <v>1237</v>
      </c>
      <c r="E147" s="64" t="s">
        <v>1264</v>
      </c>
      <c r="F147" s="65" t="str">
        <f>IFERROR(__xludf.DUMMYFUNCTION("IF(ISBLANK(E147), """", GOOGLETRANSLATE(E147, ""es"", ""en""))"),"Identifier code of the payment method associated with the purchase contract.")</f>
        <v>Identifier code of the payment method associated with the purchase contract.</v>
      </c>
    </row>
    <row r="148" ht="15.75" customHeight="1">
      <c r="B148" s="4"/>
      <c r="C148" s="31" t="s">
        <v>1195</v>
      </c>
      <c r="D148" s="32">
        <v>1.0</v>
      </c>
      <c r="E148" s="64" t="s">
        <v>1265</v>
      </c>
      <c r="F148" s="65" t="str">
        <f>IFERROR(__xludf.DUMMYFUNCTION("IF(ISBLANK(E148), """", GOOGLETRANSLATE(E148, ""es"", ""en""))"),"Identifier code of the currency associated with the purchase contract")</f>
        <v>Identifier code of the currency associated with the purchase contract</v>
      </c>
    </row>
    <row r="149" ht="15.75" customHeight="1">
      <c r="B149" s="4"/>
      <c r="C149" s="31" t="s">
        <v>1266</v>
      </c>
      <c r="D149" s="32" t="s">
        <v>1267</v>
      </c>
      <c r="E149" s="64" t="s">
        <v>1268</v>
      </c>
      <c r="F149" s="65" t="str">
        <f>IFERROR(__xludf.DUMMYFUNCTION("IF(ISBLANK(E149), """", GOOGLETRANSLATE(E149, ""es"", ""en""))"),"Start date of the contract associated with the commitment expense form")</f>
        <v>Start date of the contract associated with the commitment expense form</v>
      </c>
    </row>
    <row r="150" ht="15.75" customHeight="1">
      <c r="B150" s="4"/>
      <c r="C150" s="31" t="s">
        <v>1269</v>
      </c>
      <c r="D150" s="32" t="s">
        <v>1097</v>
      </c>
      <c r="E150" s="64" t="s">
        <v>1270</v>
      </c>
      <c r="F150" s="65" t="str">
        <f>IFERROR(__xludf.DUMMYFUNCTION("IF(ISBLANK(E150), """", GOOGLETRANSLATE(E150, ""es"", ""en""))"),"End date of the contract associated with the commitment expense form")</f>
        <v>End date of the contract associated with the commitment expense form</v>
      </c>
    </row>
    <row r="151" ht="15.75" customHeight="1">
      <c r="B151" s="4"/>
      <c r="C151" s="31" t="s">
        <v>1271</v>
      </c>
      <c r="D151" s="32" t="s">
        <v>422</v>
      </c>
      <c r="E151" s="64" t="s">
        <v>1272</v>
      </c>
      <c r="F151" s="65" t="str">
        <f>IFERROR(__xludf.DUMMYFUNCTION("IF(ISBLANK(E151), """", GOOGLETRANSLATE(E151, ""es"", ""en""))"),"Multi-year contract identifier (YES / NO)")</f>
        <v>Multi-year contract identifier (YES / NO)</v>
      </c>
    </row>
    <row r="152" ht="15.75" customHeight="1">
      <c r="B152" s="4"/>
      <c r="C152" s="31" t="s">
        <v>1197</v>
      </c>
      <c r="D152" s="32" t="s">
        <v>1273</v>
      </c>
      <c r="E152" s="64" t="s">
        <v>1225</v>
      </c>
      <c r="F152" s="65" t="str">
        <f>IFERROR(__xludf.DUMMYFUNCTION("IF(ISBLANK(E152), """", GOOGLETRANSLATE(E152, ""es"", ""en""))"),"Commitment Expense Form Record Date")</f>
        <v>Commitment Expense Form Record Date</v>
      </c>
    </row>
    <row r="153" ht="15.75" customHeight="1">
      <c r="B153" s="4"/>
      <c r="C153" s="31" t="s">
        <v>1274</v>
      </c>
      <c r="D153" s="32" t="s">
        <v>1267</v>
      </c>
      <c r="E153" s="64" t="s">
        <v>1275</v>
      </c>
      <c r="F153" s="65" t="str">
        <f>IFERROR(__xludf.DUMMYFUNCTION("IF(ISBLANK(E153), """", GOOGLETRANSLATE(E153, ""es"", ""en""))"),"Commitment Expense Form Approval Date")</f>
        <v>Commitment Expense Form Approval Date</v>
      </c>
    </row>
    <row r="154" ht="15.75" customHeight="1">
      <c r="B154" s="4"/>
      <c r="C154" s="31" t="s">
        <v>1276</v>
      </c>
      <c r="D154" s="32" t="s">
        <v>1097</v>
      </c>
      <c r="E154" s="64" t="s">
        <v>1277</v>
      </c>
      <c r="F154" s="65" t="str">
        <f>IFERROR(__xludf.DUMMYFUNCTION("IF(ISBLANK(E154), """", GOOGLETRANSLATE(E154, ""es"", ""en""))"),"Commitment Expense Form Override Date")</f>
        <v>Commitment Expense Form Override Date</v>
      </c>
    </row>
    <row r="155" ht="15.75" customHeight="1">
      <c r="B155" s="4"/>
      <c r="C155" s="31" t="s">
        <v>1278</v>
      </c>
      <c r="D155" s="32" t="s">
        <v>1097</v>
      </c>
      <c r="E155" s="64" t="s">
        <v>1279</v>
      </c>
      <c r="F155" s="65" t="str">
        <f>IFERROR(__xludf.DUMMYFUNCTION("IF(ISBLANK(E155), """", GOOGLETRANSLATE(E155, ""es"", ""en""))"),"Commitment Expense Form Rejection Date")</f>
        <v>Commitment Expense Form Rejection Date</v>
      </c>
    </row>
    <row r="156" ht="15.75" customHeight="1">
      <c r="B156" s="4"/>
      <c r="C156" s="31" t="s">
        <v>1280</v>
      </c>
      <c r="D156" s="32" t="s">
        <v>1097</v>
      </c>
      <c r="E156" s="64" t="s">
        <v>1281</v>
      </c>
      <c r="F156" s="65" t="str">
        <f>IFERROR(__xludf.DUMMYFUNCTION("IF(ISBLANK(E156), """", GOOGLETRANSLATE(E156, ""es"", ""en""))"),"Commitment Expenditure Form Compliance Date")</f>
        <v>Commitment Expenditure Form Compliance Date</v>
      </c>
    </row>
    <row r="157" ht="15.75" customHeight="1">
      <c r="B157" s="4"/>
      <c r="C157" s="31" t="s">
        <v>1282</v>
      </c>
      <c r="D157" s="32" t="s">
        <v>1283</v>
      </c>
      <c r="E157" s="64" t="s">
        <v>1284</v>
      </c>
      <c r="F157" s="65" t="str">
        <f>IFERROR(__xludf.DUMMYFUNCTION("IF(ISBLANK(E157), """", GOOGLETRANSLATE(E157, ""es"", ""en""))"),"Commitment Expense Form Total Amount")</f>
        <v>Commitment Expense Form Total Amount</v>
      </c>
    </row>
    <row r="158" ht="15.75" customHeight="1">
      <c r="B158" s="4"/>
      <c r="C158" s="31" t="s">
        <v>1285</v>
      </c>
      <c r="D158" s="32" t="s">
        <v>1283</v>
      </c>
      <c r="E158" s="64" t="s">
        <v>1286</v>
      </c>
      <c r="F158" s="65" t="str">
        <f>IFERROR(__xludf.DUMMYFUNCTION("IF(ISBLANK(E158), """", GOOGLETRANSLATE(E158, ""es"", ""en""))"),"Original total amount of the commitment expense form")</f>
        <v>Original total amount of the commitment expense form</v>
      </c>
    </row>
    <row r="159" ht="15.75" customHeight="1">
      <c r="B159" s="4"/>
      <c r="C159" s="31" t="s">
        <v>1287</v>
      </c>
      <c r="D159" s="32" t="s">
        <v>1267</v>
      </c>
      <c r="E159" s="64" t="s">
        <v>1288</v>
      </c>
      <c r="F159" s="65" t="str">
        <f>IFERROR(__xludf.DUMMYFUNCTION("IF(ISBLANK(E159), """", GOOGLETRANSLATE(E159, ""es"", ""en""))"),"Date of formalization of the associated contract associated with the commitment expense form")</f>
        <v>Date of formalization of the associated contract associated with the commitment expense form</v>
      </c>
    </row>
    <row r="160" ht="15.75" customHeight="1">
      <c r="B160" s="4"/>
      <c r="C160" s="4"/>
      <c r="D160" s="3"/>
      <c r="E160" s="56"/>
      <c r="F160" s="56"/>
    </row>
    <row r="161" ht="15.75" customHeight="1">
      <c r="B161" s="4"/>
      <c r="C161" s="4"/>
      <c r="D161" s="3"/>
      <c r="E161" s="56"/>
      <c r="F161" s="56"/>
    </row>
    <row r="162" ht="15.75" customHeight="1">
      <c r="B162" s="4"/>
      <c r="C162" s="4"/>
      <c r="D162" s="3"/>
      <c r="E162" s="56"/>
      <c r="F162" s="56"/>
    </row>
    <row r="163" ht="15.75" customHeight="1">
      <c r="B163" s="4"/>
      <c r="C163" s="4"/>
      <c r="D163" s="3"/>
      <c r="E163" s="56"/>
      <c r="F163" s="56"/>
    </row>
    <row r="164" ht="15.75" customHeight="1">
      <c r="B164" s="4"/>
      <c r="C164" s="4"/>
      <c r="D164" s="3"/>
      <c r="E164" s="56"/>
      <c r="F164" s="56"/>
    </row>
    <row r="165" ht="15.75" customHeight="1">
      <c r="B165" s="4"/>
      <c r="C165" s="4"/>
      <c r="D165" s="3"/>
      <c r="E165" s="56"/>
      <c r="F165" s="56"/>
    </row>
    <row r="166" ht="15.75" customHeight="1">
      <c r="B166" s="4"/>
      <c r="C166" s="4"/>
      <c r="D166" s="3"/>
      <c r="E166" s="56"/>
      <c r="F166" s="56"/>
    </row>
    <row r="167" ht="15.75" customHeight="1">
      <c r="B167" s="4"/>
      <c r="C167" s="4"/>
      <c r="D167" s="3"/>
      <c r="E167" s="56"/>
      <c r="F167" s="56"/>
    </row>
    <row r="168" ht="15.75" customHeight="1">
      <c r="B168" s="4"/>
      <c r="C168" s="4"/>
      <c r="D168" s="3"/>
      <c r="E168" s="56"/>
      <c r="F168" s="56"/>
    </row>
    <row r="169" ht="15.75" customHeight="1">
      <c r="B169" s="4"/>
      <c r="C169" s="4"/>
      <c r="D169" s="3"/>
      <c r="E169" s="56"/>
      <c r="F169" s="56"/>
    </row>
    <row r="170" ht="15.75" customHeight="1">
      <c r="B170" s="4"/>
      <c r="C170" s="4"/>
      <c r="D170" s="3"/>
      <c r="E170" s="56"/>
      <c r="F170" s="56"/>
    </row>
    <row r="171" ht="15.75" customHeight="1">
      <c r="B171" s="4"/>
      <c r="C171" s="4"/>
      <c r="D171" s="3"/>
      <c r="E171" s="56"/>
      <c r="F171" s="56"/>
    </row>
    <row r="172" ht="15.75" customHeight="1">
      <c r="B172" s="4"/>
      <c r="C172" s="4"/>
      <c r="D172" s="3"/>
      <c r="E172" s="56"/>
      <c r="F172" s="56"/>
    </row>
    <row r="173" ht="15.75" customHeight="1">
      <c r="B173" s="4"/>
      <c r="C173" s="4"/>
      <c r="D173" s="3"/>
      <c r="E173" s="56"/>
      <c r="F173" s="56"/>
    </row>
    <row r="174" ht="15.75" customHeight="1">
      <c r="B174" s="4"/>
      <c r="C174" s="4"/>
      <c r="D174" s="3"/>
      <c r="E174" s="56"/>
      <c r="F174" s="56"/>
    </row>
    <row r="175" ht="15.75" customHeight="1">
      <c r="B175" s="4"/>
      <c r="C175" s="4"/>
      <c r="D175" s="3"/>
      <c r="E175" s="56"/>
      <c r="F175" s="56"/>
    </row>
    <row r="176" ht="15.75" customHeight="1">
      <c r="B176" s="4"/>
      <c r="C176" s="4"/>
      <c r="D176" s="3"/>
      <c r="E176" s="56"/>
      <c r="F176" s="56"/>
    </row>
    <row r="177" ht="15.75" customHeight="1">
      <c r="B177" s="4"/>
      <c r="C177" s="4"/>
      <c r="D177" s="3"/>
      <c r="E177" s="56"/>
      <c r="F177" s="56"/>
    </row>
    <row r="178" ht="15.75" customHeight="1">
      <c r="B178" s="4"/>
      <c r="C178" s="4"/>
      <c r="D178" s="3"/>
      <c r="E178" s="56"/>
      <c r="F178" s="56"/>
    </row>
    <row r="179" ht="15.75" customHeight="1">
      <c r="B179" s="4"/>
      <c r="C179" s="4"/>
      <c r="D179" s="3"/>
      <c r="E179" s="56"/>
      <c r="F179" s="56"/>
    </row>
    <row r="180" ht="15.75" customHeight="1">
      <c r="B180" s="4"/>
      <c r="C180" s="4"/>
      <c r="D180" s="3"/>
      <c r="E180" s="56"/>
      <c r="F180" s="56"/>
    </row>
    <row r="181" ht="15.75" customHeight="1">
      <c r="B181" s="4"/>
      <c r="C181" s="4"/>
      <c r="D181" s="3"/>
      <c r="E181" s="56"/>
      <c r="F181" s="56"/>
    </row>
    <row r="182" ht="15.75" customHeight="1">
      <c r="B182" s="4"/>
      <c r="C182" s="4"/>
      <c r="D182" s="3"/>
      <c r="E182" s="56"/>
      <c r="F182" s="56"/>
    </row>
    <row r="183" ht="15.75" customHeight="1">
      <c r="B183" s="4"/>
      <c r="C183" s="4"/>
      <c r="D183" s="3"/>
      <c r="E183" s="56"/>
      <c r="F183" s="56"/>
    </row>
    <row r="184" ht="15.75" customHeight="1">
      <c r="B184" s="4"/>
      <c r="C184" s="4"/>
      <c r="D184" s="3"/>
      <c r="E184" s="56"/>
      <c r="F184" s="56"/>
    </row>
    <row r="185" ht="15.75" customHeight="1">
      <c r="B185" s="4"/>
      <c r="C185" s="4"/>
      <c r="D185" s="3"/>
      <c r="E185" s="56"/>
      <c r="F185" s="56"/>
    </row>
    <row r="186" ht="15.75" customHeight="1">
      <c r="B186" s="4"/>
      <c r="C186" s="4"/>
      <c r="D186" s="3"/>
      <c r="E186" s="56"/>
      <c r="F186" s="56"/>
    </row>
    <row r="187" ht="15.75" customHeight="1">
      <c r="B187" s="4"/>
      <c r="C187" s="4"/>
      <c r="D187" s="3"/>
      <c r="E187" s="56"/>
      <c r="F187" s="56"/>
    </row>
    <row r="188" ht="15.75" customHeight="1">
      <c r="B188" s="4"/>
      <c r="C188" s="4"/>
      <c r="D188" s="3"/>
      <c r="E188" s="56"/>
      <c r="F188" s="56"/>
    </row>
    <row r="189" ht="15.75" customHeight="1">
      <c r="B189" s="4"/>
      <c r="C189" s="4"/>
      <c r="D189" s="3"/>
      <c r="E189" s="56"/>
      <c r="F189" s="56"/>
    </row>
    <row r="190" ht="15.75" customHeight="1">
      <c r="B190" s="4"/>
      <c r="C190" s="4"/>
      <c r="D190" s="3"/>
      <c r="E190" s="56"/>
      <c r="F190" s="56"/>
    </row>
    <row r="191" ht="15.75" customHeight="1">
      <c r="B191" s="4"/>
      <c r="C191" s="4"/>
      <c r="D191" s="3"/>
      <c r="E191" s="56"/>
      <c r="F191" s="56"/>
    </row>
    <row r="192" ht="15.75" customHeight="1">
      <c r="B192" s="4"/>
      <c r="C192" s="4"/>
      <c r="D192" s="3"/>
      <c r="E192" s="56"/>
      <c r="F192" s="56"/>
    </row>
    <row r="193" ht="15.75" customHeight="1">
      <c r="B193" s="4"/>
      <c r="C193" s="4"/>
      <c r="D193" s="3"/>
      <c r="E193" s="56"/>
      <c r="F193" s="56"/>
    </row>
    <row r="194" ht="15.75" customHeight="1">
      <c r="B194" s="4"/>
      <c r="C194" s="4"/>
      <c r="D194" s="3"/>
      <c r="E194" s="56"/>
      <c r="F194" s="56"/>
    </row>
    <row r="195" ht="15.75" customHeight="1">
      <c r="B195" s="4"/>
      <c r="C195" s="4"/>
      <c r="D195" s="3"/>
      <c r="E195" s="56"/>
      <c r="F195" s="56"/>
    </row>
    <row r="196" ht="15.75" customHeight="1">
      <c r="B196" s="4"/>
      <c r="C196" s="4"/>
      <c r="D196" s="3"/>
      <c r="E196" s="56"/>
      <c r="F196" s="56"/>
    </row>
    <row r="197" ht="15.75" customHeight="1">
      <c r="B197" s="4"/>
      <c r="C197" s="4"/>
      <c r="D197" s="3"/>
      <c r="E197" s="56"/>
      <c r="F197" s="56"/>
    </row>
    <row r="198" ht="15.75" customHeight="1">
      <c r="B198" s="4"/>
      <c r="C198" s="4"/>
      <c r="D198" s="3"/>
      <c r="E198" s="56"/>
      <c r="F198" s="56"/>
    </row>
    <row r="199" ht="15.75" customHeight="1">
      <c r="B199" s="4"/>
      <c r="C199" s="4"/>
      <c r="D199" s="3"/>
      <c r="E199" s="56"/>
      <c r="F199" s="56"/>
    </row>
    <row r="200" ht="15.75" customHeight="1">
      <c r="B200" s="4"/>
      <c r="C200" s="4"/>
      <c r="D200" s="3"/>
      <c r="E200" s="56"/>
      <c r="F200" s="56"/>
    </row>
    <row r="201" ht="15.75" customHeight="1">
      <c r="B201" s="4"/>
      <c r="C201" s="4"/>
      <c r="D201" s="3"/>
      <c r="E201" s="56"/>
      <c r="F201" s="56"/>
    </row>
    <row r="202" ht="15.75" customHeight="1">
      <c r="B202" s="4"/>
      <c r="C202" s="4"/>
      <c r="D202" s="3"/>
      <c r="E202" s="56"/>
      <c r="F202" s="56"/>
    </row>
    <row r="203" ht="15.75" customHeight="1">
      <c r="B203" s="4"/>
      <c r="C203" s="4"/>
      <c r="D203" s="3"/>
      <c r="E203" s="56"/>
      <c r="F203" s="56"/>
    </row>
    <row r="204" ht="15.75" customHeight="1">
      <c r="B204" s="4"/>
      <c r="C204" s="4"/>
      <c r="D204" s="3"/>
      <c r="E204" s="56"/>
      <c r="F204" s="56"/>
    </row>
    <row r="205" ht="15.75" customHeight="1">
      <c r="B205" s="4"/>
      <c r="C205" s="4"/>
      <c r="D205" s="3"/>
      <c r="E205" s="56"/>
      <c r="F205" s="56"/>
    </row>
    <row r="206" ht="15.75" customHeight="1">
      <c r="B206" s="4"/>
      <c r="C206" s="4"/>
      <c r="D206" s="3"/>
      <c r="E206" s="56"/>
      <c r="F206" s="56"/>
    </row>
    <row r="207" ht="15.75" customHeight="1">
      <c r="B207" s="4"/>
      <c r="C207" s="4"/>
      <c r="D207" s="3"/>
      <c r="E207" s="56"/>
      <c r="F207" s="56"/>
    </row>
    <row r="208" ht="15.75" customHeight="1">
      <c r="B208" s="4"/>
      <c r="C208" s="4"/>
      <c r="D208" s="3"/>
      <c r="E208" s="56"/>
      <c r="F208" s="56"/>
    </row>
    <row r="209" ht="15.75" customHeight="1">
      <c r="B209" s="4"/>
      <c r="C209" s="4"/>
      <c r="D209" s="3"/>
      <c r="E209" s="56"/>
      <c r="F209" s="56"/>
    </row>
    <row r="210" ht="15.75" customHeight="1">
      <c r="B210" s="4"/>
      <c r="C210" s="4"/>
      <c r="D210" s="3"/>
      <c r="E210" s="56"/>
      <c r="F210" s="56"/>
    </row>
    <row r="211" ht="15.75" customHeight="1">
      <c r="B211" s="4"/>
      <c r="C211" s="4"/>
      <c r="D211" s="3"/>
      <c r="E211" s="56"/>
      <c r="F211" s="56"/>
    </row>
    <row r="212" ht="15.75" customHeight="1">
      <c r="B212" s="4"/>
      <c r="C212" s="4"/>
      <c r="D212" s="3"/>
      <c r="E212" s="56"/>
      <c r="F212" s="56"/>
    </row>
    <row r="213" ht="15.75" customHeight="1">
      <c r="B213" s="4"/>
      <c r="C213" s="4"/>
      <c r="D213" s="3"/>
      <c r="E213" s="56"/>
      <c r="F213" s="56"/>
    </row>
    <row r="214" ht="15.75" customHeight="1">
      <c r="B214" s="4"/>
      <c r="C214" s="4"/>
      <c r="D214" s="3"/>
      <c r="E214" s="56"/>
      <c r="F214" s="56"/>
    </row>
    <row r="215" ht="15.75" customHeight="1">
      <c r="B215" s="4"/>
      <c r="C215" s="4"/>
      <c r="D215" s="3"/>
      <c r="E215" s="56"/>
      <c r="F215" s="56"/>
    </row>
    <row r="216" ht="15.75" customHeight="1">
      <c r="B216" s="4"/>
      <c r="C216" s="4"/>
      <c r="D216" s="3"/>
      <c r="E216" s="56"/>
      <c r="F216" s="56"/>
    </row>
    <row r="217" ht="15.75" customHeight="1">
      <c r="B217" s="4"/>
      <c r="C217" s="4"/>
      <c r="D217" s="3"/>
      <c r="E217" s="56"/>
      <c r="F217" s="56"/>
    </row>
    <row r="218" ht="15.75" customHeight="1">
      <c r="B218" s="4"/>
      <c r="C218" s="4"/>
      <c r="D218" s="3"/>
      <c r="E218" s="56"/>
      <c r="F218" s="56"/>
    </row>
    <row r="219" ht="15.75" customHeight="1">
      <c r="B219" s="4"/>
      <c r="C219" s="4"/>
      <c r="D219" s="3"/>
      <c r="E219" s="56"/>
      <c r="F219" s="56"/>
    </row>
    <row r="220" ht="15.75" customHeight="1">
      <c r="B220" s="4"/>
      <c r="C220" s="4"/>
      <c r="D220" s="3"/>
      <c r="E220" s="56"/>
      <c r="F220" s="56"/>
    </row>
    <row r="221" ht="15.75" customHeight="1">
      <c r="B221" s="4"/>
      <c r="C221" s="4"/>
      <c r="D221" s="3"/>
      <c r="E221" s="56"/>
      <c r="F221" s="56"/>
    </row>
    <row r="222" ht="15.75" customHeight="1">
      <c r="B222" s="4"/>
      <c r="C222" s="4"/>
      <c r="D222" s="3"/>
      <c r="E222" s="56"/>
      <c r="F222" s="56"/>
    </row>
    <row r="223" ht="15.75" customHeight="1">
      <c r="B223" s="4"/>
      <c r="C223" s="4"/>
      <c r="D223" s="3"/>
      <c r="E223" s="56"/>
      <c r="F223" s="56"/>
    </row>
    <row r="224" ht="15.75" customHeight="1">
      <c r="B224" s="4"/>
      <c r="C224" s="4"/>
      <c r="D224" s="3"/>
      <c r="E224" s="56"/>
      <c r="F224" s="56"/>
    </row>
    <row r="225" ht="15.75" customHeight="1">
      <c r="B225" s="4"/>
      <c r="C225" s="4"/>
      <c r="D225" s="3"/>
      <c r="E225" s="56"/>
      <c r="F225" s="56"/>
    </row>
    <row r="226" ht="15.75" customHeight="1">
      <c r="B226" s="4"/>
      <c r="C226" s="4"/>
      <c r="D226" s="3"/>
      <c r="E226" s="56"/>
      <c r="F226" s="56"/>
    </row>
    <row r="227" ht="15.75" customHeight="1">
      <c r="B227" s="4"/>
      <c r="C227" s="4"/>
      <c r="D227" s="3"/>
      <c r="E227" s="56"/>
      <c r="F227" s="56"/>
    </row>
    <row r="228" ht="15.75" customHeight="1">
      <c r="B228" s="4"/>
      <c r="C228" s="4"/>
      <c r="D228" s="3"/>
      <c r="E228" s="56"/>
      <c r="F228" s="56"/>
    </row>
    <row r="229" ht="15.75" customHeight="1">
      <c r="B229" s="4"/>
      <c r="C229" s="4"/>
      <c r="D229" s="3"/>
      <c r="E229" s="56"/>
      <c r="F229" s="56"/>
    </row>
    <row r="230" ht="15.75" customHeight="1">
      <c r="B230" s="4"/>
      <c r="C230" s="4"/>
      <c r="D230" s="3"/>
      <c r="E230" s="56"/>
      <c r="F230" s="56"/>
    </row>
    <row r="231" ht="15.75" customHeight="1">
      <c r="B231" s="4"/>
      <c r="C231" s="4"/>
      <c r="D231" s="3"/>
      <c r="E231" s="56"/>
      <c r="F231" s="56"/>
    </row>
    <row r="232" ht="15.75" customHeight="1">
      <c r="B232" s="4"/>
      <c r="C232" s="4"/>
      <c r="D232" s="3"/>
      <c r="E232" s="56"/>
      <c r="F232" s="56"/>
    </row>
    <row r="233" ht="15.75" customHeight="1">
      <c r="B233" s="4"/>
      <c r="C233" s="4"/>
      <c r="D233" s="3"/>
      <c r="E233" s="56"/>
      <c r="F233" s="56"/>
    </row>
    <row r="234" ht="15.75" customHeight="1">
      <c r="B234" s="4"/>
      <c r="C234" s="4"/>
      <c r="D234" s="3"/>
      <c r="E234" s="56"/>
      <c r="F234" s="56"/>
    </row>
    <row r="235" ht="15.75" customHeight="1">
      <c r="B235" s="4"/>
      <c r="C235" s="4"/>
      <c r="D235" s="3"/>
      <c r="E235" s="56"/>
      <c r="F235" s="56"/>
    </row>
    <row r="236" ht="15.75" customHeight="1">
      <c r="B236" s="4"/>
      <c r="C236" s="4"/>
      <c r="D236" s="3"/>
      <c r="E236" s="56"/>
      <c r="F236" s="56"/>
    </row>
    <row r="237" ht="15.75" customHeight="1">
      <c r="B237" s="4"/>
      <c r="C237" s="4"/>
      <c r="D237" s="3"/>
      <c r="E237" s="56"/>
      <c r="F237" s="56"/>
    </row>
    <row r="238" ht="15.75" customHeight="1">
      <c r="B238" s="4"/>
      <c r="C238" s="4"/>
      <c r="D238" s="3"/>
      <c r="E238" s="56"/>
      <c r="F238" s="56"/>
    </row>
    <row r="239" ht="15.75" customHeight="1">
      <c r="B239" s="4"/>
      <c r="C239" s="4"/>
      <c r="D239" s="3"/>
      <c r="E239" s="56"/>
      <c r="F239" s="56"/>
    </row>
    <row r="240" ht="15.75" customHeight="1">
      <c r="B240" s="4"/>
      <c r="C240" s="4"/>
      <c r="D240" s="3"/>
      <c r="E240" s="56"/>
      <c r="F240" s="56"/>
    </row>
    <row r="241" ht="15.75" customHeight="1">
      <c r="B241" s="4"/>
      <c r="C241" s="4"/>
      <c r="D241" s="3"/>
      <c r="E241" s="56"/>
      <c r="F241" s="56"/>
    </row>
    <row r="242" ht="15.75" customHeight="1">
      <c r="B242" s="4"/>
      <c r="C242" s="4"/>
      <c r="D242" s="3"/>
      <c r="E242" s="56"/>
      <c r="F242" s="56"/>
    </row>
    <row r="243" ht="15.75" customHeight="1">
      <c r="B243" s="4"/>
      <c r="C243" s="4"/>
      <c r="D243" s="3"/>
      <c r="E243" s="56"/>
      <c r="F243" s="56"/>
    </row>
    <row r="244" ht="15.75" customHeight="1">
      <c r="B244" s="4"/>
      <c r="C244" s="4"/>
      <c r="D244" s="3"/>
      <c r="E244" s="56"/>
      <c r="F244" s="56"/>
    </row>
    <row r="245" ht="15.75" customHeight="1">
      <c r="B245" s="4"/>
      <c r="C245" s="4"/>
      <c r="D245" s="3"/>
      <c r="E245" s="56"/>
      <c r="F245" s="56"/>
    </row>
    <row r="246" ht="15.75" customHeight="1">
      <c r="B246" s="4"/>
      <c r="C246" s="4"/>
      <c r="D246" s="3"/>
      <c r="E246" s="56"/>
      <c r="F246" s="56"/>
    </row>
    <row r="247" ht="15.75" customHeight="1">
      <c r="B247" s="4"/>
      <c r="C247" s="4"/>
      <c r="D247" s="3"/>
      <c r="E247" s="56"/>
      <c r="F247" s="56"/>
    </row>
    <row r="248" ht="15.75" customHeight="1">
      <c r="B248" s="4"/>
      <c r="C248" s="4"/>
      <c r="D248" s="3"/>
      <c r="E248" s="56"/>
      <c r="F248" s="56"/>
    </row>
    <row r="249" ht="15.75" customHeight="1">
      <c r="B249" s="4"/>
      <c r="C249" s="4"/>
      <c r="D249" s="3"/>
      <c r="E249" s="56"/>
      <c r="F249" s="56"/>
    </row>
    <row r="250" ht="15.75" customHeight="1">
      <c r="B250" s="4"/>
      <c r="C250" s="4"/>
      <c r="D250" s="3"/>
      <c r="E250" s="56"/>
      <c r="F250" s="56"/>
    </row>
    <row r="251" ht="15.75" customHeight="1">
      <c r="B251" s="4"/>
      <c r="C251" s="4"/>
      <c r="D251" s="3"/>
      <c r="E251" s="56"/>
      <c r="F251" s="56"/>
    </row>
    <row r="252" ht="15.75" customHeight="1">
      <c r="B252" s="4"/>
      <c r="C252" s="4"/>
      <c r="D252" s="3"/>
      <c r="E252" s="56"/>
      <c r="F252" s="56"/>
    </row>
    <row r="253" ht="15.75" customHeight="1">
      <c r="B253" s="4"/>
      <c r="C253" s="4"/>
      <c r="D253" s="3"/>
      <c r="E253" s="56"/>
      <c r="F253" s="56"/>
    </row>
    <row r="254" ht="15.75" customHeight="1">
      <c r="B254" s="4"/>
      <c r="C254" s="4"/>
      <c r="D254" s="3"/>
      <c r="E254" s="56"/>
      <c r="F254" s="56"/>
    </row>
    <row r="255" ht="15.75" customHeight="1">
      <c r="B255" s="4"/>
      <c r="C255" s="4"/>
      <c r="D255" s="3"/>
      <c r="E255" s="56"/>
      <c r="F255" s="56"/>
    </row>
    <row r="256" ht="15.75" customHeight="1">
      <c r="B256" s="4"/>
      <c r="C256" s="4"/>
      <c r="D256" s="3"/>
      <c r="E256" s="56"/>
      <c r="F256" s="56"/>
    </row>
    <row r="257" ht="15.75" customHeight="1">
      <c r="B257" s="4"/>
      <c r="C257" s="4"/>
      <c r="D257" s="3"/>
      <c r="E257" s="56"/>
      <c r="F257" s="56"/>
    </row>
    <row r="258" ht="15.75" customHeight="1">
      <c r="B258" s="4"/>
      <c r="C258" s="4"/>
      <c r="D258" s="3"/>
      <c r="E258" s="56"/>
      <c r="F258" s="56"/>
    </row>
    <row r="259" ht="15.75" customHeight="1">
      <c r="B259" s="4"/>
      <c r="C259" s="4"/>
      <c r="D259" s="3"/>
      <c r="E259" s="56"/>
      <c r="F259" s="56"/>
    </row>
    <row r="260" ht="15.75" customHeight="1">
      <c r="B260" s="4"/>
      <c r="C260" s="4"/>
      <c r="D260" s="3"/>
      <c r="E260" s="56"/>
      <c r="F260" s="56"/>
    </row>
    <row r="261" ht="15.75" customHeight="1">
      <c r="B261" s="4"/>
      <c r="C261" s="4"/>
      <c r="D261" s="3"/>
      <c r="E261" s="56"/>
      <c r="F261" s="56"/>
    </row>
    <row r="262" ht="15.75" customHeight="1">
      <c r="B262" s="4"/>
      <c r="C262" s="4"/>
      <c r="D262" s="3"/>
      <c r="E262" s="56"/>
      <c r="F262" s="56"/>
    </row>
    <row r="263" ht="15.75" customHeight="1">
      <c r="B263" s="4"/>
      <c r="C263" s="4"/>
      <c r="D263" s="3"/>
      <c r="E263" s="56"/>
      <c r="F263" s="56"/>
    </row>
    <row r="264" ht="15.75" customHeight="1">
      <c r="B264" s="4"/>
      <c r="C264" s="4"/>
      <c r="D264" s="3"/>
      <c r="E264" s="56"/>
      <c r="F264" s="56"/>
    </row>
    <row r="265" ht="15.75" customHeight="1">
      <c r="B265" s="4"/>
      <c r="C265" s="4"/>
      <c r="D265" s="3"/>
      <c r="E265" s="56"/>
      <c r="F265" s="56"/>
    </row>
    <row r="266" ht="15.75" customHeight="1">
      <c r="B266" s="4"/>
      <c r="C266" s="4"/>
      <c r="D266" s="3"/>
      <c r="E266" s="56"/>
      <c r="F266" s="56"/>
    </row>
    <row r="267" ht="15.75" customHeight="1">
      <c r="B267" s="4"/>
      <c r="C267" s="4"/>
      <c r="D267" s="3"/>
      <c r="E267" s="56"/>
      <c r="F267" s="56"/>
    </row>
    <row r="268" ht="15.75" customHeight="1">
      <c r="B268" s="4"/>
      <c r="C268" s="4"/>
      <c r="D268" s="3"/>
      <c r="E268" s="56"/>
      <c r="F268" s="56"/>
    </row>
    <row r="269" ht="15.75" customHeight="1">
      <c r="B269" s="4"/>
      <c r="C269" s="4"/>
      <c r="D269" s="3"/>
      <c r="E269" s="56"/>
      <c r="F269" s="56"/>
    </row>
    <row r="270" ht="15.75" customHeight="1">
      <c r="B270" s="4"/>
      <c r="C270" s="4"/>
      <c r="D270" s="3"/>
      <c r="E270" s="56"/>
      <c r="F270" s="56"/>
    </row>
    <row r="271" ht="15.75" customHeight="1">
      <c r="B271" s="4"/>
      <c r="C271" s="4"/>
      <c r="D271" s="3"/>
      <c r="E271" s="56"/>
      <c r="F271" s="56"/>
    </row>
    <row r="272" ht="15.75" customHeight="1">
      <c r="B272" s="4"/>
      <c r="C272" s="4"/>
      <c r="D272" s="3"/>
      <c r="E272" s="56"/>
      <c r="F272" s="56"/>
    </row>
    <row r="273" ht="15.75" customHeight="1">
      <c r="B273" s="4"/>
      <c r="C273" s="4"/>
      <c r="D273" s="3"/>
      <c r="E273" s="56"/>
      <c r="F273" s="56"/>
    </row>
    <row r="274" ht="15.75" customHeight="1">
      <c r="B274" s="4"/>
      <c r="C274" s="4"/>
      <c r="D274" s="3"/>
      <c r="E274" s="56"/>
      <c r="F274" s="56"/>
    </row>
    <row r="275" ht="15.75" customHeight="1">
      <c r="B275" s="4"/>
      <c r="C275" s="4"/>
      <c r="D275" s="3"/>
      <c r="E275" s="56"/>
      <c r="F275" s="56"/>
    </row>
    <row r="276" ht="15.75" customHeight="1">
      <c r="B276" s="4"/>
      <c r="C276" s="4"/>
      <c r="D276" s="3"/>
      <c r="E276" s="56"/>
      <c r="F276" s="56"/>
    </row>
    <row r="277" ht="15.75" customHeight="1">
      <c r="B277" s="4"/>
      <c r="C277" s="4"/>
      <c r="D277" s="3"/>
      <c r="E277" s="56"/>
      <c r="F277" s="56"/>
    </row>
    <row r="278" ht="15.75" customHeight="1">
      <c r="B278" s="4"/>
      <c r="C278" s="4"/>
      <c r="D278" s="3"/>
      <c r="E278" s="56"/>
      <c r="F278" s="56"/>
    </row>
    <row r="279" ht="15.75" customHeight="1">
      <c r="B279" s="4"/>
      <c r="C279" s="4"/>
      <c r="D279" s="3"/>
      <c r="E279" s="56"/>
      <c r="F279" s="56"/>
    </row>
    <row r="280" ht="15.75" customHeight="1">
      <c r="B280" s="4"/>
      <c r="C280" s="4"/>
      <c r="D280" s="3"/>
      <c r="E280" s="56"/>
      <c r="F280" s="56"/>
    </row>
    <row r="281" ht="15.75" customHeight="1">
      <c r="B281" s="4"/>
      <c r="C281" s="4"/>
      <c r="D281" s="3"/>
      <c r="E281" s="56"/>
      <c r="F281" s="56"/>
    </row>
    <row r="282" ht="15.75" customHeight="1">
      <c r="B282" s="4"/>
      <c r="C282" s="4"/>
      <c r="D282" s="3"/>
      <c r="E282" s="56"/>
      <c r="F282" s="56"/>
    </row>
    <row r="283" ht="15.75" customHeight="1">
      <c r="B283" s="4"/>
      <c r="C283" s="4"/>
      <c r="D283" s="3"/>
      <c r="E283" s="56"/>
      <c r="F283" s="56"/>
    </row>
    <row r="284" ht="15.75" customHeight="1">
      <c r="B284" s="4"/>
      <c r="C284" s="4"/>
      <c r="D284" s="3"/>
      <c r="E284" s="56"/>
      <c r="F284" s="56"/>
    </row>
    <row r="285" ht="15.75" customHeight="1">
      <c r="B285" s="4"/>
      <c r="C285" s="4"/>
      <c r="D285" s="3"/>
      <c r="E285" s="56"/>
      <c r="F285" s="56"/>
    </row>
    <row r="286" ht="15.75" customHeight="1">
      <c r="B286" s="4"/>
      <c r="C286" s="4"/>
      <c r="D286" s="3"/>
      <c r="E286" s="56"/>
      <c r="F286" s="56"/>
    </row>
    <row r="287" ht="15.75" customHeight="1">
      <c r="B287" s="4"/>
      <c r="C287" s="4"/>
      <c r="D287" s="3"/>
      <c r="E287" s="56"/>
      <c r="F287" s="56"/>
    </row>
    <row r="288" ht="15.75" customHeight="1">
      <c r="B288" s="4"/>
      <c r="C288" s="4"/>
      <c r="D288" s="3"/>
      <c r="E288" s="56"/>
      <c r="F288" s="56"/>
    </row>
    <row r="289" ht="15.75" customHeight="1">
      <c r="B289" s="4"/>
      <c r="C289" s="4"/>
      <c r="D289" s="3"/>
      <c r="E289" s="56"/>
      <c r="F289" s="56"/>
    </row>
    <row r="290" ht="15.75" customHeight="1">
      <c r="B290" s="4"/>
      <c r="C290" s="4"/>
      <c r="D290" s="3"/>
      <c r="E290" s="56"/>
      <c r="F290" s="56"/>
    </row>
    <row r="291" ht="15.75" customHeight="1">
      <c r="B291" s="4"/>
      <c r="C291" s="4"/>
      <c r="D291" s="3"/>
      <c r="E291" s="56"/>
      <c r="F291" s="56"/>
    </row>
    <row r="292" ht="15.75" customHeight="1">
      <c r="B292" s="4"/>
      <c r="C292" s="4"/>
      <c r="D292" s="3"/>
      <c r="E292" s="56"/>
      <c r="F292" s="56"/>
    </row>
    <row r="293" ht="15.75" customHeight="1">
      <c r="B293" s="4"/>
      <c r="C293" s="4"/>
      <c r="D293" s="3"/>
      <c r="E293" s="56"/>
      <c r="F293" s="56"/>
    </row>
    <row r="294" ht="15.75" customHeight="1">
      <c r="B294" s="4"/>
      <c r="C294" s="4"/>
      <c r="D294" s="3"/>
      <c r="E294" s="56"/>
      <c r="F294" s="56"/>
    </row>
    <row r="295" ht="15.75" customHeight="1">
      <c r="B295" s="4"/>
      <c r="C295" s="4"/>
      <c r="D295" s="3"/>
      <c r="E295" s="56"/>
      <c r="F295" s="56"/>
    </row>
    <row r="296" ht="15.75" customHeight="1">
      <c r="B296" s="4"/>
      <c r="C296" s="4"/>
      <c r="D296" s="3"/>
      <c r="E296" s="56"/>
      <c r="F296" s="56"/>
    </row>
    <row r="297" ht="15.75" customHeight="1">
      <c r="B297" s="4"/>
      <c r="C297" s="4"/>
      <c r="D297" s="3"/>
      <c r="E297" s="56"/>
      <c r="F297" s="56"/>
    </row>
    <row r="298" ht="15.75" customHeight="1">
      <c r="B298" s="4"/>
      <c r="C298" s="4"/>
      <c r="D298" s="3"/>
      <c r="E298" s="56"/>
      <c r="F298" s="56"/>
    </row>
    <row r="299" ht="15.75" customHeight="1">
      <c r="B299" s="4"/>
      <c r="C299" s="4"/>
      <c r="D299" s="3"/>
      <c r="E299" s="56"/>
      <c r="F299" s="56"/>
    </row>
    <row r="300" ht="15.75" customHeight="1">
      <c r="B300" s="4"/>
      <c r="C300" s="4"/>
      <c r="D300" s="3"/>
      <c r="E300" s="56"/>
      <c r="F300" s="56"/>
    </row>
    <row r="301" ht="15.75" customHeight="1">
      <c r="B301" s="4"/>
      <c r="C301" s="4"/>
      <c r="D301" s="3"/>
      <c r="E301" s="56"/>
      <c r="F301" s="56"/>
    </row>
    <row r="302" ht="15.75" customHeight="1">
      <c r="B302" s="4"/>
      <c r="C302" s="4"/>
      <c r="D302" s="3"/>
      <c r="E302" s="56"/>
      <c r="F302" s="56"/>
    </row>
    <row r="303" ht="15.75" customHeight="1">
      <c r="B303" s="4"/>
      <c r="C303" s="4"/>
      <c r="D303" s="3"/>
      <c r="E303" s="56"/>
      <c r="F303" s="56"/>
    </row>
    <row r="304" ht="15.75" customHeight="1">
      <c r="B304" s="4"/>
      <c r="C304" s="4"/>
      <c r="D304" s="3"/>
      <c r="E304" s="56"/>
      <c r="F304" s="56"/>
    </row>
    <row r="305" ht="15.75" customHeight="1">
      <c r="B305" s="4"/>
      <c r="C305" s="4"/>
      <c r="D305" s="3"/>
      <c r="E305" s="56"/>
      <c r="F305" s="56"/>
    </row>
    <row r="306" ht="15.75" customHeight="1">
      <c r="B306" s="4"/>
      <c r="C306" s="4"/>
      <c r="D306" s="3"/>
      <c r="E306" s="56"/>
      <c r="F306" s="56"/>
    </row>
    <row r="307" ht="15.75" customHeight="1">
      <c r="B307" s="4"/>
      <c r="C307" s="4"/>
      <c r="D307" s="3"/>
      <c r="E307" s="56"/>
      <c r="F307" s="56"/>
    </row>
    <row r="308" ht="15.75" customHeight="1">
      <c r="B308" s="4"/>
      <c r="C308" s="4"/>
      <c r="D308" s="3"/>
      <c r="E308" s="56"/>
      <c r="F308" s="56"/>
    </row>
    <row r="309" ht="15.75" customHeight="1">
      <c r="B309" s="4"/>
      <c r="C309" s="4"/>
      <c r="D309" s="3"/>
      <c r="E309" s="56"/>
      <c r="F309" s="56"/>
    </row>
    <row r="310" ht="15.75" customHeight="1">
      <c r="B310" s="4"/>
      <c r="C310" s="4"/>
      <c r="D310" s="3"/>
      <c r="E310" s="56"/>
      <c r="F310" s="56"/>
    </row>
    <row r="311" ht="15.75" customHeight="1">
      <c r="B311" s="4"/>
      <c r="C311" s="4"/>
      <c r="D311" s="3"/>
      <c r="E311" s="56"/>
      <c r="F311" s="56"/>
    </row>
    <row r="312" ht="15.75" customHeight="1">
      <c r="B312" s="4"/>
      <c r="C312" s="4"/>
      <c r="D312" s="3"/>
      <c r="E312" s="56"/>
      <c r="F312" s="56"/>
    </row>
    <row r="313" ht="15.75" customHeight="1">
      <c r="B313" s="4"/>
      <c r="C313" s="4"/>
      <c r="D313" s="3"/>
      <c r="E313" s="56"/>
      <c r="F313" s="56"/>
    </row>
    <row r="314" ht="15.75" customHeight="1">
      <c r="B314" s="4"/>
      <c r="C314" s="4"/>
      <c r="D314" s="3"/>
      <c r="E314" s="56"/>
      <c r="F314" s="56"/>
    </row>
    <row r="315" ht="15.75" customHeight="1">
      <c r="B315" s="4"/>
      <c r="C315" s="4"/>
      <c r="D315" s="3"/>
      <c r="E315" s="56"/>
      <c r="F315" s="56"/>
    </row>
    <row r="316" ht="15.75" customHeight="1">
      <c r="B316" s="4"/>
      <c r="C316" s="4"/>
      <c r="D316" s="3"/>
      <c r="E316" s="56"/>
      <c r="F316" s="56"/>
    </row>
    <row r="317" ht="15.75" customHeight="1">
      <c r="B317" s="4"/>
      <c r="C317" s="4"/>
      <c r="D317" s="3"/>
      <c r="E317" s="56"/>
      <c r="F317" s="56"/>
    </row>
    <row r="318" ht="15.75" customHeight="1">
      <c r="B318" s="4"/>
      <c r="C318" s="4"/>
      <c r="D318" s="3"/>
      <c r="E318" s="56"/>
      <c r="F318" s="56"/>
    </row>
    <row r="319" ht="15.75" customHeight="1">
      <c r="B319" s="4"/>
      <c r="C319" s="4"/>
      <c r="D319" s="3"/>
      <c r="E319" s="56"/>
      <c r="F319" s="56"/>
    </row>
    <row r="320" ht="15.75" customHeight="1">
      <c r="B320" s="4"/>
      <c r="C320" s="4"/>
      <c r="D320" s="3"/>
      <c r="E320" s="56"/>
      <c r="F320" s="56"/>
    </row>
    <row r="321" ht="15.75" customHeight="1">
      <c r="B321" s="4"/>
      <c r="C321" s="4"/>
      <c r="D321" s="3"/>
      <c r="E321" s="56"/>
      <c r="F321" s="56"/>
    </row>
    <row r="322" ht="15.75" customHeight="1">
      <c r="B322" s="4"/>
      <c r="C322" s="4"/>
      <c r="D322" s="3"/>
      <c r="E322" s="56"/>
      <c r="F322" s="56"/>
    </row>
    <row r="323" ht="15.75" customHeight="1">
      <c r="B323" s="4"/>
      <c r="C323" s="4"/>
      <c r="D323" s="3"/>
      <c r="E323" s="56"/>
      <c r="F323" s="56"/>
    </row>
    <row r="324" ht="15.75" customHeight="1">
      <c r="B324" s="4"/>
      <c r="C324" s="4"/>
      <c r="D324" s="3"/>
      <c r="E324" s="56"/>
      <c r="F324" s="56"/>
    </row>
    <row r="325" ht="15.75" customHeight="1">
      <c r="B325" s="4"/>
      <c r="C325" s="4"/>
      <c r="D325" s="3"/>
      <c r="E325" s="56"/>
      <c r="F325" s="56"/>
    </row>
    <row r="326" ht="15.75" customHeight="1">
      <c r="B326" s="4"/>
      <c r="C326" s="4"/>
      <c r="D326" s="3"/>
      <c r="E326" s="56"/>
      <c r="F326" s="56"/>
    </row>
    <row r="327" ht="15.75" customHeight="1">
      <c r="B327" s="4"/>
      <c r="C327" s="4"/>
      <c r="D327" s="3"/>
      <c r="E327" s="56"/>
      <c r="F327" s="56"/>
    </row>
    <row r="328" ht="15.75" customHeight="1">
      <c r="B328" s="4"/>
      <c r="C328" s="4"/>
      <c r="D328" s="3"/>
      <c r="E328" s="56"/>
      <c r="F328" s="56"/>
    </row>
    <row r="329" ht="15.75" customHeight="1">
      <c r="B329" s="4"/>
      <c r="C329" s="4"/>
      <c r="D329" s="3"/>
      <c r="E329" s="56"/>
      <c r="F329" s="56"/>
    </row>
    <row r="330" ht="15.75" customHeight="1">
      <c r="B330" s="4"/>
      <c r="C330" s="4"/>
      <c r="D330" s="3"/>
      <c r="E330" s="56"/>
      <c r="F330" s="56"/>
    </row>
    <row r="331" ht="15.75" customHeight="1">
      <c r="B331" s="4"/>
      <c r="C331" s="4"/>
      <c r="D331" s="3"/>
      <c r="E331" s="56"/>
      <c r="F331" s="56"/>
    </row>
    <row r="332" ht="15.75" customHeight="1">
      <c r="B332" s="4"/>
      <c r="C332" s="4"/>
      <c r="D332" s="3"/>
      <c r="E332" s="56"/>
      <c r="F332" s="56"/>
    </row>
    <row r="333" ht="15.75" customHeight="1">
      <c r="B333" s="4"/>
      <c r="C333" s="4"/>
      <c r="D333" s="3"/>
      <c r="E333" s="56"/>
      <c r="F333" s="56"/>
    </row>
    <row r="334" ht="15.75" customHeight="1">
      <c r="B334" s="4"/>
      <c r="C334" s="4"/>
      <c r="D334" s="3"/>
      <c r="E334" s="56"/>
      <c r="F334" s="56"/>
    </row>
    <row r="335" ht="15.75" customHeight="1">
      <c r="B335" s="4"/>
      <c r="C335" s="4"/>
      <c r="D335" s="3"/>
      <c r="E335" s="56"/>
      <c r="F335" s="56"/>
    </row>
    <row r="336" ht="15.75" customHeight="1">
      <c r="B336" s="4"/>
      <c r="C336" s="4"/>
      <c r="D336" s="3"/>
      <c r="E336" s="56"/>
      <c r="F336" s="56"/>
    </row>
    <row r="337" ht="15.75" customHeight="1">
      <c r="B337" s="4"/>
      <c r="C337" s="4"/>
      <c r="D337" s="3"/>
      <c r="E337" s="56"/>
      <c r="F337" s="56"/>
    </row>
    <row r="338" ht="15.75" customHeight="1">
      <c r="B338" s="4"/>
      <c r="C338" s="4"/>
      <c r="D338" s="3"/>
      <c r="E338" s="56"/>
      <c r="F338" s="56"/>
    </row>
    <row r="339" ht="15.75" customHeight="1">
      <c r="B339" s="4"/>
      <c r="C339" s="4"/>
      <c r="D339" s="3"/>
      <c r="E339" s="56"/>
      <c r="F339" s="56"/>
    </row>
    <row r="340" ht="15.75" customHeight="1">
      <c r="B340" s="4"/>
      <c r="C340" s="4"/>
      <c r="D340" s="3"/>
      <c r="E340" s="56"/>
      <c r="F340" s="56"/>
    </row>
    <row r="341" ht="15.75" customHeight="1">
      <c r="B341" s="4"/>
      <c r="C341" s="4"/>
      <c r="D341" s="3"/>
      <c r="E341" s="56"/>
      <c r="F341" s="56"/>
    </row>
    <row r="342" ht="15.75" customHeight="1">
      <c r="B342" s="4"/>
      <c r="C342" s="4"/>
      <c r="D342" s="3"/>
      <c r="E342" s="56"/>
      <c r="F342" s="56"/>
    </row>
    <row r="343" ht="15.75" customHeight="1">
      <c r="B343" s="4"/>
      <c r="C343" s="4"/>
      <c r="D343" s="3"/>
      <c r="E343" s="56"/>
      <c r="F343" s="56"/>
    </row>
    <row r="344" ht="15.75" customHeight="1">
      <c r="B344" s="4"/>
      <c r="C344" s="4"/>
      <c r="D344" s="3"/>
      <c r="E344" s="56"/>
      <c r="F344" s="56"/>
    </row>
    <row r="345" ht="15.75" customHeight="1">
      <c r="B345" s="4"/>
      <c r="C345" s="4"/>
      <c r="D345" s="3"/>
      <c r="E345" s="56"/>
      <c r="F345" s="56"/>
    </row>
    <row r="346" ht="15.75" customHeight="1">
      <c r="B346" s="4"/>
      <c r="C346" s="4"/>
      <c r="D346" s="3"/>
      <c r="E346" s="56"/>
      <c r="F346" s="56"/>
    </row>
    <row r="347" ht="15.75" customHeight="1">
      <c r="B347" s="4"/>
      <c r="C347" s="4"/>
      <c r="D347" s="3"/>
      <c r="E347" s="56"/>
      <c r="F347" s="56"/>
    </row>
    <row r="348" ht="15.75" customHeight="1">
      <c r="B348" s="4"/>
      <c r="C348" s="4"/>
      <c r="D348" s="3"/>
      <c r="E348" s="56"/>
      <c r="F348" s="56"/>
    </row>
    <row r="349" ht="15.75" customHeight="1">
      <c r="B349" s="4"/>
      <c r="C349" s="4"/>
      <c r="D349" s="3"/>
      <c r="E349" s="56"/>
      <c r="F349" s="56"/>
    </row>
    <row r="350" ht="15.75" customHeight="1">
      <c r="B350" s="4"/>
      <c r="C350" s="4"/>
      <c r="D350" s="3"/>
      <c r="E350" s="56"/>
      <c r="F350" s="56"/>
    </row>
    <row r="351" ht="15.75" customHeight="1">
      <c r="B351" s="4"/>
      <c r="C351" s="4"/>
      <c r="D351" s="3"/>
      <c r="E351" s="56"/>
      <c r="F351" s="56"/>
    </row>
    <row r="352" ht="15.75" customHeight="1">
      <c r="B352" s="4"/>
      <c r="C352" s="4"/>
      <c r="D352" s="3"/>
      <c r="E352" s="56"/>
      <c r="F352" s="56"/>
    </row>
    <row r="353" ht="15.75" customHeight="1">
      <c r="B353" s="4"/>
      <c r="C353" s="4"/>
      <c r="D353" s="3"/>
      <c r="E353" s="56"/>
      <c r="F353" s="56"/>
    </row>
    <row r="354" ht="15.75" customHeight="1">
      <c r="B354" s="4"/>
      <c r="C354" s="4"/>
      <c r="D354" s="3"/>
      <c r="E354" s="56"/>
      <c r="F354" s="56"/>
    </row>
    <row r="355" ht="15.75" customHeight="1">
      <c r="B355" s="4"/>
      <c r="C355" s="4"/>
      <c r="D355" s="3"/>
      <c r="E355" s="56"/>
      <c r="F355" s="56"/>
    </row>
    <row r="356" ht="15.75" customHeight="1">
      <c r="B356" s="4"/>
      <c r="C356" s="4"/>
      <c r="D356" s="3"/>
      <c r="E356" s="56"/>
      <c r="F356" s="56"/>
    </row>
    <row r="357" ht="15.75" customHeight="1">
      <c r="B357" s="4"/>
      <c r="C357" s="4"/>
      <c r="D357" s="3"/>
      <c r="E357" s="56"/>
      <c r="F357" s="56"/>
    </row>
    <row r="358" ht="15.75" customHeight="1">
      <c r="B358" s="4"/>
      <c r="C358" s="4"/>
      <c r="D358" s="3"/>
      <c r="E358" s="56"/>
      <c r="F358" s="56"/>
    </row>
    <row r="359" ht="15.75" customHeight="1">
      <c r="B359" s="4"/>
      <c r="C359" s="4"/>
      <c r="D359" s="3"/>
      <c r="E359" s="56"/>
      <c r="F359" s="56"/>
    </row>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C118:D118"/>
    <mergeCell ref="E118:F118"/>
    <mergeCell ref="C8:F8"/>
    <mergeCell ref="C9:D9"/>
    <mergeCell ref="E9:F9"/>
    <mergeCell ref="C93:F93"/>
    <mergeCell ref="C94:D94"/>
    <mergeCell ref="E94:F94"/>
    <mergeCell ref="C117:F117"/>
  </mergeCells>
  <hyperlinks>
    <hyperlink display="PARTIDAS_DE_GASTO" location="'raw data metabase (Ministry of '!C8:F8" ref="C3"/>
    <hyperlink r:id="rId1" ref="D3"/>
    <hyperlink display="https://docs.google.com/spreadsheets/d/1L2X8LZWSr9EseLdXPIwij-LkwwJieAxDWbdq3I1MYtM/edit?gid=2117212777#rangeid=558022531" location="'raw data metabase (Ministry of '!C8:F8" ref="E3"/>
    <hyperlink display="PROCESOS_DE_COMPRA" location="'raw data metabase (Ministry of '!C93:F93" ref="C4"/>
    <hyperlink r:id="rId2" ref="D4"/>
    <hyperlink display="CONTRATOS_DE_COMPRA" location="'raw data metabase (Ministry of '!C117:F117" ref="C5"/>
    <hyperlink r:id="rId3" ref="D5"/>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showGridLines="0" workbookViewId="0"/>
  </sheetViews>
  <sheetFormatPr customHeight="1" defaultColWidth="12.63" defaultRowHeight="15.0"/>
  <cols>
    <col customWidth="1" min="1" max="1" width="4.5"/>
    <col customWidth="1" min="2" max="2" width="40.38"/>
    <col customWidth="1" min="3" max="3" width="15.63"/>
    <col customWidth="1" min="4" max="4" width="30.0"/>
    <col customWidth="1" min="5" max="5" width="12.38"/>
    <col customWidth="1" min="6" max="6" width="44.63"/>
    <col customWidth="1" min="7" max="7" width="28.5"/>
    <col customWidth="1" min="8" max="8" width="13.13"/>
    <col customWidth="1" min="9" max="9" width="31.38"/>
    <col customWidth="1" min="10" max="10" width="31.75"/>
    <col customWidth="1" min="11" max="11" width="21.25"/>
    <col customWidth="1" min="12" max="12" width="41.63"/>
    <col customWidth="1" min="13" max="14" width="73.0"/>
  </cols>
  <sheetData>
    <row r="1" ht="15.75" customHeight="1">
      <c r="B1" s="68"/>
      <c r="C1" s="68"/>
      <c r="D1" s="68"/>
      <c r="E1" s="68"/>
      <c r="F1" s="69"/>
      <c r="G1" s="70"/>
      <c r="H1" s="70"/>
      <c r="I1" s="70"/>
      <c r="J1" s="71" t="s">
        <v>1289</v>
      </c>
      <c r="K1" s="20"/>
      <c r="L1" s="20"/>
      <c r="M1" s="20"/>
      <c r="N1" s="22"/>
    </row>
    <row r="2" ht="15.75" customHeight="1">
      <c r="B2" s="72" t="s">
        <v>1290</v>
      </c>
      <c r="C2" s="72" t="s">
        <v>1291</v>
      </c>
      <c r="D2" s="72" t="s">
        <v>1292</v>
      </c>
      <c r="E2" s="72" t="s">
        <v>1293</v>
      </c>
      <c r="F2" s="73" t="s">
        <v>1294</v>
      </c>
      <c r="G2" s="74" t="s">
        <v>1290</v>
      </c>
      <c r="H2" s="74" t="s">
        <v>1291</v>
      </c>
      <c r="I2" s="74" t="s">
        <v>1292</v>
      </c>
      <c r="J2" s="75" t="s">
        <v>1294</v>
      </c>
      <c r="K2" s="75" t="s">
        <v>1295</v>
      </c>
      <c r="L2" s="75" t="s">
        <v>40</v>
      </c>
      <c r="M2" s="76" t="s">
        <v>1296</v>
      </c>
      <c r="N2" s="76" t="s">
        <v>1297</v>
      </c>
    </row>
    <row r="3" ht="15.75" customHeight="1">
      <c r="B3" s="77" t="s">
        <v>1298</v>
      </c>
      <c r="C3" s="77" t="s">
        <v>1299</v>
      </c>
      <c r="D3" s="77" t="s">
        <v>1300</v>
      </c>
      <c r="E3" s="77" t="s">
        <v>60</v>
      </c>
      <c r="F3" s="31"/>
      <c r="G3" s="77" t="s">
        <v>1301</v>
      </c>
      <c r="H3" s="77" t="s">
        <v>1302</v>
      </c>
      <c r="I3" s="77" t="s">
        <v>1300</v>
      </c>
      <c r="J3" s="30"/>
      <c r="K3" s="77" t="s">
        <v>1300</v>
      </c>
      <c r="L3" s="78">
        <v>10.0</v>
      </c>
      <c r="M3" s="79" t="s">
        <v>1303</v>
      </c>
      <c r="N3" s="80" t="str">
        <f>IFERROR(__xludf.DUMMYFUNCTION("IF(ISBLANK(M3), """", GOOGLETRANSLATE(M3, ""es"", ""en""))"),"Project identification code within MapaInversiones")</f>
        <v>Project identification code within MapaInversiones</v>
      </c>
    </row>
    <row r="4" ht="15.75" customHeight="1">
      <c r="B4" s="77"/>
      <c r="C4" s="77"/>
      <c r="D4" s="77"/>
      <c r="E4" s="77"/>
      <c r="F4" s="31"/>
      <c r="G4" s="77" t="s">
        <v>1298</v>
      </c>
      <c r="H4" s="77" t="s">
        <v>1299</v>
      </c>
      <c r="I4" s="77" t="s">
        <v>1304</v>
      </c>
      <c r="J4" s="30"/>
      <c r="K4" s="77" t="s">
        <v>1305</v>
      </c>
      <c r="L4" s="78">
        <v>11327.0</v>
      </c>
      <c r="M4" s="81" t="s">
        <v>1306</v>
      </c>
      <c r="N4" s="80" t="str">
        <f>IFERROR(__xludf.DUMMYFUNCTION("IF(ISBLANK(M4), """", GOOGLETRANSLATE(M4, ""es"", ""en""))"),"Project identifier code within the project bank is the unique identifier of the Investment project in (SNIP System)")</f>
        <v>Project identifier code within the project bank is the unique identifier of the Investment project in (SNIP System)</v>
      </c>
    </row>
    <row r="5" ht="15.75" customHeight="1">
      <c r="B5" s="77" t="s">
        <v>1307</v>
      </c>
      <c r="C5" s="77" t="s">
        <v>1299</v>
      </c>
      <c r="D5" s="77" t="s">
        <v>1308</v>
      </c>
      <c r="E5" s="77" t="s">
        <v>60</v>
      </c>
      <c r="F5" s="31"/>
      <c r="G5" s="77" t="s">
        <v>1301</v>
      </c>
      <c r="H5" s="77" t="s">
        <v>1302</v>
      </c>
      <c r="I5" s="77" t="s">
        <v>1309</v>
      </c>
      <c r="J5" s="30"/>
      <c r="K5" s="77" t="s">
        <v>1309</v>
      </c>
      <c r="L5" s="78">
        <v>2012.0</v>
      </c>
      <c r="M5" s="82" t="s">
        <v>1310</v>
      </c>
      <c r="N5" s="80" t="str">
        <f>IFERROR(__xludf.DUMMYFUNCTION("IF(ISBLANK(M5), """", GOOGLETRANSLATE(M5, ""es"", ""en""))"),"Project start year")</f>
        <v>Project start year</v>
      </c>
    </row>
    <row r="6" ht="15.75" customHeight="1">
      <c r="B6" s="77" t="s">
        <v>1307</v>
      </c>
      <c r="C6" s="77" t="s">
        <v>1299</v>
      </c>
      <c r="D6" s="77" t="s">
        <v>1308</v>
      </c>
      <c r="E6" s="77" t="s">
        <v>60</v>
      </c>
      <c r="F6" s="31"/>
      <c r="G6" s="77" t="s">
        <v>1301</v>
      </c>
      <c r="H6" s="77" t="s">
        <v>1302</v>
      </c>
      <c r="I6" s="77" t="s">
        <v>1311</v>
      </c>
      <c r="J6" s="30"/>
      <c r="K6" s="77" t="s">
        <v>1311</v>
      </c>
      <c r="L6" s="78">
        <v>2021.0</v>
      </c>
      <c r="M6" s="82" t="s">
        <v>1312</v>
      </c>
      <c r="N6" s="80" t="str">
        <f>IFERROR(__xludf.DUMMYFUNCTION("IF(ISBLANK(M6), """", GOOGLETRANSLATE(M6, ""es"", ""en""))"),"Final year of the project")</f>
        <v>Final year of the project</v>
      </c>
    </row>
    <row r="7" ht="15.75" customHeight="1">
      <c r="B7" s="77" t="s">
        <v>1298</v>
      </c>
      <c r="C7" s="77" t="s">
        <v>1299</v>
      </c>
      <c r="D7" s="83" t="s">
        <v>1313</v>
      </c>
      <c r="E7" s="83" t="s">
        <v>1314</v>
      </c>
      <c r="F7" s="31" t="s">
        <v>1315</v>
      </c>
      <c r="G7" s="77" t="s">
        <v>1301</v>
      </c>
      <c r="H7" s="77" t="s">
        <v>1302</v>
      </c>
      <c r="I7" s="83" t="s">
        <v>1313</v>
      </c>
      <c r="J7" s="30" t="s">
        <v>1316</v>
      </c>
      <c r="K7" s="77" t="s">
        <v>1313</v>
      </c>
      <c r="L7" s="78" t="s">
        <v>408</v>
      </c>
      <c r="M7" s="82" t="s">
        <v>1317</v>
      </c>
      <c r="N7" s="80" t="str">
        <f>IFERROR(__xludf.DUMMYFUNCTION("IF(ISBLANK(M7), """", GOOGLETRANSLATE(M7, ""es"", ""en""))"),"Full name of the investment project in the public investment system (SNIP)")</f>
        <v>Full name of the investment project in the public investment system (SNIP)</v>
      </c>
    </row>
    <row r="8" ht="15.75" customHeight="1">
      <c r="B8" s="77" t="s">
        <v>1298</v>
      </c>
      <c r="C8" s="77" t="s">
        <v>1299</v>
      </c>
      <c r="D8" s="77" t="s">
        <v>1318</v>
      </c>
      <c r="E8" s="77" t="s">
        <v>1319</v>
      </c>
      <c r="F8" s="31" t="s">
        <v>1320</v>
      </c>
      <c r="G8" s="77" t="s">
        <v>1301</v>
      </c>
      <c r="H8" s="77" t="s">
        <v>1302</v>
      </c>
      <c r="I8" s="83" t="s">
        <v>1321</v>
      </c>
      <c r="J8" s="30" t="s">
        <v>1322</v>
      </c>
      <c r="K8" s="77" t="s">
        <v>1323</v>
      </c>
      <c r="L8" s="78">
        <v>10.0</v>
      </c>
      <c r="M8" s="82" t="s">
        <v>1324</v>
      </c>
      <c r="N8" s="80" t="str">
        <f>IFERROR(__xludf.DUMMYFUNCTION("IF(ISBLANK(M8), """", GOOGLETRANSLATE(M8, ""es"", ""en""))"),"Project duration in years")</f>
        <v>Project duration in years</v>
      </c>
    </row>
    <row r="9" ht="15.75" customHeight="1">
      <c r="B9" s="77"/>
      <c r="C9" s="77"/>
      <c r="D9" s="77"/>
      <c r="E9" s="77"/>
      <c r="F9" s="31"/>
      <c r="G9" s="77" t="s">
        <v>54</v>
      </c>
      <c r="H9" s="77" t="s">
        <v>1299</v>
      </c>
      <c r="I9" s="77" t="s">
        <v>1325</v>
      </c>
      <c r="J9" s="30" t="s">
        <v>1326</v>
      </c>
      <c r="K9" s="77" t="s">
        <v>1327</v>
      </c>
      <c r="L9" s="78" t="s">
        <v>1328</v>
      </c>
      <c r="M9" s="82" t="s">
        <v>1329</v>
      </c>
      <c r="N9" s="80" t="str">
        <f>IFERROR(__xludf.DUMMYFUNCTION("IF(ISBLANK(M9), """", GOOGLETRANSLATE(M9, ""es"", ""en""))"),"Current stage of the project. Execution, Programming")</f>
        <v>Current stage of the project. Execution, Programming</v>
      </c>
    </row>
    <row r="10" ht="15.75" customHeight="1">
      <c r="B10" s="77" t="s">
        <v>1298</v>
      </c>
      <c r="C10" s="77" t="s">
        <v>1299</v>
      </c>
      <c r="D10" s="77" t="s">
        <v>1330</v>
      </c>
      <c r="E10" s="77" t="s">
        <v>1331</v>
      </c>
      <c r="F10" s="31"/>
      <c r="G10" s="77" t="s">
        <v>1301</v>
      </c>
      <c r="H10" s="77" t="s">
        <v>1302</v>
      </c>
      <c r="I10" s="77" t="s">
        <v>1330</v>
      </c>
      <c r="J10" s="30"/>
      <c r="K10" s="77" t="s">
        <v>1332</v>
      </c>
      <c r="L10" s="78" t="s">
        <v>411</v>
      </c>
      <c r="M10" s="82" t="s">
        <v>1333</v>
      </c>
      <c r="N10" s="80" t="str">
        <f>IFERROR(__xludf.DUMMYFUNCTION("IF(ISBLANK(M10), """", GOOGLETRANSLATE(M10, ""es"", ""en""))"),"Estimated cost of the project in $RD")</f>
        <v>Estimated cost of the project in $RD</v>
      </c>
    </row>
    <row r="11" ht="15.75" customHeight="1">
      <c r="B11" s="77" t="s">
        <v>1334</v>
      </c>
      <c r="C11" s="77" t="s">
        <v>1299</v>
      </c>
      <c r="D11" s="77" t="s">
        <v>1335</v>
      </c>
      <c r="E11" s="77" t="s">
        <v>60</v>
      </c>
      <c r="F11" s="31" t="s">
        <v>1336</v>
      </c>
      <c r="G11" s="77" t="s">
        <v>1301</v>
      </c>
      <c r="H11" s="77" t="s">
        <v>1302</v>
      </c>
      <c r="I11" s="77" t="s">
        <v>1337</v>
      </c>
      <c r="J11" s="30"/>
      <c r="K11" s="77" t="s">
        <v>1338</v>
      </c>
      <c r="L11" s="78" t="s">
        <v>1339</v>
      </c>
      <c r="M11" s="82" t="s">
        <v>1340</v>
      </c>
      <c r="N11" s="80" t="str">
        <f>IFERROR(__xludf.DUMMYFUNCTION("IF(ISBLANK(M11), """", GOOGLETRANSLATE(M11, ""es"", ""en""))"),"Type of project scope. E.g. National, Departmental or Municipal")</f>
        <v>Type of project scope. E.g. National, Departmental or Municipal</v>
      </c>
    </row>
    <row r="12" ht="15.75" customHeight="1">
      <c r="B12" s="77"/>
      <c r="C12" s="77"/>
      <c r="D12" s="77"/>
      <c r="E12" s="77"/>
      <c r="F12" s="31"/>
      <c r="G12" s="77" t="s">
        <v>1341</v>
      </c>
      <c r="H12" s="77" t="s">
        <v>1299</v>
      </c>
      <c r="I12" s="83" t="s">
        <v>1342</v>
      </c>
      <c r="J12" s="30" t="s">
        <v>1343</v>
      </c>
      <c r="K12" s="77" t="s">
        <v>1344</v>
      </c>
      <c r="L12" s="78" t="s">
        <v>1345</v>
      </c>
      <c r="M12" s="81" t="s">
        <v>1346</v>
      </c>
      <c r="N12" s="80" t="str">
        <f>IFERROR(__xludf.DUMMYFUNCTION("IF(ISBLANK(M12), """", GOOGLETRANSLATE(M12, ""es"", ""en""))"),"Name of the sector to which the investment project belongs. E.g. Education, Health, Transportation, The sectors in the Dominican Republic are equivalent to the functions ")</f>
        <v>Name of the sector to which the investment project belongs. E.g. Education, Health, Transportation, The sectors in the Dominican Republic are equivalent to the functions </v>
      </c>
    </row>
    <row r="13" ht="15.75" customHeight="1">
      <c r="B13" s="77" t="s">
        <v>1298</v>
      </c>
      <c r="C13" s="77" t="s">
        <v>1299</v>
      </c>
      <c r="D13" s="77" t="s">
        <v>1347</v>
      </c>
      <c r="E13" s="77" t="s">
        <v>1348</v>
      </c>
      <c r="F13" s="31"/>
      <c r="G13" s="77" t="s">
        <v>1301</v>
      </c>
      <c r="H13" s="77" t="s">
        <v>1302</v>
      </c>
      <c r="I13" s="77" t="s">
        <v>1349</v>
      </c>
      <c r="J13" s="30"/>
      <c r="K13" s="77" t="s">
        <v>1350</v>
      </c>
      <c r="L13" s="78" t="s">
        <v>1351</v>
      </c>
      <c r="M13" s="82" t="s">
        <v>1352</v>
      </c>
      <c r="N13" s="80" t="str">
        <f>IFERROR(__xludf.DUMMYFUNCTION("IF(ISBLANK(M13), """", GOOGLETRANSLATE(M13, ""es"", ""en""))"),"Percentage of financial progress of the project")</f>
        <v>Percentage of financial progress of the project</v>
      </c>
    </row>
    <row r="14" ht="15.75" customHeight="1">
      <c r="B14" s="77"/>
      <c r="C14" s="77"/>
      <c r="D14" s="77"/>
      <c r="E14" s="77"/>
      <c r="F14" s="31"/>
      <c r="G14" s="77" t="s">
        <v>1353</v>
      </c>
      <c r="H14" s="77" t="s">
        <v>1299</v>
      </c>
      <c r="I14" s="83" t="s">
        <v>1354</v>
      </c>
      <c r="J14" s="30" t="s">
        <v>1355</v>
      </c>
      <c r="K14" s="77" t="s">
        <v>1356</v>
      </c>
      <c r="L14" s="78" t="s">
        <v>1357</v>
      </c>
      <c r="M14" s="82" t="s">
        <v>1358</v>
      </c>
      <c r="N14" s="80" t="str">
        <f>IFERROR(__xludf.DUMMYFUNCTION("IF(ISBLANK(M14), """", GOOGLETRANSLATE(M14, ""es"", ""en""))"),"Name of the product associated with the project")</f>
        <v>Name of the product associated with the project</v>
      </c>
    </row>
    <row r="15" ht="15.75" customHeight="1">
      <c r="B15" s="77"/>
      <c r="C15" s="77"/>
      <c r="D15" s="77"/>
      <c r="E15" s="77"/>
      <c r="F15" s="31"/>
      <c r="G15" s="77" t="s">
        <v>1359</v>
      </c>
      <c r="H15" s="77" t="s">
        <v>1299</v>
      </c>
      <c r="I15" s="83" t="s">
        <v>1360</v>
      </c>
      <c r="J15" s="30" t="s">
        <v>1361</v>
      </c>
      <c r="K15" s="77" t="s">
        <v>166</v>
      </c>
      <c r="L15" s="78">
        <v>4.0</v>
      </c>
      <c r="M15" s="82" t="s">
        <v>1362</v>
      </c>
      <c r="N15" s="80" t="str">
        <f>IFERROR(__xludf.DUMMYFUNCTION("IF(ISBLANK(M15), """", GOOGLETRANSLATE(M15, ""es"", ""en""))"),"Product goal associated with the project")</f>
        <v>Product goal associated with the project</v>
      </c>
    </row>
    <row r="16" ht="15.75" customHeight="1">
      <c r="B16" s="77"/>
      <c r="C16" s="77"/>
      <c r="D16" s="77"/>
      <c r="E16" s="77"/>
      <c r="F16" s="31"/>
      <c r="G16" s="77" t="s">
        <v>1359</v>
      </c>
      <c r="H16" s="77" t="s">
        <v>1299</v>
      </c>
      <c r="I16" s="83" t="s">
        <v>1363</v>
      </c>
      <c r="J16" s="30" t="s">
        <v>1364</v>
      </c>
      <c r="K16" s="77" t="s">
        <v>675</v>
      </c>
      <c r="L16" s="78">
        <v>3.0</v>
      </c>
      <c r="M16" s="82" t="s">
        <v>1365</v>
      </c>
      <c r="N16" s="80" t="str">
        <f>IFERROR(__xludf.DUMMYFUNCTION("IF(ISBLANK(M16), """", GOOGLETRANSLATE(M16, ""es"", ""en""))"),"Executed value of the product associated with the project")</f>
        <v>Executed value of the product associated with the project</v>
      </c>
    </row>
    <row r="17" ht="15.75" customHeight="1">
      <c r="B17" s="77"/>
      <c r="C17" s="77"/>
      <c r="D17" s="77"/>
      <c r="E17" s="77"/>
      <c r="F17" s="31"/>
      <c r="G17" s="77" t="s">
        <v>1353</v>
      </c>
      <c r="H17" s="77" t="s">
        <v>1299</v>
      </c>
      <c r="I17" s="77" t="s">
        <v>1366</v>
      </c>
      <c r="J17" s="30"/>
      <c r="K17" s="77" t="s">
        <v>1367</v>
      </c>
      <c r="L17" s="78" t="s">
        <v>1368</v>
      </c>
      <c r="M17" s="82" t="s">
        <v>1369</v>
      </c>
      <c r="N17" s="80" t="str">
        <f>IFERROR(__xludf.DUMMYFUNCTION("IF(ISBLANK(M17), """", GOOGLETRANSLATE(M17, ""es"", ""en""))"),"Unit of measurement of the product associated with the project")</f>
        <v>Unit of measurement of the product associated with the project</v>
      </c>
    </row>
    <row r="18" ht="15.75" customHeight="1">
      <c r="B18" s="77"/>
      <c r="C18" s="77"/>
      <c r="D18" s="77"/>
      <c r="E18" s="77"/>
      <c r="F18" s="31"/>
      <c r="G18" s="77" t="s">
        <v>1370</v>
      </c>
      <c r="H18" s="77" t="s">
        <v>1299</v>
      </c>
      <c r="I18" s="83" t="s">
        <v>1371</v>
      </c>
      <c r="J18" s="30" t="s">
        <v>1372</v>
      </c>
      <c r="K18" s="77" t="s">
        <v>1373</v>
      </c>
      <c r="L18" s="78" t="s">
        <v>189</v>
      </c>
      <c r="M18" s="84" t="s">
        <v>1374</v>
      </c>
      <c r="N18" s="80" t="str">
        <f>IFERROR(__xludf.DUMMYFUNCTION("IF(ISBLANK(M18), """", GOOGLETRANSLATE(M18, ""es"", ""en""))"),"Name of the phase in which the project is located (Ex: Pre-investment, Investment)")</f>
        <v>Name of the phase in which the project is located (Ex: Pre-investment, Investment)</v>
      </c>
    </row>
    <row r="19" ht="15.75" customHeight="1">
      <c r="B19" s="77" t="s">
        <v>1375</v>
      </c>
      <c r="C19" s="77" t="s">
        <v>1299</v>
      </c>
      <c r="D19" s="77" t="s">
        <v>1376</v>
      </c>
      <c r="E19" s="77" t="s">
        <v>1377</v>
      </c>
      <c r="F19" s="31" t="s">
        <v>1378</v>
      </c>
      <c r="G19" s="77" t="s">
        <v>1301</v>
      </c>
      <c r="H19" s="77" t="s">
        <v>1302</v>
      </c>
      <c r="I19" s="83" t="s">
        <v>1379</v>
      </c>
      <c r="J19" s="30" t="s">
        <v>1380</v>
      </c>
      <c r="K19" s="77" t="s">
        <v>1381</v>
      </c>
      <c r="L19" s="78" t="s">
        <v>145</v>
      </c>
      <c r="M19" s="85" t="s">
        <v>1382</v>
      </c>
      <c r="N19" s="80" t="str">
        <f>IFERROR(__xludf.DUMMYFUNCTION("IF(ISBLANK(M19), """", GOOGLETRANSLATE(M19, ""es"", ""en""))"),"Corresponds to the primary executor of the project")</f>
        <v>Corresponds to the primary executor of the project</v>
      </c>
    </row>
    <row r="20" ht="15.75" customHeight="1">
      <c r="B20" s="77" t="s">
        <v>1383</v>
      </c>
      <c r="C20" s="77" t="s">
        <v>1299</v>
      </c>
      <c r="D20" s="77" t="s">
        <v>1384</v>
      </c>
      <c r="E20" s="77" t="s">
        <v>1377</v>
      </c>
      <c r="F20" s="31"/>
      <c r="G20" s="77" t="s">
        <v>1385</v>
      </c>
      <c r="H20" s="77" t="s">
        <v>1302</v>
      </c>
      <c r="I20" s="83" t="s">
        <v>1386</v>
      </c>
      <c r="J20" s="30" t="s">
        <v>1387</v>
      </c>
      <c r="K20" s="77" t="s">
        <v>1388</v>
      </c>
      <c r="L20" s="78" t="s">
        <v>1024</v>
      </c>
      <c r="M20" s="86" t="s">
        <v>1389</v>
      </c>
      <c r="N20" s="80" t="str">
        <f>IFERROR(__xludf.DUMMYFUNCTION("IF(ISBLANK(M20), """", GOOGLETRANSLATE(M20, ""es"", ""en""))"),"Name of the project financing source ")</f>
        <v>Name of the project financing source </v>
      </c>
    </row>
    <row r="21" ht="15.75" customHeight="1">
      <c r="B21" s="77" t="s">
        <v>1383</v>
      </c>
      <c r="C21" s="77" t="s">
        <v>1299</v>
      </c>
      <c r="D21" s="77" t="s">
        <v>1390</v>
      </c>
      <c r="E21" s="77" t="s">
        <v>1377</v>
      </c>
      <c r="F21" s="31"/>
      <c r="G21" s="77" t="s">
        <v>1385</v>
      </c>
      <c r="H21" s="77" t="s">
        <v>1302</v>
      </c>
      <c r="I21" s="83" t="s">
        <v>1391</v>
      </c>
      <c r="J21" s="30" t="s">
        <v>1392</v>
      </c>
      <c r="K21" s="77" t="s">
        <v>1393</v>
      </c>
      <c r="L21" s="78" t="s">
        <v>1394</v>
      </c>
      <c r="M21" s="86" t="s">
        <v>1395</v>
      </c>
      <c r="N21" s="80" t="str">
        <f>IFERROR(__xludf.DUMMYFUNCTION("IF(ISBLANK(M21), """", GOOGLETRANSLATE(M21, ""es"", ""en""))"),"Name of the project financing organization")</f>
        <v>Name of the project financing organization</v>
      </c>
    </row>
    <row r="22" ht="15.75" customHeight="1">
      <c r="B22" s="77" t="s">
        <v>1396</v>
      </c>
      <c r="C22" s="77" t="s">
        <v>1299</v>
      </c>
      <c r="D22" s="83" t="s">
        <v>1397</v>
      </c>
      <c r="E22" s="83" t="s">
        <v>1331</v>
      </c>
      <c r="F22" s="31" t="s">
        <v>1398</v>
      </c>
      <c r="G22" s="77" t="s">
        <v>1385</v>
      </c>
      <c r="H22" s="77" t="s">
        <v>1302</v>
      </c>
      <c r="I22" s="77" t="s">
        <v>1397</v>
      </c>
      <c r="J22" s="30"/>
      <c r="K22" s="77" t="s">
        <v>1399</v>
      </c>
      <c r="L22" s="78" t="s">
        <v>194</v>
      </c>
      <c r="M22" s="85" t="s">
        <v>1400</v>
      </c>
      <c r="N22" s="80" t="str">
        <f>IFERROR(__xludf.DUMMYFUNCTION("IF(ISBLANK(M22), """", GOOGLETRANSLATE(M22, ""es"", ""en""))"),"Programmed value of the financing source associated with the project")</f>
        <v>Programmed value of the financing source associated with the project</v>
      </c>
    </row>
    <row r="23" ht="15.75" customHeight="1">
      <c r="B23" s="77" t="s">
        <v>1396</v>
      </c>
      <c r="C23" s="77" t="s">
        <v>1299</v>
      </c>
      <c r="D23" s="83" t="s">
        <v>1401</v>
      </c>
      <c r="E23" s="83" t="s">
        <v>1331</v>
      </c>
      <c r="F23" s="31" t="s">
        <v>1402</v>
      </c>
      <c r="G23" s="77" t="s">
        <v>1385</v>
      </c>
      <c r="H23" s="77" t="s">
        <v>1302</v>
      </c>
      <c r="I23" s="77" t="s">
        <v>1401</v>
      </c>
      <c r="J23" s="30"/>
      <c r="K23" s="77" t="s">
        <v>1403</v>
      </c>
      <c r="L23" s="78" t="s">
        <v>194</v>
      </c>
      <c r="M23" s="86" t="s">
        <v>1404</v>
      </c>
      <c r="N23" s="80" t="str">
        <f>IFERROR(__xludf.DUMMYFUNCTION("IF(ISBLANK(M23), """", GOOGLETRANSLATE(M23, ""es"", ""en""))"),"Executed value of the financing source associated with the project")</f>
        <v>Executed value of the financing source associated with the project</v>
      </c>
    </row>
    <row r="24" ht="15.75" customHeight="1">
      <c r="B24" s="77" t="s">
        <v>1396</v>
      </c>
      <c r="C24" s="77" t="s">
        <v>1299</v>
      </c>
      <c r="D24" s="77" t="s">
        <v>1405</v>
      </c>
      <c r="E24" s="77" t="s">
        <v>60</v>
      </c>
      <c r="F24" s="31"/>
      <c r="G24" s="77" t="s">
        <v>1385</v>
      </c>
      <c r="H24" s="77" t="s">
        <v>1302</v>
      </c>
      <c r="I24" s="77" t="s">
        <v>1405</v>
      </c>
      <c r="J24" s="30"/>
      <c r="K24" s="77" t="s">
        <v>1406</v>
      </c>
      <c r="L24" s="78">
        <v>2016.0</v>
      </c>
      <c r="M24" s="82" t="s">
        <v>1407</v>
      </c>
      <c r="N24" s="80" t="str">
        <f>IFERROR(__xludf.DUMMYFUNCTION("IF(ISBLANK(M24), """", GOOGLETRANSLATE(M24, ""es"", ""en""))"),"Year of project execution")</f>
        <v>Year of project execution</v>
      </c>
    </row>
    <row r="25" ht="15.75" customHeight="1">
      <c r="B25" s="77"/>
      <c r="C25" s="77"/>
      <c r="D25" s="77"/>
      <c r="E25" s="77"/>
      <c r="F25" s="31"/>
      <c r="G25" s="77" t="s">
        <v>1408</v>
      </c>
      <c r="H25" s="77" t="s">
        <v>1299</v>
      </c>
      <c r="I25" s="77" t="s">
        <v>1409</v>
      </c>
      <c r="J25" s="30"/>
      <c r="K25" s="77" t="s">
        <v>1409</v>
      </c>
      <c r="L25" s="78" t="s">
        <v>1410</v>
      </c>
      <c r="M25" s="85" t="s">
        <v>1411</v>
      </c>
      <c r="N25" s="80" t="str">
        <f>IFERROR(__xludf.DUMMYFUNCTION("IF(ISBLANK(M25), """", GOOGLETRANSLATE(M25, ""es"", ""en""))"),"Name of the region where the project is located")</f>
        <v>Name of the region where the project is located</v>
      </c>
    </row>
    <row r="26" ht="15.75" customHeight="1">
      <c r="B26" s="77"/>
      <c r="C26" s="77"/>
      <c r="D26" s="77"/>
      <c r="E26" s="77"/>
      <c r="F26" s="31"/>
      <c r="G26" s="77" t="s">
        <v>1408</v>
      </c>
      <c r="H26" s="77" t="s">
        <v>1299</v>
      </c>
      <c r="I26" s="77" t="s">
        <v>1412</v>
      </c>
      <c r="J26" s="30"/>
      <c r="K26" s="77" t="s">
        <v>1413</v>
      </c>
      <c r="L26" s="78" t="s">
        <v>932</v>
      </c>
      <c r="M26" s="86" t="s">
        <v>1414</v>
      </c>
      <c r="N26" s="80" t="str">
        <f>IFERROR(__xludf.DUMMYFUNCTION("IF(ISBLANK(M26), """", GOOGLETRANSLATE(M26, ""es"", ""en""))"),"Name of the province where the project is located")</f>
        <v>Name of the province where the project is located</v>
      </c>
    </row>
    <row r="27" ht="15.75" customHeight="1">
      <c r="B27" s="77"/>
      <c r="C27" s="77"/>
      <c r="D27" s="77"/>
      <c r="E27" s="77"/>
      <c r="F27" s="31"/>
      <c r="G27" s="77" t="s">
        <v>1408</v>
      </c>
      <c r="H27" s="77" t="s">
        <v>1299</v>
      </c>
      <c r="I27" s="77" t="s">
        <v>1415</v>
      </c>
      <c r="J27" s="30"/>
      <c r="K27" s="77" t="s">
        <v>1415</v>
      </c>
      <c r="L27" s="78" t="s">
        <v>1410</v>
      </c>
      <c r="M27" s="86" t="s">
        <v>1416</v>
      </c>
      <c r="N27" s="80" t="str">
        <f>IFERROR(__xludf.DUMMYFUNCTION("IF(ISBLANK(M27), """", GOOGLETRANSLATE(M27, ""es"", ""en""))"),"Name of the municipality where the project is located")</f>
        <v>Name of the municipality where the project is located</v>
      </c>
    </row>
    <row r="28" ht="15.75" customHeight="1">
      <c r="B28" s="77"/>
      <c r="C28" s="77"/>
      <c r="D28" s="77"/>
      <c r="E28" s="77"/>
      <c r="F28" s="31"/>
      <c r="G28" s="77" t="s">
        <v>1298</v>
      </c>
      <c r="H28" s="77" t="s">
        <v>1299</v>
      </c>
      <c r="I28" s="77" t="s">
        <v>1417</v>
      </c>
      <c r="J28" s="30"/>
      <c r="K28" s="77" t="s">
        <v>1418</v>
      </c>
      <c r="L28" s="78" t="s">
        <v>1419</v>
      </c>
      <c r="M28" s="86" t="s">
        <v>1420</v>
      </c>
      <c r="N28" s="80" t="str">
        <f>IFERROR(__xludf.DUMMYFUNCTION("IF(ISBLANK(M28), """", GOOGLETRANSLATE(M28, ""es"", ""en""))"),"Date of last upload of project information in MapaInversiones")</f>
        <v>Date of last upload of project information in MapaInversiones</v>
      </c>
    </row>
    <row r="29" ht="15.75" customHeight="1">
      <c r="B29" s="77"/>
      <c r="C29" s="77"/>
      <c r="D29" s="77"/>
      <c r="E29" s="77"/>
      <c r="F29" s="31"/>
      <c r="G29" s="77"/>
      <c r="H29" s="77"/>
      <c r="I29" s="77" t="s">
        <v>1421</v>
      </c>
      <c r="J29" s="87" t="s">
        <v>1422</v>
      </c>
      <c r="K29" s="77" t="s">
        <v>1423</v>
      </c>
      <c r="L29" s="78" t="s">
        <v>1424</v>
      </c>
      <c r="M29" s="86" t="s">
        <v>1425</v>
      </c>
      <c r="N29" s="80" t="s">
        <v>1426</v>
      </c>
    </row>
    <row r="30" ht="15.75" customHeight="1">
      <c r="B30" s="88"/>
      <c r="C30" s="88"/>
      <c r="D30" s="88"/>
      <c r="E30" s="88"/>
      <c r="F30" s="4"/>
      <c r="G30" s="88"/>
      <c r="H30" s="88"/>
      <c r="I30" s="88"/>
      <c r="K30" s="88"/>
      <c r="M30" s="4"/>
      <c r="N30" s="4"/>
    </row>
    <row r="31" ht="15.75" customHeight="1">
      <c r="B31" s="88"/>
      <c r="C31" s="88"/>
      <c r="D31" s="88"/>
      <c r="E31" s="88"/>
      <c r="F31" s="4"/>
      <c r="G31" s="88"/>
      <c r="H31" s="88"/>
      <c r="I31" s="88"/>
      <c r="K31" s="88"/>
      <c r="M31" s="4"/>
      <c r="N31" s="4"/>
    </row>
    <row r="32" ht="15.75" customHeight="1">
      <c r="B32" s="88"/>
      <c r="C32" s="88"/>
      <c r="D32" s="88"/>
      <c r="E32" s="88"/>
      <c r="F32" s="4"/>
      <c r="G32" s="88"/>
      <c r="H32" s="88"/>
      <c r="I32" s="88"/>
      <c r="K32" s="88"/>
      <c r="M32" s="4"/>
      <c r="N32" s="4"/>
    </row>
    <row r="33" ht="15.75" customHeight="1">
      <c r="B33" s="88"/>
      <c r="C33" s="88"/>
      <c r="D33" s="88"/>
      <c r="E33" s="88"/>
      <c r="F33" s="4"/>
      <c r="G33" s="88"/>
      <c r="H33" s="88"/>
      <c r="I33" s="88"/>
      <c r="K33" s="88"/>
      <c r="M33" s="4"/>
      <c r="N33" s="4"/>
    </row>
    <row r="34" ht="15.75" customHeight="1">
      <c r="B34" s="88"/>
      <c r="C34" s="88"/>
      <c r="D34" s="88"/>
      <c r="E34" s="88"/>
      <c r="F34" s="4"/>
      <c r="G34" s="88"/>
      <c r="H34" s="88"/>
      <c r="I34" s="88"/>
      <c r="K34" s="88"/>
      <c r="M34" s="4"/>
      <c r="N34" s="4"/>
    </row>
    <row r="35" ht="15.75" customHeight="1">
      <c r="B35" s="88"/>
      <c r="C35" s="88"/>
      <c r="D35" s="88"/>
      <c r="E35" s="88"/>
      <c r="F35" s="4"/>
      <c r="G35" s="88"/>
      <c r="H35" s="88"/>
      <c r="I35" s="88"/>
      <c r="K35" s="88"/>
      <c r="M35" s="4"/>
      <c r="N35" s="4"/>
    </row>
    <row r="36" ht="15.75" customHeight="1">
      <c r="B36" s="88"/>
      <c r="C36" s="88"/>
      <c r="D36" s="88"/>
      <c r="E36" s="88"/>
      <c r="F36" s="4"/>
      <c r="G36" s="88"/>
      <c r="H36" s="88"/>
      <c r="I36" s="88"/>
      <c r="K36" s="88"/>
      <c r="M36" s="4"/>
      <c r="N36" s="4"/>
    </row>
    <row r="37" ht="15.75" customHeight="1">
      <c r="B37" s="88"/>
      <c r="C37" s="88"/>
      <c r="D37" s="88"/>
      <c r="E37" s="88"/>
      <c r="F37" s="4"/>
      <c r="G37" s="88"/>
      <c r="H37" s="88"/>
      <c r="I37" s="88"/>
      <c r="K37" s="88"/>
      <c r="M37" s="4"/>
      <c r="N37" s="4"/>
    </row>
    <row r="38" ht="15.75" customHeight="1">
      <c r="B38" s="88"/>
      <c r="C38" s="88"/>
      <c r="D38" s="88"/>
      <c r="E38" s="88"/>
      <c r="F38" s="4"/>
      <c r="G38" s="88"/>
      <c r="H38" s="88"/>
      <c r="I38" s="88"/>
      <c r="K38" s="88"/>
      <c r="M38" s="4"/>
      <c r="N38" s="4"/>
    </row>
    <row r="39" ht="15.75" customHeight="1">
      <c r="B39" s="88"/>
      <c r="C39" s="88"/>
      <c r="D39" s="88"/>
      <c r="E39" s="88"/>
      <c r="F39" s="4"/>
      <c r="G39" s="88"/>
      <c r="H39" s="88"/>
      <c r="I39" s="88"/>
      <c r="K39" s="88"/>
      <c r="M39" s="4"/>
      <c r="N39" s="4"/>
    </row>
    <row r="40" ht="15.75" customHeight="1">
      <c r="B40" s="88"/>
      <c r="C40" s="88"/>
      <c r="D40" s="88"/>
      <c r="E40" s="88"/>
      <c r="F40" s="4"/>
      <c r="G40" s="88"/>
      <c r="H40" s="88"/>
      <c r="I40" s="88"/>
      <c r="K40" s="88"/>
      <c r="M40" s="4"/>
      <c r="N40" s="4"/>
    </row>
    <row r="41" ht="15.75" customHeight="1">
      <c r="B41" s="88"/>
      <c r="C41" s="88"/>
      <c r="D41" s="88"/>
      <c r="E41" s="88"/>
      <c r="F41" s="4"/>
      <c r="G41" s="88"/>
      <c r="H41" s="88"/>
      <c r="I41" s="88"/>
      <c r="K41" s="88"/>
      <c r="M41" s="4"/>
      <c r="N41" s="4"/>
    </row>
    <row r="42" ht="15.75" customHeight="1">
      <c r="B42" s="88"/>
      <c r="C42" s="88"/>
      <c r="D42" s="88"/>
      <c r="E42" s="88"/>
      <c r="F42" s="4"/>
      <c r="G42" s="88"/>
      <c r="H42" s="88"/>
      <c r="I42" s="88"/>
      <c r="K42" s="88"/>
      <c r="M42" s="4"/>
      <c r="N42" s="4"/>
    </row>
    <row r="43" ht="15.75" customHeight="1">
      <c r="B43" s="88"/>
      <c r="C43" s="88"/>
      <c r="D43" s="88"/>
      <c r="E43" s="88"/>
      <c r="F43" s="4"/>
      <c r="G43" s="88"/>
      <c r="H43" s="88"/>
      <c r="I43" s="88"/>
      <c r="K43" s="88"/>
      <c r="M43" s="4"/>
      <c r="N43" s="4"/>
    </row>
    <row r="44" ht="15.75" customHeight="1">
      <c r="B44" s="88"/>
      <c r="C44" s="88"/>
      <c r="D44" s="88"/>
      <c r="E44" s="88"/>
      <c r="F44" s="4"/>
      <c r="G44" s="88"/>
      <c r="H44" s="88"/>
      <c r="I44" s="88"/>
      <c r="K44" s="88"/>
      <c r="M44" s="4"/>
      <c r="N44" s="4"/>
    </row>
    <row r="45" ht="15.75" customHeight="1">
      <c r="B45" s="88"/>
      <c r="C45" s="88"/>
      <c r="D45" s="88"/>
      <c r="E45" s="88"/>
      <c r="F45" s="4"/>
      <c r="G45" s="88"/>
      <c r="H45" s="88"/>
      <c r="I45" s="88"/>
      <c r="K45" s="88"/>
      <c r="M45" s="4"/>
      <c r="N45" s="4"/>
    </row>
    <row r="46" ht="15.75" customHeight="1">
      <c r="B46" s="88"/>
      <c r="C46" s="88"/>
      <c r="D46" s="88"/>
      <c r="E46" s="88"/>
      <c r="F46" s="4"/>
      <c r="G46" s="88"/>
      <c r="H46" s="88"/>
      <c r="I46" s="88"/>
      <c r="K46" s="88"/>
      <c r="M46" s="4"/>
      <c r="N46" s="4"/>
    </row>
    <row r="47" ht="15.75" customHeight="1">
      <c r="B47" s="88"/>
      <c r="C47" s="88"/>
      <c r="D47" s="88"/>
      <c r="E47" s="88"/>
      <c r="F47" s="4"/>
      <c r="G47" s="88"/>
      <c r="H47" s="88"/>
      <c r="I47" s="88"/>
      <c r="K47" s="88"/>
      <c r="M47" s="4"/>
      <c r="N47" s="4"/>
    </row>
    <row r="48" ht="15.75" customHeight="1">
      <c r="B48" s="88"/>
      <c r="C48" s="88"/>
      <c r="D48" s="88"/>
      <c r="E48" s="88"/>
      <c r="F48" s="4"/>
      <c r="G48" s="88"/>
      <c r="H48" s="88"/>
      <c r="I48" s="88"/>
      <c r="K48" s="88"/>
      <c r="M48" s="4"/>
      <c r="N48" s="4"/>
    </row>
    <row r="49" ht="15.75" customHeight="1">
      <c r="B49" s="88"/>
      <c r="C49" s="88"/>
      <c r="D49" s="88"/>
      <c r="E49" s="88"/>
      <c r="F49" s="4"/>
      <c r="G49" s="88"/>
      <c r="H49" s="88"/>
      <c r="I49" s="88"/>
      <c r="K49" s="88"/>
      <c r="M49" s="4"/>
      <c r="N49" s="4"/>
    </row>
    <row r="50" ht="15.75" customHeight="1">
      <c r="B50" s="88"/>
      <c r="C50" s="88"/>
      <c r="D50" s="88"/>
      <c r="E50" s="88"/>
      <c r="F50" s="4"/>
      <c r="G50" s="88"/>
      <c r="H50" s="88"/>
      <c r="I50" s="88"/>
      <c r="K50" s="88"/>
      <c r="M50" s="4"/>
      <c r="N50" s="4"/>
    </row>
    <row r="51" ht="15.75" customHeight="1">
      <c r="B51" s="88"/>
      <c r="C51" s="88"/>
      <c r="D51" s="88"/>
      <c r="E51" s="88"/>
      <c r="F51" s="4"/>
      <c r="G51" s="88"/>
      <c r="H51" s="88"/>
      <c r="I51" s="88"/>
      <c r="K51" s="88"/>
      <c r="M51" s="4"/>
      <c r="N51" s="4"/>
    </row>
    <row r="52" ht="15.75" customHeight="1">
      <c r="B52" s="88"/>
      <c r="C52" s="88"/>
      <c r="D52" s="88"/>
      <c r="E52" s="88"/>
      <c r="F52" s="4"/>
      <c r="G52" s="88"/>
      <c r="H52" s="88"/>
      <c r="I52" s="88"/>
      <c r="K52" s="88"/>
      <c r="M52" s="4"/>
      <c r="N52" s="4"/>
    </row>
    <row r="53" ht="15.75" customHeight="1">
      <c r="B53" s="88"/>
      <c r="C53" s="88"/>
      <c r="D53" s="88"/>
      <c r="E53" s="88"/>
      <c r="F53" s="4"/>
      <c r="G53" s="88"/>
      <c r="H53" s="88"/>
      <c r="I53" s="88"/>
      <c r="K53" s="88"/>
      <c r="M53" s="4"/>
      <c r="N53" s="4"/>
    </row>
    <row r="54" ht="15.75" customHeight="1">
      <c r="B54" s="88"/>
      <c r="C54" s="88"/>
      <c r="D54" s="88"/>
      <c r="E54" s="88"/>
      <c r="F54" s="4"/>
      <c r="G54" s="88"/>
      <c r="H54" s="88"/>
      <c r="I54" s="88"/>
      <c r="K54" s="88"/>
      <c r="M54" s="4"/>
      <c r="N54" s="4"/>
    </row>
    <row r="55" ht="15.75" customHeight="1">
      <c r="B55" s="88"/>
      <c r="C55" s="88"/>
      <c r="D55" s="88"/>
      <c r="E55" s="88"/>
      <c r="F55" s="4"/>
      <c r="G55" s="88"/>
      <c r="H55" s="88"/>
      <c r="I55" s="88"/>
      <c r="K55" s="88"/>
      <c r="M55" s="4"/>
      <c r="N55" s="4"/>
    </row>
    <row r="56" ht="15.75" customHeight="1">
      <c r="B56" s="88"/>
      <c r="C56" s="88"/>
      <c r="D56" s="88"/>
      <c r="E56" s="88"/>
      <c r="F56" s="4"/>
      <c r="G56" s="88"/>
      <c r="H56" s="88"/>
      <c r="I56" s="88"/>
      <c r="K56" s="88"/>
      <c r="M56" s="4"/>
      <c r="N56" s="4"/>
    </row>
    <row r="57" ht="15.75" customHeight="1">
      <c r="B57" s="88"/>
      <c r="C57" s="88"/>
      <c r="D57" s="88"/>
      <c r="E57" s="88"/>
      <c r="F57" s="4"/>
      <c r="G57" s="88"/>
      <c r="H57" s="88"/>
      <c r="I57" s="88"/>
      <c r="K57" s="88"/>
      <c r="M57" s="4"/>
      <c r="N57" s="4"/>
    </row>
    <row r="58" ht="15.75" customHeight="1">
      <c r="B58" s="88"/>
      <c r="C58" s="88"/>
      <c r="D58" s="88"/>
      <c r="E58" s="88"/>
      <c r="F58" s="4"/>
      <c r="G58" s="88"/>
      <c r="H58" s="88"/>
      <c r="I58" s="88"/>
      <c r="K58" s="88"/>
      <c r="M58" s="4"/>
      <c r="N58" s="4"/>
    </row>
    <row r="59" ht="15.75" customHeight="1">
      <c r="B59" s="88"/>
      <c r="C59" s="88"/>
      <c r="D59" s="88"/>
      <c r="E59" s="88"/>
      <c r="F59" s="4"/>
      <c r="G59" s="88"/>
      <c r="H59" s="88"/>
      <c r="I59" s="88"/>
      <c r="K59" s="88"/>
      <c r="M59" s="4"/>
      <c r="N59" s="4"/>
    </row>
    <row r="60" ht="15.75" customHeight="1">
      <c r="B60" s="88"/>
      <c r="C60" s="88"/>
      <c r="D60" s="88"/>
      <c r="E60" s="88"/>
      <c r="F60" s="4"/>
      <c r="G60" s="88"/>
      <c r="H60" s="88"/>
      <c r="I60" s="88"/>
      <c r="K60" s="88"/>
      <c r="M60" s="4"/>
      <c r="N60" s="4"/>
    </row>
    <row r="61" ht="15.75" customHeight="1">
      <c r="B61" s="88"/>
      <c r="C61" s="88"/>
      <c r="D61" s="88"/>
      <c r="E61" s="88"/>
      <c r="F61" s="4"/>
      <c r="G61" s="88"/>
      <c r="H61" s="88"/>
      <c r="I61" s="88"/>
      <c r="K61" s="88"/>
      <c r="M61" s="4"/>
      <c r="N61" s="4"/>
    </row>
    <row r="62" ht="15.75" customHeight="1">
      <c r="B62" s="88"/>
      <c r="C62" s="88"/>
      <c r="D62" s="88"/>
      <c r="E62" s="88"/>
      <c r="F62" s="4"/>
      <c r="G62" s="88"/>
      <c r="H62" s="88"/>
      <c r="I62" s="88"/>
      <c r="K62" s="88"/>
      <c r="M62" s="4"/>
      <c r="N62" s="4"/>
    </row>
    <row r="63" ht="15.75" customHeight="1">
      <c r="B63" s="88"/>
      <c r="C63" s="88"/>
      <c r="D63" s="88"/>
      <c r="E63" s="88"/>
      <c r="F63" s="4"/>
      <c r="G63" s="88"/>
      <c r="H63" s="88"/>
      <c r="I63" s="88"/>
      <c r="K63" s="88"/>
      <c r="M63" s="4"/>
      <c r="N63" s="4"/>
    </row>
    <row r="64" ht="15.75" customHeight="1">
      <c r="B64" s="88"/>
      <c r="C64" s="88"/>
      <c r="D64" s="88"/>
      <c r="E64" s="88"/>
      <c r="F64" s="4"/>
      <c r="G64" s="88"/>
      <c r="H64" s="88"/>
      <c r="I64" s="88"/>
      <c r="K64" s="88"/>
      <c r="M64" s="4"/>
      <c r="N64" s="4"/>
    </row>
    <row r="65" ht="15.75" customHeight="1">
      <c r="B65" s="88"/>
      <c r="C65" s="88"/>
      <c r="D65" s="88"/>
      <c r="E65" s="88"/>
      <c r="F65" s="4"/>
      <c r="G65" s="88"/>
      <c r="H65" s="88"/>
      <c r="I65" s="88"/>
      <c r="K65" s="88"/>
      <c r="M65" s="4"/>
      <c r="N65" s="4"/>
    </row>
    <row r="66" ht="15.75" customHeight="1">
      <c r="B66" s="88"/>
      <c r="C66" s="88"/>
      <c r="D66" s="88"/>
      <c r="E66" s="88"/>
      <c r="F66" s="4"/>
      <c r="G66" s="88"/>
      <c r="H66" s="88"/>
      <c r="I66" s="88"/>
      <c r="K66" s="88"/>
      <c r="M66" s="4"/>
      <c r="N66" s="4"/>
    </row>
    <row r="67" ht="15.75" customHeight="1">
      <c r="B67" s="88"/>
      <c r="C67" s="88"/>
      <c r="D67" s="88"/>
      <c r="E67" s="88"/>
      <c r="F67" s="4"/>
      <c r="G67" s="88"/>
      <c r="H67" s="88"/>
      <c r="I67" s="88"/>
      <c r="K67" s="88"/>
      <c r="M67" s="4"/>
      <c r="N67" s="4"/>
    </row>
    <row r="68" ht="15.75" customHeight="1">
      <c r="B68" s="88"/>
      <c r="C68" s="88"/>
      <c r="D68" s="88"/>
      <c r="E68" s="88"/>
      <c r="F68" s="4"/>
      <c r="G68" s="88"/>
      <c r="H68" s="88"/>
      <c r="I68" s="88"/>
      <c r="K68" s="88"/>
      <c r="M68" s="4"/>
      <c r="N68" s="4"/>
    </row>
    <row r="69" ht="15.75" customHeight="1">
      <c r="B69" s="88"/>
      <c r="C69" s="88"/>
      <c r="D69" s="88"/>
      <c r="E69" s="88"/>
      <c r="F69" s="4"/>
      <c r="G69" s="88"/>
      <c r="H69" s="88"/>
      <c r="I69" s="88"/>
      <c r="K69" s="88"/>
      <c r="M69" s="4"/>
      <c r="N69" s="4"/>
    </row>
    <row r="70" ht="15.75" customHeight="1">
      <c r="B70" s="88"/>
      <c r="C70" s="88"/>
      <c r="D70" s="88"/>
      <c r="E70" s="88"/>
      <c r="F70" s="4"/>
      <c r="G70" s="88"/>
      <c r="H70" s="88"/>
      <c r="I70" s="88"/>
      <c r="K70" s="88"/>
      <c r="M70" s="4"/>
      <c r="N70" s="4"/>
    </row>
    <row r="71" ht="15.75" customHeight="1">
      <c r="B71" s="88"/>
      <c r="C71" s="88"/>
      <c r="D71" s="88"/>
      <c r="E71" s="88"/>
      <c r="F71" s="4"/>
      <c r="G71" s="88"/>
      <c r="H71" s="88"/>
      <c r="I71" s="88"/>
      <c r="K71" s="88"/>
      <c r="M71" s="4"/>
      <c r="N71" s="4"/>
    </row>
    <row r="72" ht="15.75" customHeight="1">
      <c r="B72" s="88"/>
      <c r="C72" s="88"/>
      <c r="D72" s="88"/>
      <c r="E72" s="88"/>
      <c r="F72" s="4"/>
      <c r="G72" s="88"/>
      <c r="H72" s="88"/>
      <c r="I72" s="88"/>
      <c r="K72" s="88"/>
      <c r="M72" s="4"/>
      <c r="N72" s="4"/>
    </row>
    <row r="73" ht="15.75" customHeight="1">
      <c r="B73" s="88"/>
      <c r="C73" s="88"/>
      <c r="D73" s="88"/>
      <c r="E73" s="88"/>
      <c r="F73" s="4"/>
      <c r="G73" s="88"/>
      <c r="H73" s="88"/>
      <c r="I73" s="88"/>
      <c r="K73" s="88"/>
      <c r="M73" s="4"/>
      <c r="N73" s="4"/>
    </row>
    <row r="74" ht="15.75" customHeight="1">
      <c r="B74" s="88"/>
      <c r="C74" s="88"/>
      <c r="D74" s="88"/>
      <c r="E74" s="88"/>
      <c r="F74" s="4"/>
      <c r="G74" s="88"/>
      <c r="H74" s="88"/>
      <c r="I74" s="88"/>
      <c r="K74" s="88"/>
      <c r="M74" s="4"/>
      <c r="N74" s="4"/>
    </row>
    <row r="75" ht="15.75" customHeight="1">
      <c r="B75" s="88"/>
      <c r="C75" s="88"/>
      <c r="D75" s="88"/>
      <c r="E75" s="88"/>
      <c r="F75" s="4"/>
      <c r="G75" s="88"/>
      <c r="H75" s="88"/>
      <c r="I75" s="88"/>
      <c r="K75" s="88"/>
      <c r="M75" s="4"/>
      <c r="N75" s="4"/>
    </row>
    <row r="76" ht="15.75" customHeight="1">
      <c r="B76" s="88"/>
      <c r="C76" s="88"/>
      <c r="D76" s="88"/>
      <c r="E76" s="88"/>
      <c r="F76" s="4"/>
      <c r="G76" s="88"/>
      <c r="H76" s="88"/>
      <c r="I76" s="88"/>
      <c r="K76" s="88"/>
      <c r="M76" s="4"/>
      <c r="N76" s="4"/>
    </row>
    <row r="77" ht="15.75" customHeight="1">
      <c r="B77" s="88"/>
      <c r="C77" s="88"/>
      <c r="D77" s="88"/>
      <c r="E77" s="88"/>
      <c r="F77" s="4"/>
      <c r="G77" s="88"/>
      <c r="H77" s="88"/>
      <c r="I77" s="88"/>
      <c r="K77" s="88"/>
      <c r="M77" s="4"/>
      <c r="N77" s="4"/>
    </row>
    <row r="78" ht="15.75" customHeight="1">
      <c r="B78" s="88"/>
      <c r="C78" s="88"/>
      <c r="D78" s="88"/>
      <c r="E78" s="88"/>
      <c r="F78" s="4"/>
      <c r="G78" s="88"/>
      <c r="H78" s="88"/>
      <c r="I78" s="88"/>
      <c r="K78" s="88"/>
      <c r="M78" s="4"/>
      <c r="N78" s="4"/>
    </row>
    <row r="79" ht="15.75" customHeight="1">
      <c r="B79" s="88"/>
      <c r="C79" s="88"/>
      <c r="D79" s="88"/>
      <c r="E79" s="88"/>
      <c r="F79" s="4"/>
      <c r="G79" s="88"/>
      <c r="H79" s="88"/>
      <c r="I79" s="88"/>
      <c r="K79" s="88"/>
      <c r="M79" s="4"/>
      <c r="N79" s="4"/>
    </row>
    <row r="80" ht="15.75" customHeight="1">
      <c r="B80" s="88"/>
      <c r="C80" s="88"/>
      <c r="D80" s="88"/>
      <c r="E80" s="88"/>
      <c r="F80" s="4"/>
      <c r="G80" s="88"/>
      <c r="H80" s="88"/>
      <c r="I80" s="88"/>
      <c r="K80" s="88"/>
      <c r="M80" s="4"/>
      <c r="N80" s="4"/>
    </row>
    <row r="81" ht="15.75" customHeight="1">
      <c r="B81" s="88"/>
      <c r="C81" s="88"/>
      <c r="D81" s="88"/>
      <c r="E81" s="88"/>
      <c r="F81" s="4"/>
      <c r="G81" s="88"/>
      <c r="H81" s="88"/>
      <c r="I81" s="88"/>
      <c r="K81" s="88"/>
      <c r="M81" s="4"/>
      <c r="N81" s="4"/>
    </row>
    <row r="82" ht="15.75" customHeight="1">
      <c r="B82" s="88"/>
      <c r="C82" s="88"/>
      <c r="D82" s="88"/>
      <c r="E82" s="88"/>
      <c r="F82" s="4"/>
      <c r="G82" s="88"/>
      <c r="H82" s="88"/>
      <c r="I82" s="88"/>
      <c r="K82" s="88"/>
      <c r="M82" s="4"/>
      <c r="N82" s="4"/>
    </row>
    <row r="83" ht="15.75" customHeight="1">
      <c r="B83" s="88"/>
      <c r="C83" s="88"/>
      <c r="D83" s="88"/>
      <c r="E83" s="88"/>
      <c r="F83" s="4"/>
      <c r="G83" s="88"/>
      <c r="H83" s="88"/>
      <c r="I83" s="88"/>
      <c r="K83" s="88"/>
      <c r="M83" s="4"/>
      <c r="N83" s="4"/>
    </row>
    <row r="84" ht="15.75" customHeight="1">
      <c r="B84" s="88"/>
      <c r="C84" s="88"/>
      <c r="D84" s="88"/>
      <c r="E84" s="88"/>
      <c r="F84" s="4"/>
      <c r="G84" s="88"/>
      <c r="H84" s="88"/>
      <c r="I84" s="88"/>
      <c r="K84" s="88"/>
      <c r="M84" s="4"/>
      <c r="N84" s="4"/>
    </row>
    <row r="85" ht="15.75" customHeight="1">
      <c r="B85" s="88"/>
      <c r="C85" s="88"/>
      <c r="D85" s="88"/>
      <c r="E85" s="88"/>
      <c r="F85" s="4"/>
      <c r="G85" s="88"/>
      <c r="H85" s="88"/>
      <c r="I85" s="88"/>
      <c r="K85" s="88"/>
      <c r="M85" s="4"/>
      <c r="N85" s="4"/>
    </row>
    <row r="86" ht="15.75" customHeight="1">
      <c r="B86" s="88"/>
      <c r="C86" s="88"/>
      <c r="D86" s="88"/>
      <c r="E86" s="88"/>
      <c r="F86" s="4"/>
      <c r="G86" s="88"/>
      <c r="H86" s="88"/>
      <c r="I86" s="88"/>
      <c r="K86" s="88"/>
      <c r="M86" s="4"/>
      <c r="N86" s="4"/>
    </row>
    <row r="87" ht="15.75" customHeight="1">
      <c r="B87" s="88"/>
      <c r="C87" s="88"/>
      <c r="D87" s="88"/>
      <c r="E87" s="88"/>
      <c r="F87" s="4"/>
      <c r="G87" s="88"/>
      <c r="H87" s="88"/>
      <c r="I87" s="88"/>
      <c r="K87" s="88"/>
      <c r="M87" s="4"/>
      <c r="N87" s="4"/>
    </row>
    <row r="88" ht="15.75" customHeight="1">
      <c r="B88" s="88"/>
      <c r="C88" s="88"/>
      <c r="D88" s="88"/>
      <c r="E88" s="88"/>
      <c r="F88" s="4"/>
      <c r="G88" s="88"/>
      <c r="H88" s="88"/>
      <c r="I88" s="88"/>
      <c r="K88" s="88"/>
      <c r="M88" s="4"/>
      <c r="N88" s="4"/>
    </row>
    <row r="89" ht="15.75" customHeight="1">
      <c r="B89" s="88"/>
      <c r="C89" s="88"/>
      <c r="D89" s="88"/>
      <c r="E89" s="88"/>
      <c r="F89" s="4"/>
      <c r="G89" s="88"/>
      <c r="H89" s="88"/>
      <c r="I89" s="88"/>
      <c r="K89" s="88"/>
      <c r="M89" s="4"/>
      <c r="N89" s="4"/>
    </row>
    <row r="90" ht="15.75" customHeight="1">
      <c r="B90" s="88"/>
      <c r="C90" s="88"/>
      <c r="D90" s="88"/>
      <c r="E90" s="88"/>
      <c r="F90" s="4"/>
      <c r="G90" s="88"/>
      <c r="H90" s="88"/>
      <c r="I90" s="88"/>
      <c r="K90" s="88"/>
      <c r="M90" s="4"/>
      <c r="N90" s="4"/>
    </row>
    <row r="91" ht="15.75" customHeight="1">
      <c r="B91" s="88"/>
      <c r="C91" s="88"/>
      <c r="D91" s="88"/>
      <c r="E91" s="88"/>
      <c r="F91" s="4"/>
      <c r="G91" s="88"/>
      <c r="H91" s="88"/>
      <c r="I91" s="88"/>
      <c r="K91" s="88"/>
      <c r="M91" s="4"/>
      <c r="N91" s="4"/>
    </row>
    <row r="92" ht="15.75" customHeight="1">
      <c r="B92" s="88"/>
      <c r="C92" s="88"/>
      <c r="D92" s="88"/>
      <c r="E92" s="88"/>
      <c r="F92" s="4"/>
      <c r="G92" s="88"/>
      <c r="H92" s="88"/>
      <c r="I92" s="88"/>
      <c r="K92" s="88"/>
      <c r="M92" s="4"/>
      <c r="N92" s="4"/>
    </row>
    <row r="93" ht="15.75" customHeight="1">
      <c r="B93" s="88"/>
      <c r="C93" s="88"/>
      <c r="D93" s="88"/>
      <c r="E93" s="88"/>
      <c r="F93" s="4"/>
      <c r="G93" s="88"/>
      <c r="H93" s="88"/>
      <c r="I93" s="88"/>
      <c r="K93" s="88"/>
      <c r="M93" s="4"/>
      <c r="N93" s="4"/>
    </row>
    <row r="94" ht="15.75" customHeight="1">
      <c r="B94" s="88"/>
      <c r="C94" s="88"/>
      <c r="D94" s="88"/>
      <c r="E94" s="88"/>
      <c r="F94" s="4"/>
      <c r="G94" s="88"/>
      <c r="H94" s="88"/>
      <c r="I94" s="88"/>
      <c r="K94" s="88"/>
      <c r="M94" s="4"/>
      <c r="N94" s="4"/>
    </row>
    <row r="95" ht="15.75" customHeight="1">
      <c r="B95" s="88"/>
      <c r="C95" s="88"/>
      <c r="D95" s="88"/>
      <c r="E95" s="88"/>
      <c r="F95" s="4"/>
      <c r="G95" s="88"/>
      <c r="H95" s="88"/>
      <c r="I95" s="88"/>
      <c r="K95" s="88"/>
      <c r="M95" s="4"/>
      <c r="N95" s="4"/>
    </row>
    <row r="96" ht="15.75" customHeight="1">
      <c r="B96" s="88"/>
      <c r="C96" s="88"/>
      <c r="D96" s="88"/>
      <c r="E96" s="88"/>
      <c r="F96" s="4"/>
      <c r="G96" s="88"/>
      <c r="H96" s="88"/>
      <c r="I96" s="88"/>
      <c r="K96" s="88"/>
      <c r="M96" s="4"/>
      <c r="N96" s="4"/>
    </row>
    <row r="97" ht="15.75" customHeight="1">
      <c r="B97" s="88"/>
      <c r="C97" s="88"/>
      <c r="D97" s="88"/>
      <c r="E97" s="88"/>
      <c r="F97" s="4"/>
      <c r="G97" s="88"/>
      <c r="H97" s="88"/>
      <c r="I97" s="88"/>
      <c r="K97" s="88"/>
      <c r="M97" s="4"/>
      <c r="N97" s="4"/>
    </row>
    <row r="98" ht="15.75" customHeight="1">
      <c r="B98" s="88"/>
      <c r="C98" s="88"/>
      <c r="D98" s="88"/>
      <c r="E98" s="88"/>
      <c r="F98" s="4"/>
      <c r="G98" s="88"/>
      <c r="H98" s="88"/>
      <c r="I98" s="88"/>
      <c r="K98" s="88"/>
      <c r="M98" s="4"/>
      <c r="N98" s="4"/>
    </row>
    <row r="99" ht="15.75" customHeight="1">
      <c r="B99" s="88"/>
      <c r="C99" s="88"/>
      <c r="D99" s="88"/>
      <c r="E99" s="88"/>
      <c r="F99" s="4"/>
      <c r="G99" s="88"/>
      <c r="H99" s="88"/>
      <c r="I99" s="88"/>
      <c r="K99" s="88"/>
      <c r="M99" s="4"/>
      <c r="N99" s="4"/>
    </row>
    <row r="100" ht="15.75" customHeight="1">
      <c r="B100" s="88"/>
      <c r="C100" s="88"/>
      <c r="D100" s="88"/>
      <c r="E100" s="88"/>
      <c r="F100" s="4"/>
      <c r="G100" s="88"/>
      <c r="H100" s="88"/>
      <c r="I100" s="88"/>
      <c r="K100" s="88"/>
      <c r="M100" s="4"/>
      <c r="N100" s="4"/>
    </row>
    <row r="101" ht="15.75" customHeight="1">
      <c r="B101" s="88"/>
      <c r="C101" s="88"/>
      <c r="D101" s="88"/>
      <c r="E101" s="88"/>
      <c r="F101" s="4"/>
      <c r="G101" s="88"/>
      <c r="H101" s="88"/>
      <c r="I101" s="88"/>
      <c r="K101" s="88"/>
      <c r="M101" s="4"/>
      <c r="N101" s="4"/>
    </row>
    <row r="102" ht="15.75" customHeight="1">
      <c r="B102" s="88"/>
      <c r="C102" s="88"/>
      <c r="D102" s="88"/>
      <c r="E102" s="88"/>
      <c r="F102" s="4"/>
      <c r="G102" s="88"/>
      <c r="H102" s="88"/>
      <c r="I102" s="88"/>
      <c r="K102" s="88"/>
      <c r="M102" s="4"/>
      <c r="N102" s="4"/>
    </row>
    <row r="103" ht="15.75" customHeight="1">
      <c r="B103" s="88"/>
      <c r="C103" s="88"/>
      <c r="D103" s="88"/>
      <c r="E103" s="88"/>
      <c r="F103" s="4"/>
      <c r="G103" s="88"/>
      <c r="H103" s="88"/>
      <c r="I103" s="88"/>
      <c r="K103" s="88"/>
      <c r="M103" s="4"/>
      <c r="N103" s="4"/>
    </row>
    <row r="104" ht="15.75" customHeight="1">
      <c r="B104" s="88"/>
      <c r="C104" s="88"/>
      <c r="D104" s="88"/>
      <c r="E104" s="88"/>
      <c r="F104" s="4"/>
      <c r="G104" s="88"/>
      <c r="H104" s="88"/>
      <c r="I104" s="88"/>
      <c r="K104" s="88"/>
      <c r="M104" s="4"/>
      <c r="N104" s="4"/>
    </row>
    <row r="105" ht="15.75" customHeight="1">
      <c r="B105" s="88"/>
      <c r="C105" s="88"/>
      <c r="D105" s="88"/>
      <c r="E105" s="88"/>
      <c r="F105" s="4"/>
      <c r="G105" s="88"/>
      <c r="H105" s="88"/>
      <c r="I105" s="88"/>
      <c r="K105" s="88"/>
      <c r="M105" s="4"/>
      <c r="N105" s="4"/>
    </row>
    <row r="106" ht="15.75" customHeight="1">
      <c r="B106" s="88"/>
      <c r="C106" s="88"/>
      <c r="D106" s="88"/>
      <c r="E106" s="88"/>
      <c r="F106" s="4"/>
      <c r="G106" s="88"/>
      <c r="H106" s="88"/>
      <c r="I106" s="88"/>
      <c r="K106" s="88"/>
      <c r="M106" s="4"/>
      <c r="N106" s="4"/>
    </row>
    <row r="107" ht="15.75" customHeight="1">
      <c r="B107" s="88"/>
      <c r="C107" s="88"/>
      <c r="D107" s="88"/>
      <c r="E107" s="88"/>
      <c r="F107" s="4"/>
      <c r="G107" s="88"/>
      <c r="H107" s="88"/>
      <c r="I107" s="88"/>
      <c r="K107" s="88"/>
      <c r="M107" s="4"/>
      <c r="N107" s="4"/>
    </row>
    <row r="108" ht="15.75" customHeight="1">
      <c r="B108" s="88"/>
      <c r="C108" s="88"/>
      <c r="D108" s="88"/>
      <c r="E108" s="88"/>
      <c r="F108" s="4"/>
      <c r="G108" s="88"/>
      <c r="H108" s="88"/>
      <c r="I108" s="88"/>
      <c r="K108" s="88"/>
      <c r="M108" s="4"/>
      <c r="N108" s="4"/>
    </row>
    <row r="109" ht="15.75" customHeight="1">
      <c r="B109" s="88"/>
      <c r="C109" s="88"/>
      <c r="D109" s="88"/>
      <c r="E109" s="88"/>
      <c r="F109" s="4"/>
      <c r="G109" s="88"/>
      <c r="H109" s="88"/>
      <c r="I109" s="88"/>
      <c r="K109" s="88"/>
      <c r="M109" s="4"/>
      <c r="N109" s="4"/>
    </row>
    <row r="110" ht="15.75" customHeight="1">
      <c r="B110" s="88"/>
      <c r="C110" s="88"/>
      <c r="D110" s="88"/>
      <c r="E110" s="88"/>
      <c r="F110" s="4"/>
      <c r="G110" s="88"/>
      <c r="H110" s="88"/>
      <c r="I110" s="88"/>
      <c r="K110" s="88"/>
      <c r="M110" s="4"/>
      <c r="N110" s="4"/>
    </row>
    <row r="111" ht="15.75" customHeight="1">
      <c r="B111" s="88"/>
      <c r="C111" s="88"/>
      <c r="D111" s="88"/>
      <c r="E111" s="88"/>
      <c r="F111" s="4"/>
      <c r="G111" s="88"/>
      <c r="H111" s="88"/>
      <c r="I111" s="88"/>
      <c r="K111" s="88"/>
      <c r="M111" s="4"/>
      <c r="N111" s="4"/>
    </row>
    <row r="112" ht="15.75" customHeight="1">
      <c r="B112" s="88"/>
      <c r="C112" s="88"/>
      <c r="D112" s="88"/>
      <c r="E112" s="88"/>
      <c r="F112" s="4"/>
      <c r="G112" s="88"/>
      <c r="H112" s="88"/>
      <c r="I112" s="88"/>
      <c r="K112" s="88"/>
      <c r="M112" s="4"/>
      <c r="N112" s="4"/>
    </row>
    <row r="113" ht="15.75" customHeight="1">
      <c r="B113" s="88"/>
      <c r="C113" s="88"/>
      <c r="D113" s="88"/>
      <c r="E113" s="88"/>
      <c r="F113" s="4"/>
      <c r="G113" s="88"/>
      <c r="H113" s="88"/>
      <c r="I113" s="88"/>
      <c r="K113" s="88"/>
      <c r="M113" s="4"/>
      <c r="N113" s="4"/>
    </row>
    <row r="114" ht="15.75" customHeight="1">
      <c r="B114" s="88"/>
      <c r="C114" s="88"/>
      <c r="D114" s="88"/>
      <c r="E114" s="88"/>
      <c r="F114" s="4"/>
      <c r="G114" s="88"/>
      <c r="H114" s="88"/>
      <c r="I114" s="88"/>
      <c r="K114" s="88"/>
      <c r="M114" s="4"/>
      <c r="N114" s="4"/>
    </row>
    <row r="115" ht="15.75" customHeight="1">
      <c r="B115" s="88"/>
      <c r="C115" s="88"/>
      <c r="D115" s="88"/>
      <c r="E115" s="88"/>
      <c r="F115" s="4"/>
      <c r="G115" s="88"/>
      <c r="H115" s="88"/>
      <c r="I115" s="88"/>
      <c r="K115" s="88"/>
      <c r="M115" s="4"/>
      <c r="N115" s="4"/>
    </row>
    <row r="116" ht="15.75" customHeight="1">
      <c r="B116" s="88"/>
      <c r="C116" s="88"/>
      <c r="D116" s="88"/>
      <c r="E116" s="88"/>
      <c r="F116" s="4"/>
      <c r="G116" s="88"/>
      <c r="H116" s="88"/>
      <c r="I116" s="88"/>
      <c r="K116" s="88"/>
      <c r="M116" s="4"/>
      <c r="N116" s="4"/>
    </row>
    <row r="117" ht="15.75" customHeight="1">
      <c r="B117" s="88"/>
      <c r="C117" s="88"/>
      <c r="D117" s="88"/>
      <c r="E117" s="88"/>
      <c r="F117" s="4"/>
      <c r="G117" s="88"/>
      <c r="H117" s="88"/>
      <c r="I117" s="88"/>
      <c r="K117" s="88"/>
      <c r="M117" s="4"/>
      <c r="N117" s="4"/>
    </row>
    <row r="118" ht="15.75" customHeight="1">
      <c r="B118" s="88"/>
      <c r="C118" s="88"/>
      <c r="D118" s="88"/>
      <c r="E118" s="88"/>
      <c r="F118" s="4"/>
      <c r="G118" s="88"/>
      <c r="H118" s="88"/>
      <c r="I118" s="88"/>
      <c r="K118" s="88"/>
      <c r="M118" s="4"/>
      <c r="N118" s="4"/>
    </row>
    <row r="119" ht="15.75" customHeight="1">
      <c r="B119" s="88"/>
      <c r="C119" s="88"/>
      <c r="D119" s="88"/>
      <c r="E119" s="88"/>
      <c r="F119" s="4"/>
      <c r="G119" s="88"/>
      <c r="H119" s="88"/>
      <c r="I119" s="88"/>
      <c r="K119" s="88"/>
      <c r="M119" s="4"/>
      <c r="N119" s="4"/>
    </row>
    <row r="120" ht="15.75" customHeight="1">
      <c r="B120" s="88"/>
      <c r="C120" s="88"/>
      <c r="D120" s="88"/>
      <c r="E120" s="88"/>
      <c r="F120" s="4"/>
      <c r="G120" s="88"/>
      <c r="H120" s="88"/>
      <c r="I120" s="88"/>
      <c r="K120" s="88"/>
      <c r="M120" s="4"/>
      <c r="N120" s="4"/>
    </row>
    <row r="121" ht="15.75" customHeight="1">
      <c r="B121" s="88"/>
      <c r="C121" s="88"/>
      <c r="D121" s="88"/>
      <c r="E121" s="88"/>
      <c r="F121" s="4"/>
      <c r="G121" s="88"/>
      <c r="H121" s="88"/>
      <c r="I121" s="88"/>
      <c r="K121" s="88"/>
      <c r="M121" s="4"/>
      <c r="N121" s="4"/>
    </row>
    <row r="122" ht="15.75" customHeight="1">
      <c r="B122" s="88"/>
      <c r="C122" s="88"/>
      <c r="D122" s="88"/>
      <c r="E122" s="88"/>
      <c r="F122" s="4"/>
      <c r="G122" s="88"/>
      <c r="H122" s="88"/>
      <c r="I122" s="88"/>
      <c r="K122" s="88"/>
      <c r="M122" s="4"/>
      <c r="N122" s="4"/>
    </row>
    <row r="123" ht="15.75" customHeight="1">
      <c r="B123" s="88"/>
      <c r="C123" s="88"/>
      <c r="D123" s="88"/>
      <c r="E123" s="88"/>
      <c r="F123" s="4"/>
      <c r="G123" s="88"/>
      <c r="H123" s="88"/>
      <c r="I123" s="88"/>
      <c r="K123" s="88"/>
      <c r="M123" s="4"/>
      <c r="N123" s="4"/>
    </row>
    <row r="124" ht="15.75" customHeight="1">
      <c r="B124" s="88"/>
      <c r="C124" s="88"/>
      <c r="D124" s="88"/>
      <c r="E124" s="88"/>
      <c r="F124" s="4"/>
      <c r="G124" s="88"/>
      <c r="H124" s="88"/>
      <c r="I124" s="88"/>
      <c r="K124" s="88"/>
      <c r="M124" s="4"/>
      <c r="N124" s="4"/>
    </row>
    <row r="125" ht="15.75" customHeight="1">
      <c r="B125" s="88"/>
      <c r="C125" s="88"/>
      <c r="D125" s="88"/>
      <c r="E125" s="88"/>
      <c r="F125" s="4"/>
      <c r="G125" s="88"/>
      <c r="H125" s="88"/>
      <c r="I125" s="88"/>
      <c r="K125" s="88"/>
      <c r="M125" s="4"/>
      <c r="N125" s="4"/>
    </row>
    <row r="126" ht="15.75" customHeight="1">
      <c r="B126" s="88"/>
      <c r="C126" s="88"/>
      <c r="D126" s="88"/>
      <c r="E126" s="88"/>
      <c r="F126" s="4"/>
      <c r="G126" s="88"/>
      <c r="H126" s="88"/>
      <c r="I126" s="88"/>
      <c r="K126" s="88"/>
      <c r="M126" s="4"/>
      <c r="N126" s="4"/>
    </row>
    <row r="127" ht="15.75" customHeight="1">
      <c r="B127" s="88"/>
      <c r="C127" s="88"/>
      <c r="D127" s="88"/>
      <c r="E127" s="88"/>
      <c r="F127" s="4"/>
      <c r="G127" s="88"/>
      <c r="H127" s="88"/>
      <c r="I127" s="88"/>
      <c r="K127" s="88"/>
      <c r="M127" s="4"/>
      <c r="N127" s="4"/>
    </row>
    <row r="128" ht="15.75" customHeight="1">
      <c r="B128" s="88"/>
      <c r="C128" s="88"/>
      <c r="D128" s="88"/>
      <c r="E128" s="88"/>
      <c r="F128" s="4"/>
      <c r="G128" s="88"/>
      <c r="H128" s="88"/>
      <c r="I128" s="88"/>
      <c r="K128" s="88"/>
      <c r="M128" s="4"/>
      <c r="N128" s="4"/>
    </row>
    <row r="129" ht="15.75" customHeight="1">
      <c r="B129" s="88"/>
      <c r="C129" s="88"/>
      <c r="D129" s="88"/>
      <c r="E129" s="88"/>
      <c r="F129" s="4"/>
      <c r="G129" s="88"/>
      <c r="H129" s="88"/>
      <c r="I129" s="88"/>
      <c r="K129" s="88"/>
      <c r="M129" s="4"/>
      <c r="N129" s="4"/>
    </row>
    <row r="130" ht="15.75" customHeight="1">
      <c r="B130" s="88"/>
      <c r="C130" s="88"/>
      <c r="D130" s="88"/>
      <c r="E130" s="88"/>
      <c r="F130" s="4"/>
      <c r="G130" s="88"/>
      <c r="H130" s="88"/>
      <c r="I130" s="88"/>
      <c r="K130" s="88"/>
      <c r="M130" s="4"/>
      <c r="N130" s="4"/>
    </row>
    <row r="131" ht="15.75" customHeight="1">
      <c r="B131" s="88"/>
      <c r="C131" s="88"/>
      <c r="D131" s="88"/>
      <c r="E131" s="88"/>
      <c r="F131" s="4"/>
      <c r="G131" s="88"/>
      <c r="H131" s="88"/>
      <c r="I131" s="88"/>
      <c r="K131" s="88"/>
      <c r="M131" s="4"/>
      <c r="N131" s="4"/>
    </row>
    <row r="132" ht="15.75" customHeight="1">
      <c r="B132" s="88"/>
      <c r="C132" s="88"/>
      <c r="D132" s="88"/>
      <c r="E132" s="88"/>
      <c r="F132" s="4"/>
      <c r="G132" s="88"/>
      <c r="H132" s="88"/>
      <c r="I132" s="88"/>
      <c r="K132" s="88"/>
      <c r="M132" s="4"/>
      <c r="N132" s="4"/>
    </row>
    <row r="133" ht="15.75" customHeight="1">
      <c r="B133" s="88"/>
      <c r="C133" s="88"/>
      <c r="D133" s="88"/>
      <c r="E133" s="88"/>
      <c r="F133" s="4"/>
      <c r="G133" s="88"/>
      <c r="H133" s="88"/>
      <c r="I133" s="88"/>
      <c r="K133" s="88"/>
      <c r="M133" s="4"/>
      <c r="N133" s="4"/>
    </row>
    <row r="134" ht="15.75" customHeight="1">
      <c r="B134" s="88"/>
      <c r="C134" s="88"/>
      <c r="D134" s="88"/>
      <c r="E134" s="88"/>
      <c r="F134" s="4"/>
      <c r="G134" s="88"/>
      <c r="H134" s="88"/>
      <c r="I134" s="88"/>
      <c r="K134" s="88"/>
      <c r="M134" s="4"/>
      <c r="N134" s="4"/>
    </row>
    <row r="135" ht="15.75" customHeight="1">
      <c r="B135" s="88"/>
      <c r="C135" s="88"/>
      <c r="D135" s="88"/>
      <c r="E135" s="88"/>
      <c r="F135" s="4"/>
      <c r="G135" s="88"/>
      <c r="H135" s="88"/>
      <c r="I135" s="88"/>
      <c r="K135" s="88"/>
      <c r="M135" s="4"/>
      <c r="N135" s="4"/>
    </row>
    <row r="136" ht="15.75" customHeight="1">
      <c r="B136" s="88"/>
      <c r="C136" s="88"/>
      <c r="D136" s="88"/>
      <c r="E136" s="88"/>
      <c r="F136" s="4"/>
      <c r="G136" s="88"/>
      <c r="H136" s="88"/>
      <c r="I136" s="88"/>
      <c r="K136" s="88"/>
      <c r="M136" s="4"/>
      <c r="N136" s="4"/>
    </row>
    <row r="137" ht="15.75" customHeight="1">
      <c r="B137" s="88"/>
      <c r="C137" s="88"/>
      <c r="D137" s="88"/>
      <c r="E137" s="88"/>
      <c r="F137" s="4"/>
      <c r="G137" s="88"/>
      <c r="H137" s="88"/>
      <c r="I137" s="88"/>
      <c r="K137" s="88"/>
      <c r="M137" s="4"/>
      <c r="N137" s="4"/>
    </row>
    <row r="138" ht="15.75" customHeight="1">
      <c r="B138" s="88"/>
      <c r="C138" s="88"/>
      <c r="D138" s="88"/>
      <c r="E138" s="88"/>
      <c r="F138" s="4"/>
      <c r="G138" s="88"/>
      <c r="H138" s="88"/>
      <c r="I138" s="88"/>
      <c r="K138" s="88"/>
      <c r="M138" s="4"/>
      <c r="N138" s="4"/>
    </row>
    <row r="139" ht="15.75" customHeight="1">
      <c r="B139" s="88"/>
      <c r="C139" s="88"/>
      <c r="D139" s="88"/>
      <c r="E139" s="88"/>
      <c r="F139" s="4"/>
      <c r="G139" s="88"/>
      <c r="H139" s="88"/>
      <c r="I139" s="88"/>
      <c r="K139" s="88"/>
      <c r="M139" s="4"/>
      <c r="N139" s="4"/>
    </row>
    <row r="140" ht="15.75" customHeight="1">
      <c r="B140" s="88"/>
      <c r="C140" s="88"/>
      <c r="D140" s="88"/>
      <c r="E140" s="88"/>
      <c r="F140" s="4"/>
      <c r="G140" s="88"/>
      <c r="H140" s="88"/>
      <c r="I140" s="88"/>
      <c r="K140" s="88"/>
      <c r="M140" s="4"/>
      <c r="N140" s="4"/>
    </row>
    <row r="141" ht="15.75" customHeight="1">
      <c r="B141" s="88"/>
      <c r="C141" s="88"/>
      <c r="D141" s="88"/>
      <c r="E141" s="88"/>
      <c r="F141" s="4"/>
      <c r="G141" s="88"/>
      <c r="H141" s="88"/>
      <c r="I141" s="88"/>
      <c r="K141" s="88"/>
      <c r="M141" s="4"/>
      <c r="N141" s="4"/>
    </row>
    <row r="142" ht="15.75" customHeight="1">
      <c r="B142" s="88"/>
      <c r="C142" s="88"/>
      <c r="D142" s="88"/>
      <c r="E142" s="88"/>
      <c r="F142" s="4"/>
      <c r="G142" s="88"/>
      <c r="H142" s="88"/>
      <c r="I142" s="88"/>
      <c r="K142" s="88"/>
      <c r="M142" s="4"/>
      <c r="N142" s="4"/>
    </row>
    <row r="143" ht="15.75" customHeight="1">
      <c r="B143" s="88"/>
      <c r="C143" s="88"/>
      <c r="D143" s="88"/>
      <c r="E143" s="88"/>
      <c r="F143" s="4"/>
      <c r="G143" s="88"/>
      <c r="H143" s="88"/>
      <c r="I143" s="88"/>
      <c r="K143" s="88"/>
      <c r="M143" s="4"/>
      <c r="N143" s="4"/>
    </row>
    <row r="144" ht="15.75" customHeight="1">
      <c r="B144" s="88"/>
      <c r="C144" s="88"/>
      <c r="D144" s="88"/>
      <c r="E144" s="88"/>
      <c r="F144" s="4"/>
      <c r="G144" s="88"/>
      <c r="H144" s="88"/>
      <c r="I144" s="88"/>
      <c r="K144" s="88"/>
      <c r="M144" s="4"/>
      <c r="N144" s="4"/>
    </row>
    <row r="145" ht="15.75" customHeight="1">
      <c r="B145" s="88"/>
      <c r="C145" s="88"/>
      <c r="D145" s="88"/>
      <c r="E145" s="88"/>
      <c r="F145" s="4"/>
      <c r="G145" s="88"/>
      <c r="H145" s="88"/>
      <c r="I145" s="88"/>
      <c r="K145" s="88"/>
      <c r="M145" s="4"/>
      <c r="N145" s="4"/>
    </row>
    <row r="146" ht="15.75" customHeight="1">
      <c r="B146" s="88"/>
      <c r="C146" s="88"/>
      <c r="D146" s="88"/>
      <c r="E146" s="88"/>
      <c r="F146" s="4"/>
      <c r="G146" s="88"/>
      <c r="H146" s="88"/>
      <c r="I146" s="88"/>
      <c r="K146" s="88"/>
      <c r="M146" s="4"/>
      <c r="N146" s="4"/>
    </row>
    <row r="147" ht="15.75" customHeight="1">
      <c r="B147" s="88"/>
      <c r="C147" s="88"/>
      <c r="D147" s="88"/>
      <c r="E147" s="88"/>
      <c r="F147" s="4"/>
      <c r="G147" s="88"/>
      <c r="H147" s="88"/>
      <c r="I147" s="88"/>
      <c r="K147" s="88"/>
      <c r="M147" s="4"/>
      <c r="N147" s="4"/>
    </row>
    <row r="148" ht="15.75" customHeight="1">
      <c r="B148" s="88"/>
      <c r="C148" s="88"/>
      <c r="D148" s="88"/>
      <c r="E148" s="88"/>
      <c r="F148" s="4"/>
      <c r="G148" s="88"/>
      <c r="H148" s="88"/>
      <c r="I148" s="88"/>
      <c r="K148" s="88"/>
      <c r="M148" s="4"/>
      <c r="N148" s="4"/>
    </row>
    <row r="149" ht="15.75" customHeight="1">
      <c r="B149" s="88"/>
      <c r="C149" s="88"/>
      <c r="D149" s="88"/>
      <c r="E149" s="88"/>
      <c r="F149" s="4"/>
      <c r="G149" s="88"/>
      <c r="H149" s="88"/>
      <c r="I149" s="88"/>
      <c r="K149" s="88"/>
      <c r="M149" s="4"/>
      <c r="N149" s="4"/>
    </row>
    <row r="150" ht="15.75" customHeight="1">
      <c r="B150" s="88"/>
      <c r="C150" s="88"/>
      <c r="D150" s="88"/>
      <c r="E150" s="88"/>
      <c r="F150" s="4"/>
      <c r="G150" s="88"/>
      <c r="H150" s="88"/>
      <c r="I150" s="88"/>
      <c r="K150" s="88"/>
      <c r="M150" s="4"/>
      <c r="N150" s="4"/>
    </row>
    <row r="151" ht="15.75" customHeight="1">
      <c r="B151" s="88"/>
      <c r="C151" s="88"/>
      <c r="D151" s="88"/>
      <c r="E151" s="88"/>
      <c r="F151" s="4"/>
      <c r="G151" s="88"/>
      <c r="H151" s="88"/>
      <c r="I151" s="88"/>
      <c r="K151" s="88"/>
      <c r="M151" s="4"/>
      <c r="N151" s="4"/>
    </row>
    <row r="152" ht="15.75" customHeight="1">
      <c r="B152" s="88"/>
      <c r="C152" s="88"/>
      <c r="D152" s="88"/>
      <c r="E152" s="88"/>
      <c r="F152" s="4"/>
      <c r="G152" s="88"/>
      <c r="H152" s="88"/>
      <c r="I152" s="88"/>
      <c r="K152" s="88"/>
      <c r="M152" s="4"/>
      <c r="N152" s="4"/>
    </row>
    <row r="153" ht="15.75" customHeight="1">
      <c r="B153" s="88"/>
      <c r="C153" s="88"/>
      <c r="D153" s="88"/>
      <c r="E153" s="88"/>
      <c r="F153" s="4"/>
      <c r="G153" s="88"/>
      <c r="H153" s="88"/>
      <c r="I153" s="88"/>
      <c r="K153" s="88"/>
      <c r="M153" s="4"/>
      <c r="N153" s="4"/>
    </row>
    <row r="154" ht="15.75" customHeight="1">
      <c r="B154" s="88"/>
      <c r="C154" s="88"/>
      <c r="D154" s="88"/>
      <c r="E154" s="88"/>
      <c r="F154" s="4"/>
      <c r="G154" s="88"/>
      <c r="H154" s="88"/>
      <c r="I154" s="88"/>
      <c r="K154" s="88"/>
      <c r="M154" s="4"/>
      <c r="N154" s="4"/>
    </row>
    <row r="155" ht="15.75" customHeight="1">
      <c r="B155" s="88"/>
      <c r="C155" s="88"/>
      <c r="D155" s="88"/>
      <c r="E155" s="88"/>
      <c r="F155" s="4"/>
      <c r="G155" s="88"/>
      <c r="H155" s="88"/>
      <c r="I155" s="88"/>
      <c r="K155" s="88"/>
      <c r="M155" s="4"/>
      <c r="N155" s="4"/>
    </row>
    <row r="156" ht="15.75" customHeight="1">
      <c r="B156" s="88"/>
      <c r="C156" s="88"/>
      <c r="D156" s="88"/>
      <c r="E156" s="88"/>
      <c r="F156" s="4"/>
      <c r="G156" s="88"/>
      <c r="H156" s="88"/>
      <c r="I156" s="88"/>
      <c r="K156" s="88"/>
      <c r="M156" s="4"/>
      <c r="N156" s="4"/>
    </row>
    <row r="157" ht="15.75" customHeight="1">
      <c r="B157" s="88"/>
      <c r="C157" s="88"/>
      <c r="D157" s="88"/>
      <c r="E157" s="88"/>
      <c r="F157" s="4"/>
      <c r="G157" s="88"/>
      <c r="H157" s="88"/>
      <c r="I157" s="88"/>
      <c r="K157" s="88"/>
      <c r="M157" s="4"/>
      <c r="N157" s="4"/>
    </row>
    <row r="158" ht="15.75" customHeight="1">
      <c r="B158" s="88"/>
      <c r="C158" s="88"/>
      <c r="D158" s="88"/>
      <c r="E158" s="88"/>
      <c r="F158" s="4"/>
      <c r="G158" s="88"/>
      <c r="H158" s="88"/>
      <c r="I158" s="88"/>
      <c r="K158" s="88"/>
      <c r="M158" s="4"/>
      <c r="N158" s="4"/>
    </row>
    <row r="159" ht="15.75" customHeight="1">
      <c r="B159" s="88"/>
      <c r="C159" s="88"/>
      <c r="D159" s="88"/>
      <c r="E159" s="88"/>
      <c r="F159" s="4"/>
      <c r="G159" s="88"/>
      <c r="H159" s="88"/>
      <c r="I159" s="88"/>
      <c r="K159" s="88"/>
      <c r="M159" s="4"/>
      <c r="N159" s="4"/>
    </row>
    <row r="160" ht="15.75" customHeight="1">
      <c r="B160" s="88"/>
      <c r="C160" s="88"/>
      <c r="D160" s="88"/>
      <c r="E160" s="88"/>
      <c r="F160" s="4"/>
      <c r="G160" s="88"/>
      <c r="H160" s="88"/>
      <c r="I160" s="88"/>
      <c r="K160" s="88"/>
      <c r="M160" s="4"/>
      <c r="N160" s="4"/>
    </row>
    <row r="161" ht="15.75" customHeight="1">
      <c r="B161" s="88"/>
      <c r="C161" s="88"/>
      <c r="D161" s="88"/>
      <c r="E161" s="88"/>
      <c r="F161" s="4"/>
      <c r="G161" s="88"/>
      <c r="H161" s="88"/>
      <c r="I161" s="88"/>
      <c r="K161" s="88"/>
      <c r="M161" s="4"/>
      <c r="N161" s="4"/>
    </row>
    <row r="162" ht="15.75" customHeight="1">
      <c r="B162" s="88"/>
      <c r="C162" s="88"/>
      <c r="D162" s="88"/>
      <c r="E162" s="88"/>
      <c r="F162" s="4"/>
      <c r="G162" s="88"/>
      <c r="H162" s="88"/>
      <c r="I162" s="88"/>
      <c r="K162" s="88"/>
      <c r="M162" s="4"/>
      <c r="N162" s="4"/>
    </row>
    <row r="163" ht="15.75" customHeight="1">
      <c r="B163" s="88"/>
      <c r="C163" s="88"/>
      <c r="D163" s="88"/>
      <c r="E163" s="88"/>
      <c r="F163" s="4"/>
      <c r="G163" s="88"/>
      <c r="H163" s="88"/>
      <c r="I163" s="88"/>
      <c r="K163" s="88"/>
      <c r="M163" s="4"/>
      <c r="N163" s="4"/>
    </row>
    <row r="164" ht="15.75" customHeight="1">
      <c r="B164" s="88"/>
      <c r="C164" s="88"/>
      <c r="D164" s="88"/>
      <c r="E164" s="88"/>
      <c r="F164" s="4"/>
      <c r="G164" s="88"/>
      <c r="H164" s="88"/>
      <c r="I164" s="88"/>
      <c r="K164" s="88"/>
      <c r="M164" s="4"/>
      <c r="N164" s="4"/>
    </row>
    <row r="165" ht="15.75" customHeight="1">
      <c r="B165" s="88"/>
      <c r="C165" s="88"/>
      <c r="D165" s="88"/>
      <c r="E165" s="88"/>
      <c r="F165" s="4"/>
      <c r="G165" s="88"/>
      <c r="H165" s="88"/>
      <c r="I165" s="88"/>
      <c r="K165" s="88"/>
      <c r="M165" s="4"/>
      <c r="N165" s="4"/>
    </row>
    <row r="166" ht="15.75" customHeight="1">
      <c r="B166" s="88"/>
      <c r="C166" s="88"/>
      <c r="D166" s="88"/>
      <c r="E166" s="88"/>
      <c r="F166" s="4"/>
      <c r="G166" s="88"/>
      <c r="H166" s="88"/>
      <c r="I166" s="88"/>
      <c r="K166" s="88"/>
      <c r="M166" s="4"/>
      <c r="N166" s="4"/>
    </row>
    <row r="167" ht="15.75" customHeight="1">
      <c r="B167" s="88"/>
      <c r="C167" s="88"/>
      <c r="D167" s="88"/>
      <c r="E167" s="88"/>
      <c r="F167" s="4"/>
      <c r="G167" s="88"/>
      <c r="H167" s="88"/>
      <c r="I167" s="88"/>
      <c r="K167" s="88"/>
      <c r="M167" s="4"/>
      <c r="N167" s="4"/>
    </row>
    <row r="168" ht="15.75" customHeight="1">
      <c r="B168" s="88"/>
      <c r="C168" s="88"/>
      <c r="D168" s="88"/>
      <c r="E168" s="88"/>
      <c r="F168" s="4"/>
      <c r="G168" s="88"/>
      <c r="H168" s="88"/>
      <c r="I168" s="88"/>
      <c r="K168" s="88"/>
      <c r="M168" s="4"/>
      <c r="N168" s="4"/>
    </row>
    <row r="169" ht="15.75" customHeight="1">
      <c r="B169" s="88"/>
      <c r="C169" s="88"/>
      <c r="D169" s="88"/>
      <c r="E169" s="88"/>
      <c r="F169" s="4"/>
      <c r="G169" s="88"/>
      <c r="H169" s="88"/>
      <c r="I169" s="88"/>
      <c r="K169" s="88"/>
      <c r="M169" s="4"/>
      <c r="N169" s="4"/>
    </row>
    <row r="170" ht="15.75" customHeight="1">
      <c r="B170" s="88"/>
      <c r="C170" s="88"/>
      <c r="D170" s="88"/>
      <c r="E170" s="88"/>
      <c r="F170" s="4"/>
      <c r="G170" s="88"/>
      <c r="H170" s="88"/>
      <c r="I170" s="88"/>
      <c r="K170" s="88"/>
      <c r="M170" s="4"/>
      <c r="N170" s="4"/>
    </row>
    <row r="171" ht="15.75" customHeight="1">
      <c r="B171" s="88"/>
      <c r="C171" s="88"/>
      <c r="D171" s="88"/>
      <c r="E171" s="88"/>
      <c r="F171" s="4"/>
      <c r="G171" s="88"/>
      <c r="H171" s="88"/>
      <c r="I171" s="88"/>
      <c r="K171" s="88"/>
      <c r="M171" s="4"/>
      <c r="N171" s="4"/>
    </row>
    <row r="172" ht="15.75" customHeight="1">
      <c r="B172" s="88"/>
      <c r="C172" s="88"/>
      <c r="D172" s="88"/>
      <c r="E172" s="88"/>
      <c r="F172" s="4"/>
      <c r="G172" s="88"/>
      <c r="H172" s="88"/>
      <c r="I172" s="88"/>
      <c r="K172" s="88"/>
      <c r="M172" s="4"/>
      <c r="N172" s="4"/>
    </row>
    <row r="173" ht="15.75" customHeight="1">
      <c r="B173" s="88"/>
      <c r="C173" s="88"/>
      <c r="D173" s="88"/>
      <c r="E173" s="88"/>
      <c r="F173" s="4"/>
      <c r="G173" s="88"/>
      <c r="H173" s="88"/>
      <c r="I173" s="88"/>
      <c r="K173" s="88"/>
      <c r="M173" s="4"/>
      <c r="N173" s="4"/>
    </row>
    <row r="174" ht="15.75" customHeight="1">
      <c r="B174" s="88"/>
      <c r="C174" s="88"/>
      <c r="D174" s="88"/>
      <c r="E174" s="88"/>
      <c r="F174" s="4"/>
      <c r="G174" s="88"/>
      <c r="H174" s="88"/>
      <c r="I174" s="88"/>
      <c r="K174" s="88"/>
      <c r="M174" s="4"/>
      <c r="N174" s="4"/>
    </row>
    <row r="175" ht="15.75" customHeight="1">
      <c r="B175" s="88"/>
      <c r="C175" s="88"/>
      <c r="D175" s="88"/>
      <c r="E175" s="88"/>
      <c r="F175" s="4"/>
      <c r="G175" s="88"/>
      <c r="H175" s="88"/>
      <c r="I175" s="88"/>
      <c r="K175" s="88"/>
      <c r="M175" s="4"/>
      <c r="N175" s="4"/>
    </row>
    <row r="176" ht="15.75" customHeight="1">
      <c r="B176" s="88"/>
      <c r="C176" s="88"/>
      <c r="D176" s="88"/>
      <c r="E176" s="88"/>
      <c r="F176" s="4"/>
      <c r="G176" s="88"/>
      <c r="H176" s="88"/>
      <c r="I176" s="88"/>
      <c r="K176" s="88"/>
      <c r="M176" s="4"/>
      <c r="N176" s="4"/>
    </row>
    <row r="177" ht="15.75" customHeight="1">
      <c r="B177" s="88"/>
      <c r="C177" s="88"/>
      <c r="D177" s="88"/>
      <c r="E177" s="88"/>
      <c r="F177" s="4"/>
      <c r="G177" s="88"/>
      <c r="H177" s="88"/>
      <c r="I177" s="88"/>
      <c r="K177" s="88"/>
      <c r="M177" s="4"/>
      <c r="N177" s="4"/>
    </row>
    <row r="178" ht="15.75" customHeight="1">
      <c r="B178" s="88"/>
      <c r="C178" s="88"/>
      <c r="D178" s="88"/>
      <c r="E178" s="88"/>
      <c r="F178" s="4"/>
      <c r="G178" s="88"/>
      <c r="H178" s="88"/>
      <c r="I178" s="88"/>
      <c r="K178" s="88"/>
      <c r="M178" s="4"/>
      <c r="N178" s="4"/>
    </row>
    <row r="179" ht="15.75" customHeight="1">
      <c r="B179" s="88"/>
      <c r="C179" s="88"/>
      <c r="D179" s="88"/>
      <c r="E179" s="88"/>
      <c r="F179" s="4"/>
      <c r="G179" s="88"/>
      <c r="H179" s="88"/>
      <c r="I179" s="88"/>
      <c r="K179" s="88"/>
      <c r="M179" s="4"/>
      <c r="N179" s="4"/>
    </row>
    <row r="180" ht="15.75" customHeight="1">
      <c r="B180" s="88"/>
      <c r="C180" s="88"/>
      <c r="D180" s="88"/>
      <c r="E180" s="88"/>
      <c r="F180" s="4"/>
      <c r="G180" s="88"/>
      <c r="H180" s="88"/>
      <c r="I180" s="88"/>
      <c r="K180" s="88"/>
      <c r="M180" s="4"/>
      <c r="N180" s="4"/>
    </row>
    <row r="181" ht="15.75" customHeight="1">
      <c r="B181" s="88"/>
      <c r="C181" s="88"/>
      <c r="D181" s="88"/>
      <c r="E181" s="88"/>
      <c r="F181" s="4"/>
      <c r="G181" s="88"/>
      <c r="H181" s="88"/>
      <c r="I181" s="88"/>
      <c r="K181" s="88"/>
      <c r="M181" s="4"/>
      <c r="N181" s="4"/>
    </row>
    <row r="182" ht="15.75" customHeight="1">
      <c r="B182" s="88"/>
      <c r="C182" s="88"/>
      <c r="D182" s="88"/>
      <c r="E182" s="88"/>
      <c r="F182" s="4"/>
      <c r="G182" s="88"/>
      <c r="H182" s="88"/>
      <c r="I182" s="88"/>
      <c r="K182" s="88"/>
      <c r="M182" s="4"/>
      <c r="N182" s="4"/>
    </row>
    <row r="183" ht="15.75" customHeight="1">
      <c r="B183" s="88"/>
      <c r="C183" s="88"/>
      <c r="D183" s="88"/>
      <c r="E183" s="88"/>
      <c r="F183" s="4"/>
      <c r="G183" s="88"/>
      <c r="H183" s="88"/>
      <c r="I183" s="88"/>
      <c r="K183" s="88"/>
      <c r="M183" s="4"/>
      <c r="N183" s="4"/>
    </row>
    <row r="184" ht="15.75" customHeight="1">
      <c r="B184" s="88"/>
      <c r="C184" s="88"/>
      <c r="D184" s="88"/>
      <c r="E184" s="88"/>
      <c r="F184" s="4"/>
      <c r="G184" s="88"/>
      <c r="H184" s="88"/>
      <c r="I184" s="88"/>
      <c r="K184" s="88"/>
      <c r="M184" s="4"/>
      <c r="N184" s="4"/>
    </row>
    <row r="185" ht="15.75" customHeight="1">
      <c r="B185" s="88"/>
      <c r="C185" s="88"/>
      <c r="D185" s="88"/>
      <c r="E185" s="88"/>
      <c r="F185" s="4"/>
      <c r="G185" s="88"/>
      <c r="H185" s="88"/>
      <c r="I185" s="88"/>
      <c r="K185" s="88"/>
      <c r="M185" s="4"/>
      <c r="N185" s="4"/>
    </row>
    <row r="186" ht="15.75" customHeight="1">
      <c r="B186" s="88"/>
      <c r="C186" s="88"/>
      <c r="D186" s="88"/>
      <c r="E186" s="88"/>
      <c r="F186" s="4"/>
      <c r="G186" s="88"/>
      <c r="H186" s="88"/>
      <c r="I186" s="88"/>
      <c r="K186" s="88"/>
      <c r="M186" s="4"/>
      <c r="N186" s="4"/>
    </row>
    <row r="187" ht="15.75" customHeight="1">
      <c r="B187" s="88"/>
      <c r="C187" s="88"/>
      <c r="D187" s="88"/>
      <c r="E187" s="88"/>
      <c r="F187" s="4"/>
      <c r="G187" s="88"/>
      <c r="H187" s="88"/>
      <c r="I187" s="88"/>
      <c r="K187" s="88"/>
      <c r="M187" s="4"/>
      <c r="N187" s="4"/>
    </row>
    <row r="188" ht="15.75" customHeight="1">
      <c r="B188" s="88"/>
      <c r="C188" s="88"/>
      <c r="D188" s="88"/>
      <c r="E188" s="88"/>
      <c r="F188" s="4"/>
      <c r="G188" s="88"/>
      <c r="H188" s="88"/>
      <c r="I188" s="88"/>
      <c r="K188" s="88"/>
      <c r="M188" s="4"/>
      <c r="N188" s="4"/>
    </row>
    <row r="189" ht="15.75" customHeight="1">
      <c r="B189" s="88"/>
      <c r="C189" s="88"/>
      <c r="D189" s="88"/>
      <c r="E189" s="88"/>
      <c r="F189" s="4"/>
      <c r="G189" s="88"/>
      <c r="H189" s="88"/>
      <c r="I189" s="88"/>
      <c r="K189" s="88"/>
      <c r="M189" s="4"/>
      <c r="N189" s="4"/>
    </row>
    <row r="190" ht="15.75" customHeight="1">
      <c r="B190" s="88"/>
      <c r="C190" s="88"/>
      <c r="D190" s="88"/>
      <c r="E190" s="88"/>
      <c r="F190" s="4"/>
      <c r="G190" s="88"/>
      <c r="H190" s="88"/>
      <c r="I190" s="88"/>
      <c r="K190" s="88"/>
      <c r="M190" s="4"/>
      <c r="N190" s="4"/>
    </row>
    <row r="191" ht="15.75" customHeight="1">
      <c r="B191" s="88"/>
      <c r="C191" s="88"/>
      <c r="D191" s="88"/>
      <c r="E191" s="88"/>
      <c r="F191" s="4"/>
      <c r="G191" s="88"/>
      <c r="H191" s="88"/>
      <c r="I191" s="88"/>
      <c r="K191" s="88"/>
      <c r="M191" s="4"/>
      <c r="N191" s="4"/>
    </row>
    <row r="192" ht="15.75" customHeight="1">
      <c r="B192" s="88"/>
      <c r="C192" s="88"/>
      <c r="D192" s="88"/>
      <c r="E192" s="88"/>
      <c r="F192" s="4"/>
      <c r="G192" s="88"/>
      <c r="H192" s="88"/>
      <c r="I192" s="88"/>
      <c r="K192" s="88"/>
      <c r="M192" s="4"/>
      <c r="N192" s="4"/>
    </row>
    <row r="193" ht="15.75" customHeight="1">
      <c r="B193" s="88"/>
      <c r="C193" s="88"/>
      <c r="D193" s="88"/>
      <c r="E193" s="88"/>
      <c r="F193" s="4"/>
      <c r="G193" s="88"/>
      <c r="H193" s="88"/>
      <c r="I193" s="88"/>
      <c r="K193" s="88"/>
      <c r="M193" s="4"/>
      <c r="N193" s="4"/>
    </row>
    <row r="194" ht="15.75" customHeight="1">
      <c r="B194" s="88"/>
      <c r="C194" s="88"/>
      <c r="D194" s="88"/>
      <c r="E194" s="88"/>
      <c r="F194" s="4"/>
      <c r="G194" s="88"/>
      <c r="H194" s="88"/>
      <c r="I194" s="88"/>
      <c r="K194" s="88"/>
      <c r="M194" s="4"/>
      <c r="N194" s="4"/>
    </row>
    <row r="195" ht="15.75" customHeight="1">
      <c r="B195" s="88"/>
      <c r="C195" s="88"/>
      <c r="D195" s="88"/>
      <c r="E195" s="88"/>
      <c r="F195" s="4"/>
      <c r="G195" s="88"/>
      <c r="H195" s="88"/>
      <c r="I195" s="88"/>
      <c r="K195" s="88"/>
      <c r="M195" s="4"/>
      <c r="N195" s="4"/>
    </row>
    <row r="196" ht="15.75" customHeight="1">
      <c r="B196" s="88"/>
      <c r="C196" s="88"/>
      <c r="D196" s="88"/>
      <c r="E196" s="88"/>
      <c r="F196" s="4"/>
      <c r="G196" s="88"/>
      <c r="H196" s="88"/>
      <c r="I196" s="88"/>
      <c r="K196" s="88"/>
      <c r="M196" s="4"/>
      <c r="N196" s="4"/>
    </row>
    <row r="197" ht="15.75" customHeight="1">
      <c r="B197" s="88"/>
      <c r="C197" s="88"/>
      <c r="D197" s="88"/>
      <c r="E197" s="88"/>
      <c r="F197" s="4"/>
      <c r="G197" s="88"/>
      <c r="H197" s="88"/>
      <c r="I197" s="88"/>
      <c r="K197" s="88"/>
      <c r="M197" s="4"/>
      <c r="N197" s="4"/>
    </row>
    <row r="198" ht="15.75" customHeight="1">
      <c r="B198" s="88"/>
      <c r="C198" s="88"/>
      <c r="D198" s="88"/>
      <c r="E198" s="88"/>
      <c r="F198" s="4"/>
      <c r="G198" s="88"/>
      <c r="H198" s="88"/>
      <c r="I198" s="88"/>
      <c r="K198" s="88"/>
      <c r="M198" s="4"/>
      <c r="N198" s="4"/>
    </row>
    <row r="199" ht="15.75" customHeight="1">
      <c r="B199" s="88"/>
      <c r="C199" s="88"/>
      <c r="D199" s="88"/>
      <c r="E199" s="88"/>
      <c r="F199" s="4"/>
      <c r="G199" s="88"/>
      <c r="H199" s="88"/>
      <c r="I199" s="88"/>
      <c r="K199" s="88"/>
      <c r="M199" s="4"/>
      <c r="N199" s="4"/>
    </row>
    <row r="200" ht="15.75" customHeight="1">
      <c r="B200" s="88"/>
      <c r="C200" s="88"/>
      <c r="D200" s="88"/>
      <c r="E200" s="88"/>
      <c r="F200" s="4"/>
      <c r="G200" s="88"/>
      <c r="H200" s="88"/>
      <c r="I200" s="88"/>
      <c r="K200" s="88"/>
      <c r="M200" s="4"/>
      <c r="N200" s="4"/>
    </row>
    <row r="201" ht="15.75" customHeight="1">
      <c r="B201" s="88"/>
      <c r="C201" s="88"/>
      <c r="D201" s="88"/>
      <c r="E201" s="88"/>
      <c r="F201" s="4"/>
      <c r="G201" s="88"/>
      <c r="H201" s="88"/>
      <c r="I201" s="88"/>
      <c r="K201" s="88"/>
      <c r="M201" s="4"/>
      <c r="N201" s="4"/>
    </row>
    <row r="202" ht="15.75" customHeight="1">
      <c r="B202" s="88"/>
      <c r="C202" s="88"/>
      <c r="D202" s="88"/>
      <c r="E202" s="88"/>
      <c r="F202" s="4"/>
      <c r="G202" s="88"/>
      <c r="H202" s="88"/>
      <c r="I202" s="88"/>
      <c r="K202" s="88"/>
      <c r="M202" s="4"/>
      <c r="N202" s="4"/>
    </row>
    <row r="203" ht="15.75" customHeight="1">
      <c r="B203" s="88"/>
      <c r="C203" s="88"/>
      <c r="D203" s="88"/>
      <c r="E203" s="88"/>
      <c r="F203" s="4"/>
      <c r="G203" s="88"/>
      <c r="H203" s="88"/>
      <c r="I203" s="88"/>
      <c r="K203" s="88"/>
      <c r="M203" s="4"/>
      <c r="N203" s="4"/>
    </row>
    <row r="204" ht="15.75" customHeight="1">
      <c r="B204" s="88"/>
      <c r="C204" s="88"/>
      <c r="D204" s="88"/>
      <c r="E204" s="88"/>
      <c r="F204" s="4"/>
      <c r="G204" s="88"/>
      <c r="H204" s="88"/>
      <c r="I204" s="88"/>
      <c r="K204" s="88"/>
      <c r="M204" s="4"/>
      <c r="N204" s="4"/>
    </row>
    <row r="205" ht="15.75" customHeight="1">
      <c r="B205" s="88"/>
      <c r="C205" s="88"/>
      <c r="D205" s="88"/>
      <c r="E205" s="88"/>
      <c r="F205" s="4"/>
      <c r="G205" s="88"/>
      <c r="H205" s="88"/>
      <c r="I205" s="88"/>
      <c r="K205" s="88"/>
      <c r="M205" s="4"/>
      <c r="N205" s="4"/>
    </row>
    <row r="206" ht="15.75" customHeight="1">
      <c r="B206" s="88"/>
      <c r="C206" s="88"/>
      <c r="D206" s="88"/>
      <c r="E206" s="88"/>
      <c r="F206" s="4"/>
      <c r="G206" s="88"/>
      <c r="H206" s="88"/>
      <c r="I206" s="88"/>
      <c r="K206" s="88"/>
      <c r="M206" s="4"/>
      <c r="N206" s="4"/>
    </row>
    <row r="207" ht="15.75" customHeight="1">
      <c r="B207" s="88"/>
      <c r="C207" s="88"/>
      <c r="D207" s="88"/>
      <c r="E207" s="88"/>
      <c r="F207" s="4"/>
      <c r="G207" s="88"/>
      <c r="H207" s="88"/>
      <c r="I207" s="88"/>
      <c r="K207" s="88"/>
      <c r="M207" s="4"/>
      <c r="N207" s="4"/>
    </row>
    <row r="208" ht="15.75" customHeight="1">
      <c r="B208" s="88"/>
      <c r="C208" s="88"/>
      <c r="D208" s="88"/>
      <c r="E208" s="88"/>
      <c r="F208" s="4"/>
      <c r="G208" s="88"/>
      <c r="H208" s="88"/>
      <c r="I208" s="88"/>
      <c r="K208" s="88"/>
      <c r="M208" s="4"/>
      <c r="N208" s="4"/>
    </row>
    <row r="209" ht="15.75" customHeight="1">
      <c r="B209" s="88"/>
      <c r="C209" s="88"/>
      <c r="D209" s="88"/>
      <c r="E209" s="88"/>
      <c r="F209" s="4"/>
      <c r="G209" s="88"/>
      <c r="H209" s="88"/>
      <c r="I209" s="88"/>
      <c r="K209" s="88"/>
      <c r="M209" s="4"/>
      <c r="N209" s="4"/>
    </row>
    <row r="210" ht="15.75" customHeight="1">
      <c r="B210" s="88"/>
      <c r="C210" s="88"/>
      <c r="D210" s="88"/>
      <c r="E210" s="88"/>
      <c r="F210" s="4"/>
      <c r="G210" s="88"/>
      <c r="H210" s="88"/>
      <c r="I210" s="88"/>
      <c r="K210" s="88"/>
      <c r="M210" s="4"/>
      <c r="N210" s="4"/>
    </row>
    <row r="211" ht="15.75" customHeight="1">
      <c r="B211" s="88"/>
      <c r="C211" s="88"/>
      <c r="D211" s="88"/>
      <c r="E211" s="88"/>
      <c r="F211" s="4"/>
      <c r="G211" s="88"/>
      <c r="H211" s="88"/>
      <c r="I211" s="88"/>
      <c r="K211" s="88"/>
      <c r="M211" s="4"/>
      <c r="N211" s="4"/>
    </row>
    <row r="212" ht="15.75" customHeight="1">
      <c r="B212" s="88"/>
      <c r="C212" s="88"/>
      <c r="D212" s="88"/>
      <c r="E212" s="88"/>
      <c r="F212" s="4"/>
      <c r="G212" s="88"/>
      <c r="H212" s="88"/>
      <c r="I212" s="88"/>
      <c r="K212" s="88"/>
      <c r="M212" s="4"/>
      <c r="N212" s="4"/>
    </row>
    <row r="213" ht="15.75" customHeight="1">
      <c r="B213" s="88"/>
      <c r="C213" s="88"/>
      <c r="D213" s="88"/>
      <c r="E213" s="88"/>
      <c r="F213" s="4"/>
      <c r="G213" s="88"/>
      <c r="H213" s="88"/>
      <c r="I213" s="88"/>
      <c r="K213" s="88"/>
      <c r="M213" s="4"/>
      <c r="N213" s="4"/>
    </row>
    <row r="214" ht="15.75" customHeight="1">
      <c r="B214" s="88"/>
      <c r="C214" s="88"/>
      <c r="D214" s="88"/>
      <c r="E214" s="88"/>
      <c r="F214" s="4"/>
      <c r="G214" s="88"/>
      <c r="H214" s="88"/>
      <c r="I214" s="88"/>
      <c r="K214" s="88"/>
      <c r="M214" s="4"/>
      <c r="N214" s="4"/>
    </row>
    <row r="215" ht="15.75" customHeight="1">
      <c r="B215" s="88"/>
      <c r="C215" s="88"/>
      <c r="D215" s="88"/>
      <c r="E215" s="88"/>
      <c r="F215" s="4"/>
      <c r="G215" s="88"/>
      <c r="H215" s="88"/>
      <c r="I215" s="88"/>
      <c r="K215" s="88"/>
      <c r="M215" s="4"/>
      <c r="N215" s="4"/>
    </row>
    <row r="216" ht="15.75" customHeight="1">
      <c r="B216" s="88"/>
      <c r="C216" s="88"/>
      <c r="D216" s="88"/>
      <c r="E216" s="88"/>
      <c r="F216" s="4"/>
      <c r="G216" s="88"/>
      <c r="H216" s="88"/>
      <c r="I216" s="88"/>
      <c r="K216" s="88"/>
      <c r="M216" s="4"/>
      <c r="N216" s="4"/>
    </row>
    <row r="217" ht="15.75" customHeight="1">
      <c r="B217" s="88"/>
      <c r="C217" s="88"/>
      <c r="D217" s="88"/>
      <c r="E217" s="88"/>
      <c r="F217" s="4"/>
      <c r="G217" s="88"/>
      <c r="H217" s="88"/>
      <c r="I217" s="88"/>
      <c r="K217" s="88"/>
      <c r="M217" s="4"/>
      <c r="N217" s="4"/>
    </row>
    <row r="218" ht="15.75" customHeight="1">
      <c r="B218" s="88"/>
      <c r="C218" s="88"/>
      <c r="D218" s="88"/>
      <c r="E218" s="88"/>
      <c r="F218" s="4"/>
      <c r="G218" s="88"/>
      <c r="H218" s="88"/>
      <c r="I218" s="88"/>
      <c r="K218" s="88"/>
      <c r="M218" s="4"/>
      <c r="N218" s="4"/>
    </row>
    <row r="219" ht="15.75" customHeight="1">
      <c r="B219" s="88"/>
      <c r="C219" s="88"/>
      <c r="D219" s="88"/>
      <c r="E219" s="88"/>
      <c r="F219" s="4"/>
      <c r="G219" s="88"/>
      <c r="H219" s="88"/>
      <c r="I219" s="88"/>
      <c r="K219" s="88"/>
      <c r="M219" s="4"/>
      <c r="N219" s="4"/>
    </row>
    <row r="220" ht="15.75" customHeight="1">
      <c r="B220" s="88"/>
      <c r="C220" s="88"/>
      <c r="D220" s="88"/>
      <c r="E220" s="88"/>
      <c r="F220" s="4"/>
      <c r="G220" s="88"/>
      <c r="H220" s="88"/>
      <c r="I220" s="88"/>
      <c r="K220" s="88"/>
      <c r="M220" s="4"/>
      <c r="N220" s="4"/>
    </row>
    <row r="221" ht="15.75" customHeight="1">
      <c r="B221" s="88"/>
      <c r="C221" s="88"/>
      <c r="D221" s="88"/>
      <c r="E221" s="88"/>
      <c r="F221" s="4"/>
      <c r="G221" s="88"/>
      <c r="H221" s="88"/>
      <c r="I221" s="88"/>
      <c r="K221" s="88"/>
      <c r="M221" s="4"/>
      <c r="N221" s="4"/>
    </row>
    <row r="222" ht="15.75" customHeight="1">
      <c r="B222" s="88"/>
      <c r="C222" s="88"/>
      <c r="D222" s="88"/>
      <c r="E222" s="88"/>
      <c r="F222" s="4"/>
      <c r="G222" s="88"/>
      <c r="H222" s="88"/>
      <c r="I222" s="88"/>
      <c r="K222" s="88"/>
      <c r="M222" s="4"/>
      <c r="N222" s="4"/>
    </row>
    <row r="223" ht="15.75" customHeight="1">
      <c r="B223" s="88"/>
      <c r="C223" s="88"/>
      <c r="D223" s="88"/>
      <c r="E223" s="88"/>
      <c r="F223" s="4"/>
      <c r="G223" s="88"/>
      <c r="H223" s="88"/>
      <c r="I223" s="88"/>
      <c r="K223" s="88"/>
      <c r="M223" s="4"/>
      <c r="N223" s="4"/>
    </row>
    <row r="224" ht="15.75" customHeight="1">
      <c r="B224" s="88"/>
      <c r="C224" s="88"/>
      <c r="D224" s="88"/>
      <c r="E224" s="88"/>
      <c r="F224" s="4"/>
      <c r="G224" s="88"/>
      <c r="H224" s="88"/>
      <c r="I224" s="88"/>
      <c r="K224" s="88"/>
      <c r="M224" s="4"/>
      <c r="N224" s="4"/>
    </row>
    <row r="225" ht="15.75" customHeight="1">
      <c r="B225" s="88"/>
      <c r="C225" s="88"/>
      <c r="D225" s="88"/>
      <c r="E225" s="88"/>
      <c r="F225" s="4"/>
      <c r="G225" s="88"/>
      <c r="H225" s="88"/>
      <c r="I225" s="88"/>
      <c r="K225" s="88"/>
      <c r="M225" s="4"/>
      <c r="N225" s="4"/>
    </row>
    <row r="226" ht="15.75" customHeight="1">
      <c r="B226" s="88"/>
      <c r="C226" s="88"/>
      <c r="D226" s="88"/>
      <c r="E226" s="88"/>
      <c r="F226" s="4"/>
      <c r="G226" s="88"/>
      <c r="H226" s="88"/>
      <c r="I226" s="88"/>
      <c r="K226" s="88"/>
      <c r="M226" s="4"/>
      <c r="N226" s="4"/>
    </row>
    <row r="227" ht="15.75" customHeight="1">
      <c r="B227" s="88"/>
      <c r="C227" s="88"/>
      <c r="D227" s="88"/>
      <c r="E227" s="88"/>
      <c r="F227" s="4"/>
      <c r="G227" s="88"/>
      <c r="H227" s="88"/>
      <c r="I227" s="88"/>
      <c r="K227" s="88"/>
      <c r="M227" s="4"/>
      <c r="N227" s="4"/>
    </row>
    <row r="228" ht="15.75" customHeight="1">
      <c r="B228" s="88"/>
      <c r="C228" s="88"/>
      <c r="D228" s="88"/>
      <c r="E228" s="88"/>
      <c r="F228" s="4"/>
      <c r="G228" s="88"/>
      <c r="H228" s="88"/>
      <c r="I228" s="88"/>
      <c r="K228" s="88"/>
      <c r="M228" s="4"/>
      <c r="N228" s="4"/>
    </row>
    <row r="229" ht="15.75" customHeight="1">
      <c r="B229" s="88"/>
      <c r="C229" s="88"/>
      <c r="D229" s="88"/>
      <c r="E229" s="88"/>
      <c r="F229" s="4"/>
      <c r="G229" s="88"/>
      <c r="H229" s="88"/>
      <c r="I229" s="88"/>
      <c r="K229" s="88"/>
      <c r="M229" s="4"/>
      <c r="N229" s="4"/>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J1:N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0"/>
  <cols>
    <col customWidth="1" min="1" max="1" width="4.13"/>
    <col customWidth="1" min="2" max="10" width="26.13"/>
    <col customWidth="1" min="11" max="13" width="38.88"/>
    <col customWidth="1" min="14" max="15" width="56.5"/>
  </cols>
  <sheetData>
    <row r="1" ht="15.75" customHeight="1">
      <c r="A1" s="89"/>
      <c r="B1" s="89"/>
      <c r="C1" s="89"/>
      <c r="D1" s="89"/>
      <c r="E1" s="89"/>
      <c r="F1" s="89"/>
      <c r="G1" s="89"/>
      <c r="H1" s="89"/>
      <c r="I1" s="89"/>
      <c r="J1" s="89"/>
      <c r="K1" s="90"/>
      <c r="L1" s="90"/>
      <c r="M1" s="90"/>
      <c r="N1" s="90"/>
      <c r="O1" s="90"/>
    </row>
    <row r="2" ht="15.75" customHeight="1">
      <c r="A2" s="89"/>
      <c r="B2" s="89"/>
      <c r="C2" s="89"/>
      <c r="D2" s="89"/>
      <c r="E2" s="89"/>
      <c r="F2" s="89"/>
      <c r="G2" s="89"/>
      <c r="H2" s="89"/>
      <c r="I2" s="89"/>
      <c r="J2" s="91"/>
      <c r="K2" s="92" t="s">
        <v>1427</v>
      </c>
      <c r="L2" s="93"/>
      <c r="M2" s="93"/>
      <c r="N2" s="93"/>
      <c r="O2" s="94"/>
    </row>
    <row r="3" ht="33.75" customHeight="1">
      <c r="A3" s="89"/>
      <c r="B3" s="90"/>
      <c r="C3" s="90"/>
      <c r="D3" s="90"/>
      <c r="E3" s="90"/>
      <c r="F3" s="90"/>
      <c r="G3" s="90"/>
      <c r="H3" s="90"/>
      <c r="I3" s="90"/>
      <c r="J3" s="95"/>
      <c r="K3" s="96" t="s">
        <v>1428</v>
      </c>
      <c r="L3" s="93"/>
      <c r="M3" s="94"/>
      <c r="N3" s="96" t="str">
        <f>IFERROR(__xludf.DUMMYFUNCTION("IF(ISBLANK(K3), """", GOOGLETRANSLATE(K3, ""es"", ""en""))"),"Public investment budget data")</f>
        <v>Public investment budget data</v>
      </c>
      <c r="O3" s="94"/>
    </row>
    <row r="4" ht="15.75" customHeight="1">
      <c r="A4" s="91"/>
      <c r="B4" s="97" t="s">
        <v>1290</v>
      </c>
      <c r="C4" s="97" t="s">
        <v>1291</v>
      </c>
      <c r="D4" s="97" t="s">
        <v>1292</v>
      </c>
      <c r="E4" s="97" t="s">
        <v>1293</v>
      </c>
      <c r="F4" s="98" t="s">
        <v>1294</v>
      </c>
      <c r="G4" s="99" t="s">
        <v>1290</v>
      </c>
      <c r="H4" s="99" t="s">
        <v>1291</v>
      </c>
      <c r="I4" s="99" t="s">
        <v>1292</v>
      </c>
      <c r="J4" s="99" t="s">
        <v>1293</v>
      </c>
      <c r="K4" s="100" t="s">
        <v>1294</v>
      </c>
      <c r="L4" s="100" t="s">
        <v>1295</v>
      </c>
      <c r="M4" s="100" t="s">
        <v>40</v>
      </c>
      <c r="N4" s="100" t="s">
        <v>1429</v>
      </c>
      <c r="O4" s="100" t="s">
        <v>1430</v>
      </c>
    </row>
    <row r="5" ht="15.75" customHeight="1">
      <c r="A5" s="91"/>
      <c r="B5" s="95"/>
      <c r="C5" s="95"/>
      <c r="D5" s="95"/>
      <c r="E5" s="95"/>
      <c r="F5" s="101" t="s">
        <v>1431</v>
      </c>
      <c r="G5" s="95" t="s">
        <v>1432</v>
      </c>
      <c r="H5" s="95" t="s">
        <v>1299</v>
      </c>
      <c r="I5" s="95" t="s">
        <v>1433</v>
      </c>
      <c r="J5" s="95" t="s">
        <v>60</v>
      </c>
      <c r="K5" s="102" t="s">
        <v>1431</v>
      </c>
      <c r="L5" s="103" t="s">
        <v>1434</v>
      </c>
      <c r="M5" s="103">
        <v>2023.0</v>
      </c>
      <c r="N5" s="104" t="s">
        <v>1435</v>
      </c>
      <c r="O5" s="103" t="str">
        <f>IFERROR(__xludf.DUMMYFUNCTION("IF(ISBLANK(N5), """", GOOGLETRANSLATE(N5, ""es"", ""en""))"),"The year to which the information registered in the database corresponds.")</f>
        <v>The year to which the information registered in the database corresponds.</v>
      </c>
    </row>
    <row r="6" ht="15.75" customHeight="1">
      <c r="A6" s="91"/>
      <c r="B6" s="95"/>
      <c r="C6" s="95"/>
      <c r="D6" s="95"/>
      <c r="E6" s="95"/>
      <c r="F6" s="101" t="s">
        <v>1431</v>
      </c>
      <c r="G6" s="95" t="s">
        <v>1436</v>
      </c>
      <c r="H6" s="95" t="s">
        <v>1299</v>
      </c>
      <c r="I6" s="95" t="s">
        <v>1437</v>
      </c>
      <c r="J6" s="95" t="s">
        <v>1438</v>
      </c>
      <c r="K6" s="102" t="s">
        <v>1431</v>
      </c>
      <c r="L6" s="103" t="s">
        <v>1437</v>
      </c>
      <c r="M6" s="103" t="s">
        <v>1439</v>
      </c>
      <c r="N6" s="104" t="s">
        <v>1440</v>
      </c>
      <c r="O6" s="103" t="str">
        <f>IFERROR(__xludf.DUMMYFUNCTION("IF(ISBLANK(N6), """", GOOGLETRANSLATE(N6, ""es"", ""en""))"),"The unique code that identifies an institution within the system or set of institutions.")</f>
        <v>The unique code that identifies an institution within the system or set of institutions.</v>
      </c>
    </row>
    <row r="7" ht="15.75" customHeight="1">
      <c r="A7" s="91"/>
      <c r="B7" s="95"/>
      <c r="C7" s="95"/>
      <c r="D7" s="95"/>
      <c r="E7" s="95"/>
      <c r="F7" s="101" t="s">
        <v>1431</v>
      </c>
      <c r="G7" s="95" t="s">
        <v>1436</v>
      </c>
      <c r="H7" s="95" t="s">
        <v>1299</v>
      </c>
      <c r="I7" s="95" t="s">
        <v>1441</v>
      </c>
      <c r="J7" s="95" t="s">
        <v>1442</v>
      </c>
      <c r="K7" s="102" t="s">
        <v>1431</v>
      </c>
      <c r="L7" s="103" t="s">
        <v>1441</v>
      </c>
      <c r="M7" s="103" t="s">
        <v>988</v>
      </c>
      <c r="N7" s="105" t="s">
        <v>1443</v>
      </c>
      <c r="O7" s="103" t="str">
        <f>IFERROR(__xludf.DUMMYFUNCTION("IF(ISBLANK(N7), """", GOOGLETRANSLATE(N7, ""es"", ""en""))"),"Name or identification of the institution to which the registered information belongs.")</f>
        <v>Name or identification of the institution to which the registered information belongs.</v>
      </c>
    </row>
    <row r="8" ht="15.75" customHeight="1">
      <c r="A8" s="91"/>
      <c r="B8" s="95"/>
      <c r="C8" s="95"/>
      <c r="D8" s="95"/>
      <c r="E8" s="95"/>
      <c r="F8" s="101" t="s">
        <v>1431</v>
      </c>
      <c r="G8" s="95"/>
      <c r="H8" s="95"/>
      <c r="I8" s="95"/>
      <c r="J8" s="95" t="s">
        <v>1421</v>
      </c>
      <c r="K8" s="102" t="s">
        <v>1444</v>
      </c>
      <c r="L8" s="103" t="s">
        <v>1445</v>
      </c>
      <c r="M8" s="103" t="s">
        <v>1446</v>
      </c>
      <c r="N8" s="104" t="s">
        <v>1447</v>
      </c>
      <c r="O8" s="103" t="str">
        <f>IFERROR(__xludf.DUMMYFUNCTION("IF(ISBLANK(N8), """", GOOGLETRANSLATE(N8, ""es"", ""en""))"),"Category that classifies the expense according to its nature or purpose.")</f>
        <v>Category that classifies the expense according to its nature or purpose.</v>
      </c>
    </row>
    <row r="9" ht="15.75" customHeight="1">
      <c r="A9" s="91"/>
      <c r="B9" s="95"/>
      <c r="C9" s="95"/>
      <c r="D9" s="95"/>
      <c r="E9" s="95"/>
      <c r="F9" s="101" t="s">
        <v>1431</v>
      </c>
      <c r="G9" s="95" t="s">
        <v>1448</v>
      </c>
      <c r="H9" s="95" t="s">
        <v>1299</v>
      </c>
      <c r="I9" s="95" t="s">
        <v>1449</v>
      </c>
      <c r="J9" s="95" t="s">
        <v>60</v>
      </c>
      <c r="K9" s="95"/>
      <c r="L9" s="103" t="s">
        <v>1450</v>
      </c>
      <c r="M9" s="103">
        <v>10.0</v>
      </c>
      <c r="N9" s="104" t="s">
        <v>1451</v>
      </c>
      <c r="O9" s="103" t="str">
        <f>IFERROR(__xludf.DUMMYFUNCTION("IF(ISBLANK(N9), """", GOOGLETRANSLATE(N9, ""es"", ""en""))"),"Code that identifies the source of financing the expense.")</f>
        <v>Code that identifies the source of financing the expense.</v>
      </c>
    </row>
    <row r="10" ht="15.75" customHeight="1">
      <c r="A10" s="91"/>
      <c r="B10" s="95"/>
      <c r="C10" s="95"/>
      <c r="D10" s="95"/>
      <c r="E10" s="95"/>
      <c r="F10" s="101" t="s">
        <v>1431</v>
      </c>
      <c r="G10" s="95" t="s">
        <v>1452</v>
      </c>
      <c r="H10" s="95" t="s">
        <v>1299</v>
      </c>
      <c r="I10" s="95" t="s">
        <v>1453</v>
      </c>
      <c r="J10" s="95" t="s">
        <v>1442</v>
      </c>
      <c r="K10" s="102" t="s">
        <v>1431</v>
      </c>
      <c r="L10" s="103" t="s">
        <v>1454</v>
      </c>
      <c r="M10" s="103" t="s">
        <v>1024</v>
      </c>
      <c r="N10" s="104" t="s">
        <v>1455</v>
      </c>
      <c r="O10" s="103" t="str">
        <f>IFERROR(__xludf.DUMMYFUNCTION("IF(ISBLANK(N10), """", GOOGLETRANSLATE(N10, ""es"", ""en""))"),"Description or identification of the source of financing the expense.")</f>
        <v>Description or identification of the source of financing the expense.</v>
      </c>
    </row>
    <row r="11" ht="15.75" customHeight="1">
      <c r="A11" s="91"/>
      <c r="B11" s="95"/>
      <c r="C11" s="95"/>
      <c r="D11" s="95"/>
      <c r="E11" s="95"/>
      <c r="F11" s="101" t="s">
        <v>1431</v>
      </c>
      <c r="G11" s="95" t="s">
        <v>1448</v>
      </c>
      <c r="H11" s="95" t="s">
        <v>1299</v>
      </c>
      <c r="I11" s="95" t="s">
        <v>1456</v>
      </c>
      <c r="J11" s="95" t="s">
        <v>1457</v>
      </c>
      <c r="K11" s="102" t="s">
        <v>1431</v>
      </c>
      <c r="L11" s="103" t="s">
        <v>1456</v>
      </c>
      <c r="M11" s="103">
        <v>100.0</v>
      </c>
      <c r="N11" s="104" t="s">
        <v>1458</v>
      </c>
      <c r="O11" s="103" t="str">
        <f>IFERROR(__xludf.DUMMYFUNCTION("IF(ISBLANK(N11), """", GOOGLETRANSLATE(N11, ""es"", ""en""))"),"Specific code that identifies the detailed financing source.")</f>
        <v>Specific code that identifies the detailed financing source.</v>
      </c>
    </row>
    <row r="12" ht="15.75" customHeight="1">
      <c r="A12" s="91"/>
      <c r="B12" s="95"/>
      <c r="C12" s="95"/>
      <c r="D12" s="95"/>
      <c r="E12" s="95"/>
      <c r="F12" s="101" t="s">
        <v>1431</v>
      </c>
      <c r="G12" s="95" t="s">
        <v>1448</v>
      </c>
      <c r="H12" s="95" t="s">
        <v>1299</v>
      </c>
      <c r="I12" s="95" t="s">
        <v>1459</v>
      </c>
      <c r="J12" s="95" t="s">
        <v>1314</v>
      </c>
      <c r="K12" s="102" t="s">
        <v>1431</v>
      </c>
      <c r="L12" s="103" t="s">
        <v>1459</v>
      </c>
      <c r="M12" s="103" t="s">
        <v>1024</v>
      </c>
      <c r="N12" s="104" t="s">
        <v>1460</v>
      </c>
      <c r="O12" s="103" t="str">
        <f>IFERROR(__xludf.DUMMYFUNCTION("IF(ISBLANK(N12), """", GOOGLETRANSLATE(N12, ""es"", ""en""))"),"Detailed description or specific identification of the funding source.")</f>
        <v>Detailed description or specific identification of the funding source.</v>
      </c>
    </row>
    <row r="13" ht="15.75" customHeight="1">
      <c r="A13" s="91"/>
      <c r="B13" s="95"/>
      <c r="C13" s="95"/>
      <c r="D13" s="95"/>
      <c r="E13" s="95"/>
      <c r="F13" s="101" t="s">
        <v>1431</v>
      </c>
      <c r="G13" s="95" t="s">
        <v>1461</v>
      </c>
      <c r="H13" s="95" t="s">
        <v>1299</v>
      </c>
      <c r="I13" s="95" t="s">
        <v>1462</v>
      </c>
      <c r="J13" s="95" t="s">
        <v>60</v>
      </c>
      <c r="K13" s="102" t="s">
        <v>1431</v>
      </c>
      <c r="L13" s="103" t="s">
        <v>1462</v>
      </c>
      <c r="M13" s="103">
        <v>100.0</v>
      </c>
      <c r="N13" s="104" t="s">
        <v>1463</v>
      </c>
      <c r="O13" s="103" t="str">
        <f>IFERROR(__xludf.DUMMYFUNCTION("IF(ISBLANK(N13), """", GOOGLETRANSLATE(N13, ""es"", ""en""))"),"Code that identifies the organization that provides the financing.")</f>
        <v>Code that identifies the organization that provides the financing.</v>
      </c>
    </row>
    <row r="14" ht="15.75" customHeight="1">
      <c r="A14" s="91"/>
      <c r="B14" s="95"/>
      <c r="C14" s="95"/>
      <c r="D14" s="95"/>
      <c r="E14" s="106"/>
      <c r="F14" s="101" t="s">
        <v>1431</v>
      </c>
      <c r="G14" s="95" t="s">
        <v>1461</v>
      </c>
      <c r="H14" s="95" t="s">
        <v>1299</v>
      </c>
      <c r="I14" s="95" t="s">
        <v>1391</v>
      </c>
      <c r="J14" s="95" t="s">
        <v>1442</v>
      </c>
      <c r="K14" s="102" t="s">
        <v>1431</v>
      </c>
      <c r="L14" s="103" t="s">
        <v>1391</v>
      </c>
      <c r="M14" s="103" t="s">
        <v>1019</v>
      </c>
      <c r="N14" s="104" t="s">
        <v>1464</v>
      </c>
      <c r="O14" s="103" t="str">
        <f>IFERROR(__xludf.DUMMYFUNCTION("IF(ISBLANK(N14), """", GOOGLETRANSLATE(N14, ""es"", ""en""))"),"Name or identification of the organization providing the financing.")</f>
        <v>Name or identification of the organization providing the financing.</v>
      </c>
      <c r="S14" s="107"/>
      <c r="T14" s="107"/>
    </row>
    <row r="15" ht="15.75" customHeight="1">
      <c r="A15" s="91"/>
      <c r="B15" s="95"/>
      <c r="C15" s="95"/>
      <c r="D15" s="95"/>
      <c r="E15" s="95"/>
      <c r="F15" s="101" t="s">
        <v>1431</v>
      </c>
      <c r="G15" s="95" t="s">
        <v>1448</v>
      </c>
      <c r="H15" s="95" t="s">
        <v>1299</v>
      </c>
      <c r="I15" s="95" t="s">
        <v>1465</v>
      </c>
      <c r="J15" s="95" t="s">
        <v>1457</v>
      </c>
      <c r="K15" s="102" t="s">
        <v>1431</v>
      </c>
      <c r="L15" s="103" t="s">
        <v>1465</v>
      </c>
      <c r="M15" s="103">
        <v>22.0</v>
      </c>
      <c r="N15" s="104" t="s">
        <v>1466</v>
      </c>
      <c r="O15" s="103" t="str">
        <f>IFERROR(__xludf.DUMMYFUNCTION("IF(ISBLANK(N15), """", GOOGLETRANSLATE(N15, ""es"", ""en""))"),"Code that identifies a specific program.")</f>
        <v>Code that identifies a specific program.</v>
      </c>
    </row>
    <row r="16" ht="15.75" customHeight="1">
      <c r="A16" s="91"/>
      <c r="B16" s="95"/>
      <c r="C16" s="95"/>
      <c r="D16" s="95"/>
      <c r="E16" s="95"/>
      <c r="F16" s="101" t="s">
        <v>1431</v>
      </c>
      <c r="G16" s="95" t="s">
        <v>1448</v>
      </c>
      <c r="H16" s="95" t="s">
        <v>1299</v>
      </c>
      <c r="I16" s="95" t="s">
        <v>1467</v>
      </c>
      <c r="J16" s="95" t="s">
        <v>1314</v>
      </c>
      <c r="K16" s="102" t="s">
        <v>1431</v>
      </c>
      <c r="L16" s="103" t="s">
        <v>1467</v>
      </c>
      <c r="M16" s="103" t="s">
        <v>996</v>
      </c>
      <c r="N16" s="104" t="s">
        <v>1468</v>
      </c>
      <c r="O16" s="103" t="str">
        <f>IFERROR(__xludf.DUMMYFUNCTION("IF(ISBLANK(N16), """", GOOGLETRANSLATE(N16, ""es"", ""en""))"),"Name or description of the program to which the expense is assigned.")</f>
        <v>Name or description of the program to which the expense is assigned.</v>
      </c>
    </row>
    <row r="17" ht="15.75" customHeight="1">
      <c r="A17" s="91"/>
      <c r="B17" s="95"/>
      <c r="C17" s="95"/>
      <c r="D17" s="95"/>
      <c r="E17" s="95"/>
      <c r="F17" s="101" t="s">
        <v>1431</v>
      </c>
      <c r="G17" s="95" t="s">
        <v>1448</v>
      </c>
      <c r="H17" s="95" t="s">
        <v>1299</v>
      </c>
      <c r="I17" s="95" t="s">
        <v>1469</v>
      </c>
      <c r="J17" s="95" t="s">
        <v>1457</v>
      </c>
      <c r="K17" s="102" t="s">
        <v>1431</v>
      </c>
      <c r="L17" s="103" t="s">
        <v>1470</v>
      </c>
      <c r="M17" s="103">
        <v>0.0</v>
      </c>
      <c r="N17" s="104" t="s">
        <v>1471</v>
      </c>
      <c r="O17" s="103" t="str">
        <f>IFERROR(__xludf.DUMMYFUNCTION("IF(ISBLANK(N17), """", GOOGLETRANSLATE(N17, ""es"", ""en""))"),"Code that identifies an applet within a program.")</f>
        <v>Code that identifies an applet within a program.</v>
      </c>
    </row>
    <row r="18" ht="15.75" customHeight="1">
      <c r="A18" s="91"/>
      <c r="B18" s="95"/>
      <c r="C18" s="95"/>
      <c r="D18" s="95"/>
      <c r="E18" s="95"/>
      <c r="F18" s="101" t="s">
        <v>1431</v>
      </c>
      <c r="G18" s="95" t="s">
        <v>1448</v>
      </c>
      <c r="H18" s="95" t="s">
        <v>1299</v>
      </c>
      <c r="I18" s="95" t="s">
        <v>1472</v>
      </c>
      <c r="J18" s="95" t="s">
        <v>1457</v>
      </c>
      <c r="K18" s="102" t="s">
        <v>1431</v>
      </c>
      <c r="L18" s="103" t="s">
        <v>1473</v>
      </c>
      <c r="M18" s="103" t="s">
        <v>1474</v>
      </c>
      <c r="N18" s="104" t="s">
        <v>1475</v>
      </c>
      <c r="O18" s="103" t="str">
        <f>IFERROR(__xludf.DUMMYFUNCTION("IF(ISBLANK(N18), """", GOOGLETRANSLATE(N18, ""es"", ""en""))"),"Name or description of the subprogram to which the expense is assigned.")</f>
        <v>Name or description of the subprogram to which the expense is assigned.</v>
      </c>
    </row>
    <row r="19" ht="15.75" customHeight="1">
      <c r="A19" s="91"/>
      <c r="B19" s="95" t="s">
        <v>1476</v>
      </c>
      <c r="C19" s="95" t="s">
        <v>1299</v>
      </c>
      <c r="D19" s="95" t="s">
        <v>1304</v>
      </c>
      <c r="E19" s="95" t="s">
        <v>1314</v>
      </c>
      <c r="F19" s="101" t="s">
        <v>1431</v>
      </c>
      <c r="G19" s="95" t="s">
        <v>1477</v>
      </c>
      <c r="H19" s="95" t="s">
        <v>1302</v>
      </c>
      <c r="I19" s="95" t="s">
        <v>1478</v>
      </c>
      <c r="J19" s="95"/>
      <c r="K19" s="102" t="s">
        <v>1431</v>
      </c>
      <c r="L19" s="103" t="s">
        <v>1479</v>
      </c>
      <c r="M19" s="103">
        <v>14058.0</v>
      </c>
      <c r="N19" s="104" t="s">
        <v>1480</v>
      </c>
      <c r="O19" s="103" t="str">
        <f>IFERROR(__xludf.DUMMYFUNCTION("IF(ISBLANK(N19), """", GOOGLETRANSLATE(N19, ""es"", ""en""))"),"Code assigned by the National Public Investment System (SNIP) to identify a project.")</f>
        <v>Code assigned by the National Public Investment System (SNIP) to identify a project.</v>
      </c>
    </row>
    <row r="20" ht="15.75" customHeight="1">
      <c r="A20" s="91"/>
      <c r="B20" s="95"/>
      <c r="C20" s="95"/>
      <c r="D20" s="95"/>
      <c r="E20" s="95"/>
      <c r="F20" s="101" t="s">
        <v>1431</v>
      </c>
      <c r="G20" s="95" t="s">
        <v>1448</v>
      </c>
      <c r="H20" s="95" t="s">
        <v>1299</v>
      </c>
      <c r="I20" s="95" t="s">
        <v>1481</v>
      </c>
      <c r="J20" s="95" t="s">
        <v>1457</v>
      </c>
      <c r="K20" s="102" t="s">
        <v>1431</v>
      </c>
      <c r="L20" s="103" t="s">
        <v>1481</v>
      </c>
      <c r="M20" s="103">
        <v>8.0</v>
      </c>
      <c r="N20" s="104" t="s">
        <v>1482</v>
      </c>
      <c r="O20" s="103" t="str">
        <f>IFERROR(__xludf.DUMMYFUNCTION("IF(ISBLANK(N20), """", GOOGLETRANSLATE(N20, ""es"", ""en""))"),"Code that identifies a specific project.")</f>
        <v>Code that identifies a specific project.</v>
      </c>
    </row>
    <row r="21" ht="15.75" customHeight="1">
      <c r="A21" s="91"/>
      <c r="B21" s="95"/>
      <c r="C21" s="95"/>
      <c r="D21" s="95"/>
      <c r="E21" s="95"/>
      <c r="F21" s="101" t="s">
        <v>1431</v>
      </c>
      <c r="G21" s="95" t="s">
        <v>1448</v>
      </c>
      <c r="H21" s="95" t="s">
        <v>1299</v>
      </c>
      <c r="I21" s="95" t="s">
        <v>1298</v>
      </c>
      <c r="J21" s="95" t="s">
        <v>1314</v>
      </c>
      <c r="K21" s="102" t="s">
        <v>1431</v>
      </c>
      <c r="L21" s="103" t="s">
        <v>1298</v>
      </c>
      <c r="M21" s="103" t="s">
        <v>1483</v>
      </c>
      <c r="N21" s="104" t="s">
        <v>1484</v>
      </c>
      <c r="O21" s="103" t="str">
        <f>IFERROR(__xludf.DUMMYFUNCTION("IF(ISBLANK(N21), """", GOOGLETRANSLATE(N21, ""es"", ""en""))"),"Name or description of the project to which the expense is assigned.")</f>
        <v>Name or description of the project to which the expense is assigned.</v>
      </c>
    </row>
    <row r="22" ht="15.75" customHeight="1">
      <c r="A22" s="91"/>
      <c r="B22" s="95"/>
      <c r="C22" s="95"/>
      <c r="D22" s="95"/>
      <c r="E22" s="95"/>
      <c r="F22" s="101" t="s">
        <v>1431</v>
      </c>
      <c r="G22" s="95" t="s">
        <v>1448</v>
      </c>
      <c r="H22" s="95" t="s">
        <v>1299</v>
      </c>
      <c r="I22" s="95" t="s">
        <v>1485</v>
      </c>
      <c r="J22" s="95" t="s">
        <v>1457</v>
      </c>
      <c r="K22" s="102" t="s">
        <v>1431</v>
      </c>
      <c r="L22" s="103" t="s">
        <v>1485</v>
      </c>
      <c r="M22" s="103">
        <v>51.0</v>
      </c>
      <c r="N22" s="104" t="s">
        <v>1486</v>
      </c>
      <c r="O22" s="103" t="str">
        <f>IFERROR(__xludf.DUMMYFUNCTION("IF(ISBLANK(N22), """", GOOGLETRANSLATE(N22, ""es"", ""en""))"),"Code that identifies an activity or work within a project.")</f>
        <v>Code that identifies an activity or work within a project.</v>
      </c>
    </row>
    <row r="23" ht="15.75" customHeight="1">
      <c r="A23" s="91"/>
      <c r="B23" s="95"/>
      <c r="C23" s="95"/>
      <c r="D23" s="95"/>
      <c r="E23" s="95"/>
      <c r="F23" s="101" t="s">
        <v>1431</v>
      </c>
      <c r="G23" s="95" t="s">
        <v>1448</v>
      </c>
      <c r="H23" s="95" t="s">
        <v>1299</v>
      </c>
      <c r="I23" s="95" t="s">
        <v>1487</v>
      </c>
      <c r="J23" s="95" t="s">
        <v>1314</v>
      </c>
      <c r="K23" s="102" t="s">
        <v>1431</v>
      </c>
      <c r="L23" s="103" t="s">
        <v>1488</v>
      </c>
      <c r="M23" s="103" t="s">
        <v>1489</v>
      </c>
      <c r="N23" s="104" t="s">
        <v>1490</v>
      </c>
      <c r="O23" s="103" t="str">
        <f>IFERROR(__xludf.DUMMYFUNCTION("IF(ISBLANK(N23), """", GOOGLETRANSLATE(N23, ""es"", ""en""))"),"Name or description of the activity or work to which the expense is assigned.")</f>
        <v>Name or description of the activity or work to which the expense is assigned.</v>
      </c>
    </row>
    <row r="24" ht="15.75" customHeight="1">
      <c r="A24" s="91"/>
      <c r="B24" s="95"/>
      <c r="C24" s="95"/>
      <c r="D24" s="95"/>
      <c r="E24" s="95"/>
      <c r="F24" s="101" t="s">
        <v>1431</v>
      </c>
      <c r="G24" s="95" t="s">
        <v>1491</v>
      </c>
      <c r="H24" s="95" t="s">
        <v>1299</v>
      </c>
      <c r="I24" s="95" t="s">
        <v>1492</v>
      </c>
      <c r="J24" s="95" t="s">
        <v>1438</v>
      </c>
      <c r="K24" s="102" t="s">
        <v>1431</v>
      </c>
      <c r="L24" s="103" t="s">
        <v>1493</v>
      </c>
      <c r="M24" s="108">
        <v>37074.0</v>
      </c>
      <c r="N24" s="105" t="s">
        <v>1494</v>
      </c>
      <c r="O24" s="103" t="str">
        <f>IFERROR(__xludf.DUMMYFUNCTION("IF(ISBLANK(N24), """", GOOGLETRANSLATE(N24, ""es"", ""en""))"),"Code that classifies spending into predefined groups.")</f>
        <v>Code that classifies spending into predefined groups.</v>
      </c>
    </row>
    <row r="25" ht="15.75" customHeight="1">
      <c r="A25" s="91"/>
      <c r="B25" s="95"/>
      <c r="C25" s="95"/>
      <c r="D25" s="95"/>
      <c r="E25" s="95"/>
      <c r="F25" s="101" t="s">
        <v>1431</v>
      </c>
      <c r="G25" s="95" t="s">
        <v>1491</v>
      </c>
      <c r="H25" s="95" t="s">
        <v>1299</v>
      </c>
      <c r="I25" s="95" t="s">
        <v>1495</v>
      </c>
      <c r="J25" s="95" t="s">
        <v>1442</v>
      </c>
      <c r="K25" s="102" t="s">
        <v>1431</v>
      </c>
      <c r="L25" s="103" t="s">
        <v>1496</v>
      </c>
      <c r="M25" s="103" t="s">
        <v>1058</v>
      </c>
      <c r="N25" s="105" t="s">
        <v>1497</v>
      </c>
      <c r="O25" s="103" t="str">
        <f>IFERROR(__xludf.DUMMYFUNCTION("IF(ISBLANK(N25), """", GOOGLETRANSLATE(N25, ""es"", ""en""))"),"Description or name of the group to which the expense belongs.")</f>
        <v>Description or name of the group to which the expense belongs.</v>
      </c>
    </row>
    <row r="26" ht="15.75" customHeight="1">
      <c r="A26" s="91"/>
      <c r="B26" s="95"/>
      <c r="C26" s="95"/>
      <c r="D26" s="95"/>
      <c r="E26" s="95"/>
      <c r="F26" s="101" t="s">
        <v>1431</v>
      </c>
      <c r="G26" s="95" t="s">
        <v>1448</v>
      </c>
      <c r="H26" s="95" t="s">
        <v>1299</v>
      </c>
      <c r="I26" s="95" t="s">
        <v>1498</v>
      </c>
      <c r="J26" s="95" t="s">
        <v>1457</v>
      </c>
      <c r="K26" s="102" t="s">
        <v>1431</v>
      </c>
      <c r="L26" s="103" t="s">
        <v>1498</v>
      </c>
      <c r="M26" s="103">
        <v>4.0</v>
      </c>
      <c r="N26" s="105" t="s">
        <v>1499</v>
      </c>
      <c r="O26" s="103" t="str">
        <f>IFERROR(__xludf.DUMMYFUNCTION("IF(ISBLANK(N26), """", GOOGLETRANSLATE(N26, ""es"", ""en""))"),"Code that identifies the purpose of the expense.")</f>
        <v>Code that identifies the purpose of the expense.</v>
      </c>
    </row>
    <row r="27" ht="15.75" customHeight="1">
      <c r="A27" s="91"/>
      <c r="B27" s="95"/>
      <c r="C27" s="95"/>
      <c r="D27" s="95"/>
      <c r="E27" s="95"/>
      <c r="F27" s="101" t="s">
        <v>1431</v>
      </c>
      <c r="G27" s="95" t="s">
        <v>1448</v>
      </c>
      <c r="H27" s="95" t="s">
        <v>1299</v>
      </c>
      <c r="I27" s="95" t="s">
        <v>1500</v>
      </c>
      <c r="J27" s="95" t="s">
        <v>1314</v>
      </c>
      <c r="K27" s="102" t="s">
        <v>1431</v>
      </c>
      <c r="L27" s="103" t="s">
        <v>1500</v>
      </c>
      <c r="M27" s="103" t="s">
        <v>1033</v>
      </c>
      <c r="N27" s="104" t="s">
        <v>1501</v>
      </c>
      <c r="O27" s="103" t="str">
        <f>IFERROR(__xludf.DUMMYFUNCTION("IF(ISBLANK(N27), """", GOOGLETRANSLATE(N27, ""es"", ""en""))"),"Description or name of the purpose for which the expense is intended.")</f>
        <v>Description or name of the purpose for which the expense is intended.</v>
      </c>
    </row>
    <row r="28" ht="15.75" customHeight="1">
      <c r="A28" s="91"/>
      <c r="B28" s="95"/>
      <c r="C28" s="95"/>
      <c r="D28" s="95"/>
      <c r="E28" s="95"/>
      <c r="F28" s="101" t="s">
        <v>1431</v>
      </c>
      <c r="G28" s="95" t="s">
        <v>1491</v>
      </c>
      <c r="H28" s="95" t="s">
        <v>1299</v>
      </c>
      <c r="I28" s="95" t="s">
        <v>1502</v>
      </c>
      <c r="J28" s="95" t="s">
        <v>1438</v>
      </c>
      <c r="K28" s="102" t="s">
        <v>1431</v>
      </c>
      <c r="L28" s="103" t="s">
        <v>1502</v>
      </c>
      <c r="M28" s="103" t="s">
        <v>722</v>
      </c>
      <c r="N28" s="104" t="s">
        <v>1503</v>
      </c>
      <c r="O28" s="103" t="str">
        <f>IFERROR(__xludf.DUMMYFUNCTION("IF(ISBLANK(N28), """", GOOGLETRANSLATE(N28, ""es"", ""en""))"),"Code that identifies the specific object for which the expense is intended.")</f>
        <v>Code that identifies the specific object for which the expense is intended.</v>
      </c>
    </row>
    <row r="29" ht="15.75" customHeight="1">
      <c r="A29" s="91"/>
      <c r="B29" s="95"/>
      <c r="C29" s="95"/>
      <c r="D29" s="95"/>
      <c r="E29" s="95"/>
      <c r="F29" s="101" t="s">
        <v>1431</v>
      </c>
      <c r="G29" s="95" t="s">
        <v>1491</v>
      </c>
      <c r="H29" s="95" t="s">
        <v>1299</v>
      </c>
      <c r="I29" s="95" t="s">
        <v>1504</v>
      </c>
      <c r="J29" s="95" t="s">
        <v>1442</v>
      </c>
      <c r="K29" s="102" t="s">
        <v>1431</v>
      </c>
      <c r="L29" s="103" t="s">
        <v>1504</v>
      </c>
      <c r="M29" s="103" t="s">
        <v>721</v>
      </c>
      <c r="N29" s="104" t="s">
        <v>1505</v>
      </c>
      <c r="O29" s="103" t="str">
        <f>IFERROR(__xludf.DUMMYFUNCTION("IF(ISBLANK(N29), """", GOOGLETRANSLATE(N29, ""es"", ""en""))"),"Description or name of the object for which the expense is intended.")</f>
        <v>Description or name of the object for which the expense is intended.</v>
      </c>
    </row>
    <row r="30" ht="15.75" customHeight="1">
      <c r="A30" s="91"/>
      <c r="B30" s="95"/>
      <c r="C30" s="95"/>
      <c r="D30" s="95"/>
      <c r="E30" s="95"/>
      <c r="F30" s="101" t="s">
        <v>1431</v>
      </c>
      <c r="G30" s="95" t="s">
        <v>1506</v>
      </c>
      <c r="H30" s="95" t="s">
        <v>1299</v>
      </c>
      <c r="I30" s="95" t="s">
        <v>1342</v>
      </c>
      <c r="J30" s="95" t="s">
        <v>1377</v>
      </c>
      <c r="K30" s="102" t="s">
        <v>1431</v>
      </c>
      <c r="L30" s="103" t="s">
        <v>1344</v>
      </c>
      <c r="M30" s="103" t="s">
        <v>1507</v>
      </c>
      <c r="N30" s="104" t="s">
        <v>1508</v>
      </c>
      <c r="O30" s="103" t="str">
        <f>IFERROR(__xludf.DUMMYFUNCTION("IF(ISBLANK(N30), """", GOOGLETRANSLATE(N30, ""es"", ""en""))"),"Sector to which the activity or work associated with the expense belongs.")</f>
        <v>Sector to which the activity or work associated with the expense belongs.</v>
      </c>
    </row>
    <row r="31" ht="15.75" customHeight="1">
      <c r="A31" s="91"/>
      <c r="B31" s="95"/>
      <c r="C31" s="95"/>
      <c r="D31" s="95"/>
      <c r="E31" s="95"/>
      <c r="F31" s="101" t="s">
        <v>1431</v>
      </c>
      <c r="G31" s="95" t="s">
        <v>1448</v>
      </c>
      <c r="H31" s="95" t="s">
        <v>1299</v>
      </c>
      <c r="I31" s="95" t="s">
        <v>1509</v>
      </c>
      <c r="J31" s="95" t="s">
        <v>1457</v>
      </c>
      <c r="K31" s="102" t="s">
        <v>1431</v>
      </c>
      <c r="L31" s="103" t="s">
        <v>1509</v>
      </c>
      <c r="M31" s="109">
        <v>37260.0</v>
      </c>
      <c r="N31" s="104" t="s">
        <v>1510</v>
      </c>
      <c r="O31" s="103" t="str">
        <f>IFERROR(__xludf.DUMMYFUNCTION("IF(ISBLANK(N31), """", GOOGLETRANSLATE(N31, ""es"", ""en""))"),"Code that identifies a subfunction within a function. ")</f>
        <v>Code that identifies a subfunction within a function. </v>
      </c>
    </row>
    <row r="32" ht="15.75" customHeight="1">
      <c r="A32" s="91"/>
      <c r="B32" s="95"/>
      <c r="C32" s="95"/>
      <c r="D32" s="95"/>
      <c r="E32" s="95"/>
      <c r="F32" s="101" t="s">
        <v>1431</v>
      </c>
      <c r="G32" s="95" t="s">
        <v>1448</v>
      </c>
      <c r="H32" s="95" t="s">
        <v>1299</v>
      </c>
      <c r="I32" s="95" t="s">
        <v>1511</v>
      </c>
      <c r="J32" s="95" t="s">
        <v>1314</v>
      </c>
      <c r="K32" s="102" t="s">
        <v>1431</v>
      </c>
      <c r="L32" s="103" t="s">
        <v>1511</v>
      </c>
      <c r="M32" s="103" t="s">
        <v>1512</v>
      </c>
      <c r="N32" s="104" t="s">
        <v>1513</v>
      </c>
      <c r="O32" s="103" t="str">
        <f>IFERROR(__xludf.DUMMYFUNCTION("IF(ISBLANK(N32), """", GOOGLETRANSLATE(N32, ""es"", ""en""))"),"Description or name of the subfunction associated with the expense.")</f>
        <v>Description or name of the subfunction associated with the expense.</v>
      </c>
    </row>
    <row r="33" ht="15.75" customHeight="1">
      <c r="A33" s="91"/>
      <c r="B33" s="95"/>
      <c r="C33" s="95"/>
      <c r="D33" s="95"/>
      <c r="E33" s="95"/>
      <c r="F33" s="101" t="s">
        <v>1431</v>
      </c>
      <c r="G33" s="95" t="s">
        <v>1514</v>
      </c>
      <c r="H33" s="95" t="s">
        <v>1299</v>
      </c>
      <c r="I33" s="95" t="s">
        <v>1515</v>
      </c>
      <c r="J33" s="95" t="s">
        <v>1516</v>
      </c>
      <c r="K33" s="110" t="s">
        <v>1517</v>
      </c>
      <c r="L33" s="103" t="s">
        <v>1518</v>
      </c>
      <c r="M33" s="103">
        <v>0.0</v>
      </c>
      <c r="N33" s="104" t="s">
        <v>1519</v>
      </c>
      <c r="O33" s="103" t="str">
        <f>IFERROR(__xludf.DUMMYFUNCTION("IF(ISBLANK(N33), """", GOOGLETRANSLATE(N33, ""es"", ""en""))"),"Amount or value approved for the expense in the budget item.")</f>
        <v>Amount or value approved for the expense in the budget item.</v>
      </c>
    </row>
    <row r="34" ht="15.75" customHeight="1">
      <c r="A34" s="91"/>
      <c r="B34" s="95"/>
      <c r="C34" s="95"/>
      <c r="D34" s="95"/>
      <c r="E34" s="95"/>
      <c r="F34" s="101" t="s">
        <v>1431</v>
      </c>
      <c r="G34" s="95" t="s">
        <v>1514</v>
      </c>
      <c r="H34" s="95" t="s">
        <v>1299</v>
      </c>
      <c r="I34" s="95" t="s">
        <v>1397</v>
      </c>
      <c r="J34" s="95" t="s">
        <v>1516</v>
      </c>
      <c r="K34" s="110" t="s">
        <v>1520</v>
      </c>
      <c r="L34" s="103" t="s">
        <v>1397</v>
      </c>
      <c r="M34" s="103" t="s">
        <v>1521</v>
      </c>
      <c r="N34" s="104" t="s">
        <v>1522</v>
      </c>
      <c r="O34" s="103" t="str">
        <f>IFERROR(__xludf.DUMMYFUNCTION("IF(ISBLANK(N34), """", GOOGLETRANSLATE(N34, ""es"", ""en""))"),"Amount or value currently in force for the expense in the budget item.")</f>
        <v>Amount or value currently in force for the expense in the budget item.</v>
      </c>
    </row>
    <row r="35" ht="15.75" customHeight="1">
      <c r="A35" s="91"/>
      <c r="B35" s="95"/>
      <c r="C35" s="95"/>
      <c r="D35" s="95"/>
      <c r="E35" s="95"/>
      <c r="F35" s="101" t="s">
        <v>1431</v>
      </c>
      <c r="G35" s="95" t="s">
        <v>1514</v>
      </c>
      <c r="H35" s="95" t="s">
        <v>1299</v>
      </c>
      <c r="I35" s="95" t="s">
        <v>1401</v>
      </c>
      <c r="J35" s="95" t="s">
        <v>1516</v>
      </c>
      <c r="K35" s="110" t="s">
        <v>1523</v>
      </c>
      <c r="L35" s="103" t="s">
        <v>1401</v>
      </c>
      <c r="M35" s="103" t="s">
        <v>1521</v>
      </c>
      <c r="N35" s="104" t="s">
        <v>1524</v>
      </c>
      <c r="O35" s="103" t="str">
        <f>IFERROR(__xludf.DUMMYFUNCTION("IF(ISBLANK(N35), """", GOOGLETRANSLATE(N35, ""es"", ""en""))"),"Amount or value executed so far for the expense in the budget item.")</f>
        <v>Amount or value executed so far for the expense in the budget item.</v>
      </c>
    </row>
    <row r="36" ht="15.75" customHeight="1">
      <c r="A36" s="91"/>
      <c r="B36" s="95"/>
      <c r="C36" s="95"/>
      <c r="D36" s="95"/>
      <c r="E36" s="95"/>
      <c r="F36" s="101" t="s">
        <v>1431</v>
      </c>
      <c r="G36" s="95" t="s">
        <v>1525</v>
      </c>
      <c r="H36" s="95" t="s">
        <v>1299</v>
      </c>
      <c r="I36" s="111" t="s">
        <v>1526</v>
      </c>
      <c r="J36" s="95" t="s">
        <v>1319</v>
      </c>
      <c r="K36" s="110" t="s">
        <v>1527</v>
      </c>
      <c r="L36" s="103" t="s">
        <v>1526</v>
      </c>
      <c r="M36" s="112">
        <v>45359.0</v>
      </c>
      <c r="N36" s="104" t="s">
        <v>1528</v>
      </c>
      <c r="O36" s="103" t="str">
        <f>IFERROR(__xludf.DUMMYFUNCTION("IF(ISBLANK(N36), """", GOOGLETRANSLATE(N36, ""es"", ""en""))"),"Date the information in the data source was updated")</f>
        <v>Date the information in the data source was updated</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K2:O2"/>
    <mergeCell ref="K3:M3"/>
    <mergeCell ref="N3:O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0"/>
  <cols>
    <col customWidth="1" min="1" max="1" width="5.0"/>
    <col customWidth="1" min="2" max="2" width="34.13"/>
    <col customWidth="1" min="3" max="3" width="31.5"/>
    <col customWidth="1" min="4" max="5" width="25.88"/>
    <col customWidth="1" min="6" max="6" width="31.63"/>
    <col customWidth="1" min="7" max="7" width="32.63"/>
    <col customWidth="1" min="8" max="10" width="31.63"/>
    <col customWidth="1" min="11" max="11" width="38.13"/>
    <col customWidth="1" min="12" max="12" width="26.5"/>
    <col customWidth="1" min="13" max="13" width="85.25"/>
    <col customWidth="1" min="14" max="14" width="73.88"/>
    <col customWidth="1" min="15" max="15" width="68.38"/>
  </cols>
  <sheetData>
    <row r="1" ht="15.75" customHeight="1">
      <c r="M1" s="4"/>
    </row>
    <row r="2" ht="15.75" customHeight="1">
      <c r="K2" s="71" t="s">
        <v>1529</v>
      </c>
      <c r="L2" s="20"/>
      <c r="M2" s="20"/>
      <c r="N2" s="20"/>
      <c r="O2" s="22"/>
    </row>
    <row r="3" ht="33.75" customHeight="1">
      <c r="K3" s="113" t="s">
        <v>1530</v>
      </c>
      <c r="L3" s="20"/>
      <c r="M3" s="22"/>
      <c r="N3" s="113" t="s">
        <v>1531</v>
      </c>
      <c r="O3" s="22"/>
    </row>
    <row r="4" ht="15.75" customHeight="1">
      <c r="B4" s="72" t="s">
        <v>1290</v>
      </c>
      <c r="C4" s="72" t="s">
        <v>1291</v>
      </c>
      <c r="D4" s="72" t="s">
        <v>1292</v>
      </c>
      <c r="E4" s="72" t="s">
        <v>1293</v>
      </c>
      <c r="F4" s="73" t="s">
        <v>1294</v>
      </c>
      <c r="G4" s="74" t="s">
        <v>1290</v>
      </c>
      <c r="H4" s="74" t="s">
        <v>1291</v>
      </c>
      <c r="I4" s="74" t="s">
        <v>1292</v>
      </c>
      <c r="J4" s="74" t="s">
        <v>1293</v>
      </c>
      <c r="K4" s="75" t="s">
        <v>1294</v>
      </c>
      <c r="L4" s="75" t="s">
        <v>1295</v>
      </c>
      <c r="M4" s="75" t="s">
        <v>40</v>
      </c>
      <c r="N4" s="76" t="s">
        <v>1429</v>
      </c>
      <c r="O4" s="76" t="s">
        <v>1430</v>
      </c>
    </row>
    <row r="5" ht="15.75" customHeight="1">
      <c r="B5" s="30"/>
      <c r="C5" s="30"/>
      <c r="D5" s="30"/>
      <c r="E5" s="30"/>
      <c r="F5" s="30"/>
      <c r="G5" s="30" t="s">
        <v>1432</v>
      </c>
      <c r="H5" s="30" t="s">
        <v>1532</v>
      </c>
      <c r="I5" s="30" t="s">
        <v>1433</v>
      </c>
      <c r="J5" s="30"/>
      <c r="K5" s="31"/>
      <c r="L5" s="30" t="s">
        <v>1533</v>
      </c>
      <c r="M5" s="36">
        <v>2023.0</v>
      </c>
      <c r="N5" s="114" t="s">
        <v>1534</v>
      </c>
      <c r="O5" s="31" t="str">
        <f>IFERROR(__xludf.DUMMYFUNCTION("IF(ISBLANK(N5), """", GOOGLETRANSLATE(N5, ""es"", ""en""))"),"Year to which the budget or recorded budget information corresponds.")</f>
        <v>Year to which the budget or recorded budget information corresponds.</v>
      </c>
    </row>
    <row r="6" ht="15.75" customHeight="1">
      <c r="B6" s="30" t="s">
        <v>1448</v>
      </c>
      <c r="C6" s="30" t="s">
        <v>1532</v>
      </c>
      <c r="D6" s="30" t="s">
        <v>1437</v>
      </c>
      <c r="E6" s="30" t="s">
        <v>1438</v>
      </c>
      <c r="F6" s="30"/>
      <c r="G6" s="30" t="s">
        <v>1535</v>
      </c>
      <c r="H6" s="30" t="s">
        <v>1302</v>
      </c>
      <c r="I6" s="30" t="s">
        <v>1437</v>
      </c>
      <c r="J6" s="30"/>
      <c r="K6" s="31"/>
      <c r="L6" s="30" t="s">
        <v>1437</v>
      </c>
      <c r="M6" s="32" t="s">
        <v>1439</v>
      </c>
      <c r="N6" s="114" t="s">
        <v>1536</v>
      </c>
      <c r="O6" s="31" t="str">
        <f>IFERROR(__xludf.DUMMYFUNCTION("IF(ISBLANK(N6), """", GOOGLETRANSLATE(N6, ""es"", ""en""))"),"Unique code that identifies an institution within the system or set of institutions.")</f>
        <v>Unique code that identifies an institution within the system or set of institutions.</v>
      </c>
    </row>
    <row r="7" ht="15.75" customHeight="1">
      <c r="B7" s="30" t="s">
        <v>1436</v>
      </c>
      <c r="C7" s="30" t="s">
        <v>1532</v>
      </c>
      <c r="D7" s="30" t="s">
        <v>1441</v>
      </c>
      <c r="E7" s="30" t="s">
        <v>1442</v>
      </c>
      <c r="F7" s="30"/>
      <c r="G7" s="30" t="s">
        <v>1535</v>
      </c>
      <c r="H7" s="30" t="s">
        <v>1302</v>
      </c>
      <c r="I7" s="30" t="s">
        <v>1441</v>
      </c>
      <c r="J7" s="30"/>
      <c r="K7" s="31"/>
      <c r="L7" s="30" t="s">
        <v>1441</v>
      </c>
      <c r="M7" s="32" t="s">
        <v>988</v>
      </c>
      <c r="N7" s="114" t="s">
        <v>1537</v>
      </c>
      <c r="O7" s="31" t="str">
        <f>IFERROR(__xludf.DUMMYFUNCTION("IF(ISBLANK(N7), """", GOOGLETRANSLATE(N7, ""es"", ""en""))"),"Name or identification of the institution to which the recorded budget information belongs.")</f>
        <v>Name or identification of the institution to which the recorded budget information belongs.</v>
      </c>
    </row>
    <row r="8" ht="15.75" customHeight="1">
      <c r="B8" s="30" t="s">
        <v>1448</v>
      </c>
      <c r="C8" s="30" t="s">
        <v>1532</v>
      </c>
      <c r="D8" s="30" t="s">
        <v>1449</v>
      </c>
      <c r="E8" s="30" t="s">
        <v>60</v>
      </c>
      <c r="F8" s="30"/>
      <c r="G8" s="30" t="s">
        <v>1535</v>
      </c>
      <c r="H8" s="30" t="s">
        <v>1302</v>
      </c>
      <c r="I8" s="30" t="s">
        <v>1538</v>
      </c>
      <c r="J8" s="30"/>
      <c r="K8" s="31"/>
      <c r="L8" s="30" t="s">
        <v>1538</v>
      </c>
      <c r="M8" s="32">
        <v>10.0</v>
      </c>
      <c r="N8" s="114" t="s">
        <v>1539</v>
      </c>
      <c r="O8" s="31" t="str">
        <f>IFERROR(__xludf.DUMMYFUNCTION("IF(ISBLANK(N8), """", GOOGLETRANSLATE(N8, ""es"", ""en""))"),"Code that identifies the source of financing for the project.")</f>
        <v>Code that identifies the source of financing for the project.</v>
      </c>
    </row>
    <row r="9" ht="15.75" customHeight="1">
      <c r="B9" s="30" t="s">
        <v>1452</v>
      </c>
      <c r="C9" s="30" t="s">
        <v>1532</v>
      </c>
      <c r="D9" s="30" t="s">
        <v>1453</v>
      </c>
      <c r="E9" s="30" t="s">
        <v>1442</v>
      </c>
      <c r="F9" s="30"/>
      <c r="G9" s="30" t="s">
        <v>1535</v>
      </c>
      <c r="H9" s="30" t="s">
        <v>1302</v>
      </c>
      <c r="I9" s="30" t="s">
        <v>1540</v>
      </c>
      <c r="J9" s="30"/>
      <c r="K9" s="31"/>
      <c r="L9" s="30" t="s">
        <v>1540</v>
      </c>
      <c r="M9" s="32" t="s">
        <v>1024</v>
      </c>
      <c r="N9" s="114" t="s">
        <v>1541</v>
      </c>
      <c r="O9" s="31" t="str">
        <f>IFERROR(__xludf.DUMMYFUNCTION("IF(ISBLANK(N9), """", GOOGLETRANSLATE(N9, ""es"", ""en""))"),"Description or identification of the source of financing for the project.")</f>
        <v>Description or identification of the source of financing for the project.</v>
      </c>
    </row>
    <row r="10" ht="15.75" customHeight="1">
      <c r="B10" s="30" t="s">
        <v>1448</v>
      </c>
      <c r="C10" s="30" t="s">
        <v>1532</v>
      </c>
      <c r="D10" s="30" t="s">
        <v>1456</v>
      </c>
      <c r="E10" s="30" t="s">
        <v>1457</v>
      </c>
      <c r="F10" s="30"/>
      <c r="G10" s="30" t="s">
        <v>1535</v>
      </c>
      <c r="H10" s="30" t="s">
        <v>1302</v>
      </c>
      <c r="I10" s="30" t="s">
        <v>1456</v>
      </c>
      <c r="J10" s="30"/>
      <c r="K10" s="31"/>
      <c r="L10" s="30" t="s">
        <v>1456</v>
      </c>
      <c r="M10" s="32">
        <v>100.0</v>
      </c>
      <c r="N10" s="114" t="s">
        <v>1458</v>
      </c>
      <c r="O10" s="31" t="str">
        <f>IFERROR(__xludf.DUMMYFUNCTION("IF(ISBLANK(N10), """", GOOGLETRANSLATE(N10, ""es"", ""en""))"),"Specific code that identifies the detailed financing source.")</f>
        <v>Specific code that identifies the detailed financing source.</v>
      </c>
    </row>
    <row r="11" ht="15.75" customHeight="1">
      <c r="B11" s="30" t="s">
        <v>1448</v>
      </c>
      <c r="C11" s="30" t="s">
        <v>1532</v>
      </c>
      <c r="D11" s="30" t="s">
        <v>1459</v>
      </c>
      <c r="E11" s="30" t="s">
        <v>1314</v>
      </c>
      <c r="F11" s="30"/>
      <c r="G11" s="30" t="s">
        <v>1535</v>
      </c>
      <c r="H11" s="30" t="s">
        <v>1302</v>
      </c>
      <c r="I11" s="30" t="s">
        <v>1459</v>
      </c>
      <c r="J11" s="30"/>
      <c r="K11" s="31"/>
      <c r="L11" s="30" t="s">
        <v>1459</v>
      </c>
      <c r="M11" s="32" t="s">
        <v>1024</v>
      </c>
      <c r="N11" s="114" t="s">
        <v>1460</v>
      </c>
      <c r="O11" s="31" t="str">
        <f>IFERROR(__xludf.DUMMYFUNCTION("IF(ISBLANK(N11), """", GOOGLETRANSLATE(N11, ""es"", ""en""))"),"Detailed description or specific identification of the funding source.")</f>
        <v>Detailed description or specific identification of the funding source.</v>
      </c>
    </row>
    <row r="12" ht="15.75" customHeight="1">
      <c r="B12" s="30" t="s">
        <v>1461</v>
      </c>
      <c r="C12" s="30" t="s">
        <v>1532</v>
      </c>
      <c r="D12" s="30" t="s">
        <v>1462</v>
      </c>
      <c r="E12" s="30" t="s">
        <v>60</v>
      </c>
      <c r="F12" s="30"/>
      <c r="G12" s="30" t="s">
        <v>1535</v>
      </c>
      <c r="H12" s="30" t="s">
        <v>1302</v>
      </c>
      <c r="I12" s="30" t="s">
        <v>1462</v>
      </c>
      <c r="J12" s="30"/>
      <c r="K12" s="31"/>
      <c r="L12" s="30" t="s">
        <v>1462</v>
      </c>
      <c r="M12" s="32">
        <v>100.0</v>
      </c>
      <c r="N12" s="114" t="s">
        <v>1542</v>
      </c>
      <c r="O12" s="31" t="str">
        <f>IFERROR(__xludf.DUMMYFUNCTION("IF(ISBLANK(N12), """", GOOGLETRANSLATE(N12, ""es"", ""en""))"),"Code that identifies the organization that provides financing for the project.")</f>
        <v>Code that identifies the organization that provides financing for the project.</v>
      </c>
    </row>
    <row r="13" ht="15.75" customHeight="1">
      <c r="B13" s="30" t="s">
        <v>1461</v>
      </c>
      <c r="C13" s="30" t="s">
        <v>1532</v>
      </c>
      <c r="D13" s="30" t="s">
        <v>1391</v>
      </c>
      <c r="E13" s="30" t="s">
        <v>1442</v>
      </c>
      <c r="F13" s="30"/>
      <c r="G13" s="30" t="s">
        <v>1535</v>
      </c>
      <c r="H13" s="30" t="s">
        <v>1302</v>
      </c>
      <c r="I13" s="30" t="s">
        <v>1391</v>
      </c>
      <c r="J13" s="30"/>
      <c r="K13" s="31"/>
      <c r="L13" s="30" t="s">
        <v>1391</v>
      </c>
      <c r="M13" s="32" t="s">
        <v>1019</v>
      </c>
      <c r="N13" s="114" t="s">
        <v>1543</v>
      </c>
      <c r="O13" s="31" t="str">
        <f>IFERROR(__xludf.DUMMYFUNCTION("IF(ISBLANK(N13), """", GOOGLETRANSLATE(N13, ""es"", ""en""))"),"Name or identification of the agency providing financing for the project.")</f>
        <v>Name or identification of the agency providing financing for the project.</v>
      </c>
    </row>
    <row r="14" ht="15.75" customHeight="1">
      <c r="B14" s="30" t="s">
        <v>1448</v>
      </c>
      <c r="C14" s="30" t="s">
        <v>1532</v>
      </c>
      <c r="D14" s="30" t="s">
        <v>1498</v>
      </c>
      <c r="E14" s="30" t="s">
        <v>1457</v>
      </c>
      <c r="F14" s="30"/>
      <c r="G14" s="30" t="s">
        <v>1535</v>
      </c>
      <c r="H14" s="30" t="s">
        <v>1302</v>
      </c>
      <c r="I14" s="30" t="s">
        <v>1498</v>
      </c>
      <c r="J14" s="30"/>
      <c r="K14" s="31"/>
      <c r="L14" s="30" t="s">
        <v>1498</v>
      </c>
      <c r="M14" s="32">
        <v>1.0</v>
      </c>
      <c r="N14" s="114" t="s">
        <v>1544</v>
      </c>
      <c r="O14" s="31" t="str">
        <f>IFERROR(__xludf.DUMMYFUNCTION("IF(ISBLANK(N14), """", GOOGLETRANSLATE(N14, ""es"", ""en""))"),"Code that identifies the purpose of the project.")</f>
        <v>Code that identifies the purpose of the project.</v>
      </c>
      <c r="AF14" s="115"/>
    </row>
    <row r="15" ht="15.75" customHeight="1">
      <c r="B15" s="30" t="s">
        <v>1448</v>
      </c>
      <c r="C15" s="30" t="s">
        <v>1532</v>
      </c>
      <c r="D15" s="30" t="s">
        <v>1500</v>
      </c>
      <c r="E15" s="30" t="s">
        <v>1314</v>
      </c>
      <c r="F15" s="30"/>
      <c r="G15" s="30" t="s">
        <v>1535</v>
      </c>
      <c r="H15" s="30" t="s">
        <v>1302</v>
      </c>
      <c r="I15" s="30" t="s">
        <v>1500</v>
      </c>
      <c r="J15" s="30"/>
      <c r="K15" s="31"/>
      <c r="L15" s="30" t="s">
        <v>1500</v>
      </c>
      <c r="M15" s="32" t="s">
        <v>1545</v>
      </c>
      <c r="N15" s="114" t="s">
        <v>1546</v>
      </c>
      <c r="O15" s="31" t="str">
        <f>IFERROR(__xludf.DUMMYFUNCTION("IF(ISBLANK(N15), """", GOOGLETRANSLATE(N15, ""es"", ""en""))"),"Description or name of the purpose for which the project is intended.")</f>
        <v>Description or name of the purpose for which the project is intended.</v>
      </c>
    </row>
    <row r="16" ht="15.75" customHeight="1">
      <c r="B16" s="30"/>
      <c r="C16" s="30"/>
      <c r="D16" s="30"/>
      <c r="E16" s="30"/>
      <c r="F16" s="30"/>
      <c r="G16" s="30" t="s">
        <v>1506</v>
      </c>
      <c r="H16" s="30" t="s">
        <v>1532</v>
      </c>
      <c r="I16" s="30" t="s">
        <v>1547</v>
      </c>
      <c r="J16" s="30" t="s">
        <v>60</v>
      </c>
      <c r="K16" s="31"/>
      <c r="L16" s="30" t="s">
        <v>1547</v>
      </c>
      <c r="M16" s="32">
        <v>1400.0</v>
      </c>
      <c r="N16" s="114" t="s">
        <v>1548</v>
      </c>
      <c r="O16" s="31" t="str">
        <f>IFERROR(__xludf.DUMMYFUNCTION("IF(ISBLANK(N16), """", GOOGLETRANSLATE(N16, ""es"", ""en""))"),"Unique identification of the sector to which the project belongs.")</f>
        <v>Unique identification of the sector to which the project belongs.</v>
      </c>
    </row>
    <row r="17" ht="15.75" customHeight="1">
      <c r="B17" s="30"/>
      <c r="C17" s="30"/>
      <c r="D17" s="30"/>
      <c r="E17" s="30"/>
      <c r="F17" s="30"/>
      <c r="G17" s="30" t="s">
        <v>1506</v>
      </c>
      <c r="H17" s="30" t="s">
        <v>1532</v>
      </c>
      <c r="I17" s="30" t="s">
        <v>1342</v>
      </c>
      <c r="J17" s="30" t="s">
        <v>1377</v>
      </c>
      <c r="K17" s="31"/>
      <c r="L17" s="30" t="s">
        <v>1342</v>
      </c>
      <c r="M17" s="32" t="s">
        <v>1549</v>
      </c>
      <c r="N17" s="114" t="s">
        <v>1550</v>
      </c>
      <c r="O17" s="31" t="str">
        <f>IFERROR(__xludf.DUMMYFUNCTION("IF(ISBLANK(N17), """", GOOGLETRANSLATE(N17, ""es"", ""en""))"),"Name or description of the sector to which the project belongs.")</f>
        <v>Name or description of the sector to which the project belongs.</v>
      </c>
    </row>
    <row r="18" ht="15.75" customHeight="1">
      <c r="B18" s="30" t="s">
        <v>1448</v>
      </c>
      <c r="C18" s="30" t="s">
        <v>1532</v>
      </c>
      <c r="D18" s="30" t="s">
        <v>1509</v>
      </c>
      <c r="E18" s="30" t="s">
        <v>1457</v>
      </c>
      <c r="F18" s="30"/>
      <c r="G18" s="30" t="s">
        <v>1535</v>
      </c>
      <c r="H18" s="30" t="s">
        <v>1302</v>
      </c>
      <c r="I18" s="30" t="s">
        <v>1509</v>
      </c>
      <c r="J18" s="30"/>
      <c r="K18" s="31"/>
      <c r="L18" s="30" t="s">
        <v>1509</v>
      </c>
      <c r="M18" s="53">
        <v>36982.0</v>
      </c>
      <c r="N18" s="114" t="s">
        <v>1551</v>
      </c>
      <c r="O18" s="31" t="str">
        <f>IFERROR(__xludf.DUMMYFUNCTION("IF(ISBLANK(N18), """", GOOGLETRANSLATE(N18, ""es"", ""en""))"),"Code that identifies a subfunction within a function.")</f>
        <v>Code that identifies a subfunction within a function.</v>
      </c>
    </row>
    <row r="19" ht="15.75" customHeight="1">
      <c r="B19" s="30" t="s">
        <v>1448</v>
      </c>
      <c r="C19" s="30" t="s">
        <v>1532</v>
      </c>
      <c r="D19" s="30" t="s">
        <v>1511</v>
      </c>
      <c r="E19" s="30" t="s">
        <v>1314</v>
      </c>
      <c r="F19" s="30"/>
      <c r="G19" s="30" t="s">
        <v>1535</v>
      </c>
      <c r="H19" s="30" t="s">
        <v>1302</v>
      </c>
      <c r="I19" s="30" t="s">
        <v>1511</v>
      </c>
      <c r="J19" s="30"/>
      <c r="K19" s="31"/>
      <c r="L19" s="30" t="s">
        <v>1511</v>
      </c>
      <c r="M19" s="32" t="s">
        <v>1552</v>
      </c>
      <c r="N19" s="114" t="s">
        <v>1553</v>
      </c>
      <c r="O19" s="31" t="str">
        <f>IFERROR(__xludf.DUMMYFUNCTION("IF(ISBLANK(N19), """", GOOGLETRANSLATE(N19, ""es"", ""en""))"),"Description or name of the subfunction associated with the project.")</f>
        <v>Description or name of the subfunction associated with the project.</v>
      </c>
    </row>
    <row r="20" ht="15.75" customHeight="1">
      <c r="B20" s="30"/>
      <c r="C20" s="30"/>
      <c r="D20" s="30"/>
      <c r="E20" s="30"/>
      <c r="F20" s="30"/>
      <c r="G20" s="30" t="s">
        <v>1554</v>
      </c>
      <c r="H20" s="30" t="s">
        <v>1532</v>
      </c>
      <c r="I20" s="30" t="s">
        <v>1478</v>
      </c>
      <c r="J20" s="30" t="s">
        <v>1555</v>
      </c>
      <c r="K20" s="31"/>
      <c r="L20" s="30" t="s">
        <v>1479</v>
      </c>
      <c r="M20" s="32">
        <v>14087.0</v>
      </c>
      <c r="N20" s="80" t="s">
        <v>1556</v>
      </c>
      <c r="O20" s="31" t="str">
        <f>IFERROR(__xludf.DUMMYFUNCTION("IF(ISBLANK(N20), """", GOOGLETRANSLATE(N20, ""es"", ""en""))"),"Code assigned by the National Public Investment System (SNIP) to identify a specific project.")</f>
        <v>Code assigned by the National Public Investment System (SNIP) to identify a specific project.</v>
      </c>
    </row>
    <row r="21" ht="15.75" customHeight="1">
      <c r="B21" s="30"/>
      <c r="C21" s="30"/>
      <c r="D21" s="30"/>
      <c r="E21" s="30"/>
      <c r="F21" s="30"/>
      <c r="G21" s="30" t="s">
        <v>1557</v>
      </c>
      <c r="H21" s="30" t="s">
        <v>1532</v>
      </c>
      <c r="I21" s="30" t="s">
        <v>1558</v>
      </c>
      <c r="J21" s="30" t="s">
        <v>1559</v>
      </c>
      <c r="K21" s="31" t="s">
        <v>1560</v>
      </c>
      <c r="L21" s="30" t="s">
        <v>1561</v>
      </c>
      <c r="M21" s="32" t="s">
        <v>1562</v>
      </c>
      <c r="N21" s="114" t="s">
        <v>1563</v>
      </c>
      <c r="O21" s="31" t="str">
        <f>IFERROR(__xludf.DUMMYFUNCTION("IF(ISBLANK(N21), """", GOOGLETRANSLATE(N21, ""es"", ""en""))"),"Name or title of the project.")</f>
        <v>Name or title of the project.</v>
      </c>
    </row>
    <row r="22" ht="15.75" customHeight="1">
      <c r="B22" s="30"/>
      <c r="C22" s="30"/>
      <c r="D22" s="30"/>
      <c r="E22" s="30"/>
      <c r="F22" s="30"/>
      <c r="G22" s="30" t="s">
        <v>1476</v>
      </c>
      <c r="H22" s="30" t="s">
        <v>1532</v>
      </c>
      <c r="I22" s="30" t="s">
        <v>1564</v>
      </c>
      <c r="J22" s="116" t="s">
        <v>1314</v>
      </c>
      <c r="K22" s="31" t="s">
        <v>1565</v>
      </c>
      <c r="L22" s="30" t="s">
        <v>1564</v>
      </c>
      <c r="M22" s="32" t="s">
        <v>1566</v>
      </c>
      <c r="N22" s="114" t="s">
        <v>1567</v>
      </c>
      <c r="O22" s="31" t="str">
        <f>IFERROR(__xludf.DUMMYFUNCTION("IF(ISBLANK(N22), """", GOOGLETRANSLATE(N22, ""es"", ""en""))"),"General description of the project objective.")</f>
        <v>General description of the project objective.</v>
      </c>
    </row>
    <row r="23" ht="15.75" customHeight="1">
      <c r="B23" s="30"/>
      <c r="C23" s="30"/>
      <c r="D23" s="30"/>
      <c r="E23" s="30"/>
      <c r="F23" s="30"/>
      <c r="G23" s="30" t="s">
        <v>1476</v>
      </c>
      <c r="H23" s="30" t="s">
        <v>1532</v>
      </c>
      <c r="I23" s="30" t="s">
        <v>1347</v>
      </c>
      <c r="J23" s="30" t="s">
        <v>1348</v>
      </c>
      <c r="K23" s="31"/>
      <c r="L23" s="30" t="s">
        <v>1350</v>
      </c>
      <c r="M23" s="32" t="s">
        <v>1568</v>
      </c>
      <c r="N23" s="114" t="s">
        <v>1569</v>
      </c>
      <c r="O23" s="31" t="str">
        <f>IFERROR(__xludf.DUMMYFUNCTION("IF(ISBLANK(N23), """", GOOGLETRANSLATE(N23, ""es"", ""en""))"),"Status or financial progress of the project.")</f>
        <v>Status or financial progress of the project.</v>
      </c>
    </row>
    <row r="24" ht="15.75" customHeight="1">
      <c r="B24" s="30"/>
      <c r="C24" s="30"/>
      <c r="D24" s="30"/>
      <c r="E24" s="30"/>
      <c r="F24" s="30"/>
      <c r="G24" s="30" t="s">
        <v>1570</v>
      </c>
      <c r="H24" s="30" t="s">
        <v>1532</v>
      </c>
      <c r="I24" s="30" t="s">
        <v>1571</v>
      </c>
      <c r="J24" s="30" t="s">
        <v>60</v>
      </c>
      <c r="K24" s="31" t="s">
        <v>1572</v>
      </c>
      <c r="L24" s="30" t="s">
        <v>1571</v>
      </c>
      <c r="M24" s="32">
        <v>1.0</v>
      </c>
      <c r="N24" s="114" t="s">
        <v>1573</v>
      </c>
      <c r="O24" s="31" t="str">
        <f>IFERROR(__xludf.DUMMYFUNCTION("IF(ISBLANK(N24), """", GOOGLETRANSLATE(N24, ""es"", ""en""))"),"Unique identification of the current status of the project.")</f>
        <v>Unique identification of the current status of the project.</v>
      </c>
    </row>
    <row r="25" ht="15.75" customHeight="1">
      <c r="B25" s="30"/>
      <c r="C25" s="30"/>
      <c r="D25" s="30"/>
      <c r="E25" s="30"/>
      <c r="F25" s="30"/>
      <c r="G25" s="30" t="s">
        <v>1570</v>
      </c>
      <c r="H25" s="30" t="s">
        <v>1532</v>
      </c>
      <c r="I25" s="30" t="s">
        <v>1325</v>
      </c>
      <c r="J25" s="30" t="s">
        <v>1438</v>
      </c>
      <c r="K25" s="31" t="s">
        <v>1574</v>
      </c>
      <c r="L25" s="30" t="s">
        <v>1325</v>
      </c>
      <c r="M25" s="32" t="s">
        <v>1575</v>
      </c>
      <c r="N25" s="114" t="s">
        <v>1576</v>
      </c>
      <c r="O25" s="31" t="str">
        <f>IFERROR(__xludf.DUMMYFUNCTION("IF(ISBLANK(N25), """", GOOGLETRANSLATE(N25, ""es"", ""en""))"),"Name or description of the current status of the project.")</f>
        <v>Name or description of the current status of the project.</v>
      </c>
    </row>
    <row r="26" ht="15.75" customHeight="1">
      <c r="B26" s="30"/>
      <c r="C26" s="30"/>
      <c r="D26" s="30"/>
      <c r="E26" s="30"/>
      <c r="F26" s="30"/>
      <c r="G26" s="30" t="s">
        <v>1476</v>
      </c>
      <c r="H26" s="30" t="s">
        <v>1532</v>
      </c>
      <c r="I26" s="30" t="s">
        <v>1300</v>
      </c>
      <c r="J26" s="30" t="s">
        <v>60</v>
      </c>
      <c r="K26" s="31"/>
      <c r="L26" s="30" t="s">
        <v>1300</v>
      </c>
      <c r="M26" s="32">
        <v>4432.0</v>
      </c>
      <c r="N26" s="114" t="s">
        <v>1577</v>
      </c>
      <c r="O26" s="31" t="str">
        <f>IFERROR(__xludf.DUMMYFUNCTION("IF(ISBLANK(N26), """", GOOGLETRANSLATE(N26, ""es"", ""en""))"),"Unique project identification.")</f>
        <v>Unique project identification.</v>
      </c>
    </row>
    <row r="27" ht="15.75" customHeight="1">
      <c r="B27" s="30"/>
      <c r="C27" s="30"/>
      <c r="D27" s="30"/>
      <c r="E27" s="30"/>
      <c r="F27" s="30"/>
      <c r="G27" s="30" t="s">
        <v>1476</v>
      </c>
      <c r="H27" s="30" t="s">
        <v>1532</v>
      </c>
      <c r="I27" s="30" t="s">
        <v>1330</v>
      </c>
      <c r="J27" s="30" t="s">
        <v>1331</v>
      </c>
      <c r="K27" s="31" t="s">
        <v>1578</v>
      </c>
      <c r="L27" s="30" t="s">
        <v>1579</v>
      </c>
      <c r="M27" s="32" t="s">
        <v>1580</v>
      </c>
      <c r="N27" s="114" t="s">
        <v>1581</v>
      </c>
      <c r="O27" s="31" t="str">
        <f>IFERROR(__xludf.DUMMYFUNCTION("IF(ISBLANK(N27), """", GOOGLETRANSLATE(N27, ""es"", ""en""))"),"Total amount or value of the project.")</f>
        <v>Total amount or value of the project.</v>
      </c>
    </row>
    <row r="28" ht="15.75" customHeight="1">
      <c r="B28" s="30" t="s">
        <v>1514</v>
      </c>
      <c r="C28" s="30" t="s">
        <v>1532</v>
      </c>
      <c r="D28" s="30" t="s">
        <v>1397</v>
      </c>
      <c r="E28" s="30" t="s">
        <v>1516</v>
      </c>
      <c r="F28" s="30"/>
      <c r="G28" s="30" t="s">
        <v>1535</v>
      </c>
      <c r="H28" s="30" t="s">
        <v>1302</v>
      </c>
      <c r="I28" s="30" t="s">
        <v>1582</v>
      </c>
      <c r="J28" s="30"/>
      <c r="K28" s="31" t="s">
        <v>1583</v>
      </c>
      <c r="L28" s="30" t="s">
        <v>1584</v>
      </c>
      <c r="M28" s="32" t="s">
        <v>1585</v>
      </c>
      <c r="N28" s="114" t="s">
        <v>1586</v>
      </c>
      <c r="O28" s="31" t="str">
        <f>IFERROR(__xludf.DUMMYFUNCTION("IF(ISBLANK(N28), """", GOOGLETRANSLATE(N28, ""es"", ""en""))"),"Amount or value financed for the project.")</f>
        <v>Amount or value financed for the project.</v>
      </c>
    </row>
    <row r="29" ht="15.75" customHeight="1">
      <c r="B29" s="30" t="s">
        <v>1514</v>
      </c>
      <c r="C29" s="30" t="s">
        <v>1532</v>
      </c>
      <c r="D29" s="30" t="s">
        <v>1401</v>
      </c>
      <c r="E29" s="30" t="s">
        <v>1516</v>
      </c>
      <c r="F29" s="30"/>
      <c r="G29" s="30" t="s">
        <v>1535</v>
      </c>
      <c r="H29" s="30" t="s">
        <v>1302</v>
      </c>
      <c r="I29" s="30" t="s">
        <v>1587</v>
      </c>
      <c r="J29" s="30"/>
      <c r="K29" s="31" t="s">
        <v>1588</v>
      </c>
      <c r="L29" s="30" t="s">
        <v>1401</v>
      </c>
      <c r="M29" s="32" t="s">
        <v>1589</v>
      </c>
      <c r="N29" s="114" t="s">
        <v>1590</v>
      </c>
      <c r="O29" s="31" t="str">
        <f>IFERROR(__xludf.DUMMYFUNCTION("IF(ISBLANK(N29), """", GOOGLETRANSLATE(N29, ""es"", ""en""))"),"Amount or value executed so far for the project.")</f>
        <v>Amount or value executed so far for the project.</v>
      </c>
    </row>
    <row r="30" ht="15.75" customHeight="1">
      <c r="B30" s="30"/>
      <c r="C30" s="30"/>
      <c r="D30" s="30"/>
      <c r="E30" s="30"/>
      <c r="F30" s="30"/>
      <c r="G30" s="30" t="s">
        <v>1476</v>
      </c>
      <c r="H30" s="30" t="s">
        <v>1532</v>
      </c>
      <c r="I30" s="30" t="s">
        <v>1591</v>
      </c>
      <c r="J30" s="30" t="s">
        <v>60</v>
      </c>
      <c r="K30" s="31" t="s">
        <v>1592</v>
      </c>
      <c r="L30" s="30" t="s">
        <v>1593</v>
      </c>
      <c r="M30" s="117" t="s">
        <v>1594</v>
      </c>
      <c r="N30" s="80" t="s">
        <v>1595</v>
      </c>
      <c r="O30" s="31" t="str">
        <f>IFERROR(__xludf.DUMMYFUNCTION("IF(ISBLANK(N30), """", GOOGLETRANSLATE(N30, ""es"", ""en""))"),"URL or link that directs to the online project location or its corresponding documentation.")</f>
        <v>URL or link that directs to the online project location or its corresponding documentation.</v>
      </c>
    </row>
    <row r="31" ht="15.75" customHeight="1">
      <c r="B31" s="30"/>
      <c r="C31" s="30"/>
      <c r="D31" s="30"/>
      <c r="E31" s="30"/>
      <c r="F31" s="30"/>
      <c r="G31" s="30"/>
      <c r="H31" s="30"/>
      <c r="I31" s="30" t="s">
        <v>1421</v>
      </c>
      <c r="J31" s="30"/>
      <c r="K31" s="118" t="s">
        <v>1596</v>
      </c>
      <c r="L31" s="30" t="s">
        <v>1383</v>
      </c>
      <c r="M31" s="32" t="s">
        <v>1597</v>
      </c>
      <c r="N31" s="80" t="s">
        <v>1598</v>
      </c>
      <c r="O31" s="31" t="str">
        <f>IFERROR(__xludf.DUMMYFUNCTION("IF(ISBLANK(N31), """", GOOGLETRANSLATE(N31, ""es"", ""en""))"),"Source from which information about the project was obtained.")</f>
        <v>Source from which information about the project was obtained.</v>
      </c>
    </row>
    <row r="32" ht="15.75" customHeight="1">
      <c r="B32" s="30"/>
      <c r="C32" s="30"/>
      <c r="D32" s="30"/>
      <c r="E32" s="30"/>
      <c r="F32" s="30"/>
      <c r="G32" s="30" t="s">
        <v>1525</v>
      </c>
      <c r="H32" s="30" t="s">
        <v>1532</v>
      </c>
      <c r="I32" s="30" t="s">
        <v>1526</v>
      </c>
      <c r="J32" s="30" t="s">
        <v>1319</v>
      </c>
      <c r="K32" s="31" t="s">
        <v>1599</v>
      </c>
      <c r="L32" s="30" t="s">
        <v>1600</v>
      </c>
      <c r="M32" s="119">
        <v>45359.0</v>
      </c>
      <c r="N32" s="80" t="s">
        <v>1601</v>
      </c>
      <c r="O32" s="31" t="str">
        <f>IFERROR(__xludf.DUMMYFUNCTION("IF(ISBLANK(N32), """", GOOGLETRANSLATE(N32, ""es"", ""en""))"),"Date on which information about the project was updated according to the data source of the Ministry of Finance.")</f>
        <v>Date on which information about the project was updated according to the data source of the Ministry of Finance.</v>
      </c>
    </row>
    <row r="33" ht="15.75" customHeight="1">
      <c r="B33" s="30"/>
      <c r="C33" s="30"/>
      <c r="D33" s="30"/>
      <c r="E33" s="30"/>
      <c r="F33" s="30"/>
      <c r="G33" s="30" t="s">
        <v>1525</v>
      </c>
      <c r="H33" s="30" t="s">
        <v>1532</v>
      </c>
      <c r="I33" s="30" t="s">
        <v>1526</v>
      </c>
      <c r="J33" s="30" t="s">
        <v>1602</v>
      </c>
      <c r="K33" s="31" t="s">
        <v>1603</v>
      </c>
      <c r="L33" s="30" t="s">
        <v>1604</v>
      </c>
      <c r="M33" s="119">
        <v>45379.0</v>
      </c>
      <c r="N33" s="80" t="s">
        <v>1605</v>
      </c>
      <c r="O33" s="31" t="str">
        <f>IFERROR(__xludf.DUMMYFUNCTION("IF(ISBLANK(N33), """", GOOGLETRANSLATE(N33, ""es"", ""en""))"),"Date on which information about the project was updated according to the data source of the Ministry of Economy, Planning and Development.")</f>
        <v>Date on which information about the project was updated according to the data source of the Ministry of Economy, Planning and Development.</v>
      </c>
    </row>
    <row r="34" ht="15.75" customHeight="1">
      <c r="M34" s="4"/>
    </row>
    <row r="35" ht="15.75" customHeight="1">
      <c r="M35" s="4"/>
    </row>
    <row r="36" ht="15.75" customHeight="1">
      <c r="M36" s="4"/>
    </row>
    <row r="37" ht="15.75" customHeight="1">
      <c r="M37" s="4"/>
    </row>
    <row r="38" ht="15.75" customHeight="1">
      <c r="M38" s="4"/>
    </row>
    <row r="39" ht="15.75" customHeight="1">
      <c r="M39" s="4"/>
    </row>
    <row r="40" ht="15.75" customHeight="1">
      <c r="M40" s="4"/>
    </row>
    <row r="41" ht="15.75" customHeight="1">
      <c r="M41" s="4"/>
    </row>
    <row r="42" ht="15.75" customHeight="1">
      <c r="M42" s="4"/>
    </row>
    <row r="43" ht="15.75" customHeight="1">
      <c r="M43" s="4"/>
    </row>
    <row r="44" ht="15.75" customHeight="1">
      <c r="M44" s="4"/>
    </row>
    <row r="45" ht="15.75" customHeight="1">
      <c r="M45" s="4"/>
    </row>
    <row r="46" ht="15.75" customHeight="1">
      <c r="M46" s="4"/>
    </row>
    <row r="47" ht="15.75" customHeight="1">
      <c r="M47" s="4"/>
    </row>
    <row r="48" ht="15.75" customHeight="1">
      <c r="M48" s="4"/>
    </row>
    <row r="49" ht="15.75" customHeight="1">
      <c r="M49" s="4"/>
    </row>
    <row r="50" ht="15.75" customHeight="1">
      <c r="M50" s="4"/>
    </row>
    <row r="51" ht="15.75" customHeight="1">
      <c r="M51" s="4"/>
    </row>
    <row r="52" ht="15.75" customHeight="1">
      <c r="M52" s="4"/>
    </row>
    <row r="53" ht="15.75" customHeight="1">
      <c r="M53" s="4"/>
    </row>
    <row r="54" ht="15.75" customHeight="1">
      <c r="M54" s="4"/>
    </row>
    <row r="55" ht="15.75" customHeight="1">
      <c r="M55" s="4"/>
    </row>
    <row r="56" ht="15.75" customHeight="1">
      <c r="M56" s="4"/>
    </row>
    <row r="57" ht="15.75" customHeight="1">
      <c r="M57" s="4"/>
    </row>
    <row r="58" ht="15.75" customHeight="1">
      <c r="M58" s="4"/>
    </row>
    <row r="59" ht="15.75" customHeight="1">
      <c r="M59" s="4"/>
    </row>
    <row r="60" ht="15.75" customHeight="1">
      <c r="M60" s="4"/>
    </row>
    <row r="61" ht="15.75" customHeight="1">
      <c r="M61" s="4"/>
    </row>
    <row r="62" ht="15.75" customHeight="1">
      <c r="M62" s="4"/>
    </row>
    <row r="63" ht="15.75" customHeight="1">
      <c r="M63" s="4"/>
    </row>
    <row r="64" ht="15.75" customHeight="1">
      <c r="M64" s="4"/>
    </row>
    <row r="65" ht="15.75" customHeight="1">
      <c r="M65" s="4"/>
    </row>
    <row r="66" ht="15.75" customHeight="1">
      <c r="M66" s="4"/>
    </row>
    <row r="67" ht="15.75" customHeight="1">
      <c r="M67" s="4"/>
    </row>
    <row r="68" ht="15.75" customHeight="1">
      <c r="M68" s="4"/>
    </row>
    <row r="69" ht="15.75" customHeight="1">
      <c r="M69" s="4"/>
    </row>
    <row r="70" ht="15.75" customHeight="1">
      <c r="M70" s="4"/>
    </row>
    <row r="71" ht="15.75" customHeight="1">
      <c r="M71" s="4"/>
    </row>
    <row r="72" ht="15.75" customHeight="1">
      <c r="M72" s="4"/>
    </row>
    <row r="73" ht="15.75" customHeight="1">
      <c r="M73" s="4"/>
    </row>
    <row r="74" ht="15.75" customHeight="1">
      <c r="M74" s="4"/>
    </row>
    <row r="75" ht="15.75" customHeight="1">
      <c r="M75" s="4"/>
    </row>
    <row r="76" ht="15.75" customHeight="1">
      <c r="M76" s="4"/>
    </row>
    <row r="77" ht="15.75" customHeight="1">
      <c r="M77" s="4"/>
    </row>
    <row r="78" ht="15.75" customHeight="1">
      <c r="M78" s="4"/>
    </row>
    <row r="79" ht="15.75" customHeight="1">
      <c r="M79" s="4"/>
    </row>
    <row r="80" ht="15.75" customHeight="1">
      <c r="M80" s="4"/>
    </row>
    <row r="81" ht="15.75" customHeight="1">
      <c r="M81" s="4"/>
    </row>
    <row r="82" ht="15.75" customHeight="1">
      <c r="M82" s="4"/>
    </row>
    <row r="83" ht="15.75" customHeight="1">
      <c r="M83" s="4"/>
    </row>
    <row r="84" ht="15.75" customHeight="1">
      <c r="M84" s="4"/>
    </row>
    <row r="85" ht="15.75" customHeight="1">
      <c r="M85" s="4"/>
    </row>
    <row r="86" ht="15.75" customHeight="1">
      <c r="M86" s="4"/>
    </row>
    <row r="87" ht="15.75" customHeight="1">
      <c r="M87" s="4"/>
    </row>
    <row r="88" ht="15.75" customHeight="1">
      <c r="M88" s="4"/>
    </row>
    <row r="89" ht="15.75" customHeight="1">
      <c r="M89" s="4"/>
    </row>
    <row r="90" ht="15.75" customHeight="1">
      <c r="M90" s="4"/>
    </row>
    <row r="91" ht="15.75" customHeight="1">
      <c r="M91" s="4"/>
    </row>
    <row r="92" ht="15.75" customHeight="1">
      <c r="M92" s="4"/>
    </row>
    <row r="93" ht="15.75" customHeight="1">
      <c r="M93" s="4"/>
    </row>
    <row r="94" ht="15.75" customHeight="1">
      <c r="M94" s="4"/>
    </row>
    <row r="95" ht="15.75" customHeight="1">
      <c r="M95" s="4"/>
    </row>
    <row r="96" ht="15.75" customHeight="1">
      <c r="M96" s="4"/>
    </row>
    <row r="97" ht="15.75" customHeight="1">
      <c r="M97" s="4"/>
    </row>
    <row r="98" ht="15.75" customHeight="1">
      <c r="M98" s="4"/>
    </row>
    <row r="99" ht="15.75" customHeight="1">
      <c r="M99" s="4"/>
    </row>
    <row r="100" ht="15.75" customHeight="1">
      <c r="M100" s="4"/>
    </row>
    <row r="101" ht="15.75" customHeight="1">
      <c r="M101" s="4"/>
    </row>
    <row r="102" ht="15.75" customHeight="1">
      <c r="M102" s="4"/>
    </row>
    <row r="103" ht="15.75" customHeight="1">
      <c r="M103" s="4"/>
    </row>
    <row r="104" ht="15.75" customHeight="1">
      <c r="M104" s="4"/>
    </row>
    <row r="105" ht="15.75" customHeight="1">
      <c r="M105" s="4"/>
    </row>
    <row r="106" ht="15.75" customHeight="1">
      <c r="M106" s="4"/>
    </row>
    <row r="107" ht="15.75" customHeight="1">
      <c r="M107" s="4"/>
    </row>
    <row r="108" ht="15.75" customHeight="1">
      <c r="M108" s="4"/>
    </row>
    <row r="109" ht="15.75" customHeight="1">
      <c r="M109" s="4"/>
    </row>
    <row r="110" ht="15.75" customHeight="1">
      <c r="M110" s="4"/>
    </row>
    <row r="111" ht="15.75" customHeight="1">
      <c r="M111" s="4"/>
    </row>
    <row r="112" ht="15.75" customHeight="1">
      <c r="M112" s="4"/>
    </row>
    <row r="113" ht="15.75" customHeight="1">
      <c r="M113" s="4"/>
    </row>
    <row r="114" ht="15.75" customHeight="1">
      <c r="M114" s="4"/>
    </row>
    <row r="115" ht="15.75" customHeight="1">
      <c r="M115" s="4"/>
    </row>
    <row r="116" ht="15.75" customHeight="1">
      <c r="M116" s="4"/>
    </row>
    <row r="117" ht="15.75" customHeight="1">
      <c r="M117" s="4"/>
    </row>
    <row r="118" ht="15.75" customHeight="1">
      <c r="M118" s="4"/>
    </row>
    <row r="119" ht="15.75" customHeight="1">
      <c r="M119" s="4"/>
    </row>
    <row r="120" ht="15.75" customHeight="1">
      <c r="M120" s="4"/>
    </row>
    <row r="121" ht="15.75" customHeight="1">
      <c r="M121" s="4"/>
    </row>
    <row r="122" ht="15.75" customHeight="1">
      <c r="M122" s="4"/>
    </row>
    <row r="123" ht="15.75" customHeight="1">
      <c r="M123" s="4"/>
    </row>
    <row r="124" ht="15.75" customHeight="1">
      <c r="M124" s="4"/>
    </row>
    <row r="125" ht="15.75" customHeight="1">
      <c r="M125" s="4"/>
    </row>
    <row r="126" ht="15.75" customHeight="1">
      <c r="M126" s="4"/>
    </row>
    <row r="127" ht="15.75" customHeight="1">
      <c r="M127" s="4"/>
    </row>
    <row r="128" ht="15.75" customHeight="1">
      <c r="M128" s="4"/>
    </row>
    <row r="129" ht="15.75" customHeight="1">
      <c r="M129" s="4"/>
    </row>
    <row r="130" ht="15.75" customHeight="1">
      <c r="M130" s="4"/>
    </row>
    <row r="131" ht="15.75" customHeight="1">
      <c r="M131" s="4"/>
    </row>
    <row r="132" ht="15.75" customHeight="1">
      <c r="M132" s="4"/>
    </row>
    <row r="133" ht="15.75" customHeight="1">
      <c r="M133" s="4"/>
    </row>
    <row r="134" ht="15.75" customHeight="1">
      <c r="M134" s="4"/>
    </row>
    <row r="135" ht="15.75" customHeight="1">
      <c r="M135" s="4"/>
    </row>
    <row r="136" ht="15.75" customHeight="1">
      <c r="M136" s="4"/>
    </row>
    <row r="137" ht="15.75" customHeight="1">
      <c r="M137" s="4"/>
    </row>
    <row r="138" ht="15.75" customHeight="1">
      <c r="M138" s="4"/>
    </row>
    <row r="139" ht="15.75" customHeight="1">
      <c r="M139" s="4"/>
    </row>
    <row r="140" ht="15.75" customHeight="1">
      <c r="M140" s="4"/>
    </row>
    <row r="141" ht="15.75" customHeight="1">
      <c r="M141" s="4"/>
    </row>
    <row r="142" ht="15.75" customHeight="1">
      <c r="M142" s="4"/>
    </row>
    <row r="143" ht="15.75" customHeight="1">
      <c r="M143" s="4"/>
    </row>
    <row r="144" ht="15.75" customHeight="1">
      <c r="M144" s="4"/>
    </row>
    <row r="145" ht="15.75" customHeight="1">
      <c r="M145" s="4"/>
    </row>
    <row r="146" ht="15.75" customHeight="1">
      <c r="M146" s="4"/>
    </row>
    <row r="147" ht="15.75" customHeight="1">
      <c r="M147" s="4"/>
    </row>
    <row r="148" ht="15.75" customHeight="1">
      <c r="M148" s="4"/>
    </row>
    <row r="149" ht="15.75" customHeight="1">
      <c r="M149" s="4"/>
    </row>
    <row r="150" ht="15.75" customHeight="1">
      <c r="M150" s="4"/>
    </row>
    <row r="151" ht="15.75" customHeight="1">
      <c r="M151" s="4"/>
    </row>
    <row r="152" ht="15.75" customHeight="1">
      <c r="M152" s="4"/>
    </row>
    <row r="153" ht="15.75" customHeight="1">
      <c r="M153" s="4"/>
    </row>
    <row r="154" ht="15.75" customHeight="1">
      <c r="M154" s="4"/>
    </row>
    <row r="155" ht="15.75" customHeight="1">
      <c r="M155" s="4"/>
    </row>
    <row r="156" ht="15.75" customHeight="1">
      <c r="M156" s="4"/>
    </row>
    <row r="157" ht="15.75" customHeight="1">
      <c r="M157" s="4"/>
    </row>
    <row r="158" ht="15.75" customHeight="1">
      <c r="M158" s="4"/>
    </row>
    <row r="159" ht="15.75" customHeight="1">
      <c r="M159" s="4"/>
    </row>
    <row r="160" ht="15.75" customHeight="1">
      <c r="M160" s="4"/>
    </row>
    <row r="161" ht="15.75" customHeight="1">
      <c r="M161" s="4"/>
    </row>
    <row r="162" ht="15.75" customHeight="1">
      <c r="M162" s="4"/>
    </row>
    <row r="163" ht="15.75" customHeight="1">
      <c r="M163" s="4"/>
    </row>
    <row r="164" ht="15.75" customHeight="1">
      <c r="M164" s="4"/>
    </row>
    <row r="165" ht="15.75" customHeight="1">
      <c r="M165" s="4"/>
    </row>
    <row r="166" ht="15.75" customHeight="1">
      <c r="M166" s="4"/>
    </row>
    <row r="167" ht="15.75" customHeight="1">
      <c r="M167" s="4"/>
    </row>
    <row r="168" ht="15.75" customHeight="1">
      <c r="M168" s="4"/>
    </row>
    <row r="169" ht="15.75" customHeight="1">
      <c r="M169" s="4"/>
    </row>
    <row r="170" ht="15.75" customHeight="1">
      <c r="M170" s="4"/>
    </row>
    <row r="171" ht="15.75" customHeight="1">
      <c r="M171" s="4"/>
    </row>
    <row r="172" ht="15.75" customHeight="1">
      <c r="M172" s="4"/>
    </row>
    <row r="173" ht="15.75" customHeight="1">
      <c r="M173" s="4"/>
    </row>
    <row r="174" ht="15.75" customHeight="1">
      <c r="M174" s="4"/>
    </row>
    <row r="175" ht="15.75" customHeight="1">
      <c r="M175" s="4"/>
    </row>
    <row r="176" ht="15.75" customHeight="1">
      <c r="M176" s="4"/>
    </row>
    <row r="177" ht="15.75" customHeight="1">
      <c r="M177" s="4"/>
    </row>
    <row r="178" ht="15.75" customHeight="1">
      <c r="M178" s="4"/>
    </row>
    <row r="179" ht="15.75" customHeight="1">
      <c r="M179" s="4"/>
    </row>
    <row r="180" ht="15.75" customHeight="1">
      <c r="M180" s="4"/>
    </row>
    <row r="181" ht="15.75" customHeight="1">
      <c r="M181" s="4"/>
    </row>
    <row r="182" ht="15.75" customHeight="1">
      <c r="M182" s="4"/>
    </row>
    <row r="183" ht="15.75" customHeight="1">
      <c r="M183" s="4"/>
    </row>
    <row r="184" ht="15.75" customHeight="1">
      <c r="M184" s="4"/>
    </row>
    <row r="185" ht="15.75" customHeight="1">
      <c r="M185" s="4"/>
    </row>
    <row r="186" ht="15.75" customHeight="1">
      <c r="M186" s="4"/>
    </row>
    <row r="187" ht="15.75" customHeight="1">
      <c r="M187" s="4"/>
    </row>
    <row r="188" ht="15.75" customHeight="1">
      <c r="M188" s="4"/>
    </row>
    <row r="189" ht="15.75" customHeight="1">
      <c r="M189" s="4"/>
    </row>
    <row r="190" ht="15.75" customHeight="1">
      <c r="M190" s="4"/>
    </row>
    <row r="191" ht="15.75" customHeight="1">
      <c r="M191" s="4"/>
    </row>
    <row r="192" ht="15.75" customHeight="1">
      <c r="M192" s="4"/>
    </row>
    <row r="193" ht="15.75" customHeight="1">
      <c r="M193" s="4"/>
    </row>
    <row r="194" ht="15.75" customHeight="1">
      <c r="M194" s="4"/>
    </row>
    <row r="195" ht="15.75" customHeight="1">
      <c r="M195" s="4"/>
    </row>
    <row r="196" ht="15.75" customHeight="1">
      <c r="M196" s="4"/>
    </row>
    <row r="197" ht="15.75" customHeight="1">
      <c r="M197" s="4"/>
    </row>
    <row r="198" ht="15.75" customHeight="1">
      <c r="M198" s="4"/>
    </row>
    <row r="199" ht="15.75" customHeight="1">
      <c r="M199" s="4"/>
    </row>
    <row r="200" ht="15.75" customHeight="1">
      <c r="M200" s="4"/>
    </row>
    <row r="201" ht="15.75" customHeight="1">
      <c r="M201" s="4"/>
    </row>
    <row r="202" ht="15.75" customHeight="1">
      <c r="M202" s="4"/>
    </row>
    <row r="203" ht="15.75" customHeight="1">
      <c r="M203" s="4"/>
    </row>
    <row r="204" ht="15.75" customHeight="1">
      <c r="M204" s="4"/>
    </row>
    <row r="205" ht="15.75" customHeight="1">
      <c r="M205" s="4"/>
    </row>
    <row r="206" ht="15.75" customHeight="1">
      <c r="M206" s="4"/>
    </row>
    <row r="207" ht="15.75" customHeight="1">
      <c r="M207" s="4"/>
    </row>
    <row r="208" ht="15.75" customHeight="1">
      <c r="M208" s="4"/>
    </row>
    <row r="209" ht="15.75" customHeight="1">
      <c r="M209" s="4"/>
    </row>
    <row r="210" ht="15.75" customHeight="1">
      <c r="M210" s="4"/>
    </row>
    <row r="211" ht="15.75" customHeight="1">
      <c r="M211" s="4"/>
    </row>
    <row r="212" ht="15.75" customHeight="1">
      <c r="M212" s="4"/>
    </row>
    <row r="213" ht="15.75" customHeight="1">
      <c r="M213" s="4"/>
    </row>
    <row r="214" ht="15.75" customHeight="1">
      <c r="M214" s="4"/>
    </row>
    <row r="215" ht="15.75" customHeight="1">
      <c r="M215" s="4"/>
    </row>
    <row r="216" ht="15.75" customHeight="1">
      <c r="M216" s="4"/>
    </row>
    <row r="217" ht="15.75" customHeight="1">
      <c r="M217" s="4"/>
    </row>
    <row r="218" ht="15.75" customHeight="1">
      <c r="M218" s="4"/>
    </row>
    <row r="219" ht="15.75" customHeight="1">
      <c r="M219" s="4"/>
    </row>
    <row r="220" ht="15.75" customHeight="1">
      <c r="M220" s="4"/>
    </row>
    <row r="221" ht="15.75" customHeight="1">
      <c r="M221" s="4"/>
    </row>
    <row r="222" ht="15.75" customHeight="1">
      <c r="M222" s="4"/>
    </row>
    <row r="223" ht="15.75" customHeight="1">
      <c r="M223" s="4"/>
    </row>
    <row r="224" ht="15.75" customHeight="1">
      <c r="M224" s="4"/>
    </row>
    <row r="225" ht="15.75" customHeight="1">
      <c r="M225" s="4"/>
    </row>
    <row r="226" ht="15.75" customHeight="1">
      <c r="M226" s="4"/>
    </row>
    <row r="227" ht="15.75" customHeight="1">
      <c r="M227" s="4"/>
    </row>
    <row r="228" ht="15.75" customHeight="1">
      <c r="M228" s="4"/>
    </row>
    <row r="229" ht="15.75" customHeight="1">
      <c r="M229" s="4"/>
    </row>
    <row r="230" ht="15.75" customHeight="1">
      <c r="M230" s="4"/>
    </row>
    <row r="231" ht="15.75" customHeight="1">
      <c r="M231" s="4"/>
    </row>
    <row r="232" ht="15.75" customHeight="1">
      <c r="M232" s="4"/>
    </row>
    <row r="233" ht="15.75" customHeight="1">
      <c r="M233" s="4"/>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K2:O2"/>
    <mergeCell ref="K3:M3"/>
    <mergeCell ref="N3:O3"/>
  </mergeCells>
  <hyperlinks>
    <hyperlink r:id="rId1" ref="M3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0"/>
  <cols>
    <col customWidth="1" min="1" max="1" width="4.13"/>
    <col customWidth="1" min="2" max="2" width="26.13"/>
    <col customWidth="1" min="3" max="3" width="29.63"/>
    <col customWidth="1" min="4" max="6" width="26.13"/>
    <col customWidth="1" min="7" max="9" width="38.88"/>
    <col customWidth="1" min="10" max="11" width="56.5"/>
  </cols>
  <sheetData>
    <row r="1" ht="15.75" customHeight="1">
      <c r="A1" s="89"/>
      <c r="B1" s="89"/>
      <c r="C1" s="89"/>
      <c r="D1" s="89"/>
      <c r="E1" s="89"/>
      <c r="F1" s="89"/>
      <c r="G1" s="89"/>
      <c r="H1" s="89"/>
      <c r="I1" s="89"/>
      <c r="J1" s="89"/>
      <c r="K1" s="89"/>
    </row>
    <row r="2" ht="15.75" customHeight="1">
      <c r="A2" s="89"/>
      <c r="B2" s="89"/>
      <c r="C2" s="89"/>
      <c r="D2" s="89"/>
      <c r="E2" s="89"/>
      <c r="F2" s="89"/>
      <c r="G2" s="89"/>
      <c r="H2" s="89"/>
      <c r="I2" s="89"/>
      <c r="J2" s="89"/>
      <c r="K2" s="89"/>
    </row>
    <row r="3" ht="15.75" customHeight="1">
      <c r="A3" s="89"/>
      <c r="B3" s="120" t="s">
        <v>1606</v>
      </c>
      <c r="C3" s="89"/>
      <c r="D3" s="89"/>
      <c r="E3" s="89"/>
      <c r="F3" s="89"/>
      <c r="G3" s="90"/>
      <c r="H3" s="90"/>
      <c r="I3" s="90"/>
      <c r="J3" s="90"/>
      <c r="K3" s="90"/>
    </row>
    <row r="4" ht="15.75" customHeight="1">
      <c r="A4" s="89"/>
      <c r="B4" s="121" t="s">
        <v>1607</v>
      </c>
      <c r="C4" s="89"/>
      <c r="D4" s="89"/>
      <c r="E4" s="90"/>
      <c r="F4" s="91"/>
      <c r="G4" s="92" t="s">
        <v>1608</v>
      </c>
      <c r="H4" s="93"/>
      <c r="I4" s="93"/>
      <c r="J4" s="93"/>
      <c r="K4" s="94"/>
    </row>
    <row r="5" ht="33.75" customHeight="1">
      <c r="A5" s="89"/>
      <c r="B5" s="90"/>
      <c r="C5" s="90"/>
      <c r="D5" s="90"/>
      <c r="F5" s="95"/>
      <c r="G5" s="96" t="s">
        <v>1609</v>
      </c>
      <c r="H5" s="93"/>
      <c r="I5" s="94"/>
      <c r="J5" s="96" t="str">
        <f>IFERROR(__xludf.DUMMYFUNCTION("IF(ISBLANK(G5), """", GOOGLETRANSLATE(G5, ""es"", ""en""))"),"Purchasing Processes Associated with Investment Projects")</f>
        <v>Purchasing Processes Associated with Investment Projects</v>
      </c>
      <c r="K5" s="94"/>
    </row>
    <row r="6" ht="15.75" customHeight="1">
      <c r="A6" s="91"/>
      <c r="B6" s="98" t="s">
        <v>1294</v>
      </c>
      <c r="C6" s="99" t="s">
        <v>1290</v>
      </c>
      <c r="D6" s="99" t="s">
        <v>1291</v>
      </c>
      <c r="E6" s="99" t="s">
        <v>1292</v>
      </c>
      <c r="F6" s="99" t="s">
        <v>1293</v>
      </c>
      <c r="G6" s="100" t="s">
        <v>1294</v>
      </c>
      <c r="H6" s="100" t="s">
        <v>1295</v>
      </c>
      <c r="I6" s="100" t="s">
        <v>40</v>
      </c>
      <c r="J6" s="100" t="s">
        <v>1429</v>
      </c>
      <c r="K6" s="100" t="s">
        <v>1430</v>
      </c>
    </row>
    <row r="7" ht="58.5" customHeight="1">
      <c r="A7" s="91"/>
      <c r="B7" s="122" t="s">
        <v>1431</v>
      </c>
      <c r="C7" s="95" t="s">
        <v>1610</v>
      </c>
      <c r="D7" s="95" t="s">
        <v>1299</v>
      </c>
      <c r="E7" s="95" t="s">
        <v>1478</v>
      </c>
      <c r="F7" s="95" t="s">
        <v>1611</v>
      </c>
      <c r="G7" s="122" t="s">
        <v>1431</v>
      </c>
      <c r="H7" s="36" t="s">
        <v>1479</v>
      </c>
      <c r="I7" s="32">
        <v>14405.0</v>
      </c>
      <c r="J7" s="123" t="s">
        <v>1556</v>
      </c>
      <c r="K7" s="124" t="str">
        <f>IFERROR(__xludf.DUMMYFUNCTION("IF(ISBLANK(J7), """", GOOGLETRANSLATE(J7, ""es"", ""en""))"),"Code assigned by the National Public Investment System (SNIP) to identify a specific project.")</f>
        <v>Code assigned by the National Public Investment System (SNIP) to identify a specific project.</v>
      </c>
    </row>
    <row r="8" ht="58.5" customHeight="1">
      <c r="A8" s="91"/>
      <c r="B8" s="122" t="s">
        <v>1431</v>
      </c>
      <c r="C8" s="95" t="s">
        <v>1610</v>
      </c>
      <c r="D8" s="95" t="s">
        <v>1299</v>
      </c>
      <c r="E8" s="95" t="s">
        <v>1313</v>
      </c>
      <c r="F8" s="95" t="s">
        <v>1314</v>
      </c>
      <c r="G8" s="122" t="s">
        <v>1431</v>
      </c>
      <c r="H8" s="36" t="s">
        <v>1313</v>
      </c>
      <c r="I8" s="32" t="s">
        <v>1612</v>
      </c>
      <c r="J8" s="123" t="s">
        <v>1613</v>
      </c>
      <c r="K8" s="124" t="str">
        <f>IFERROR(__xludf.DUMMYFUNCTION("IF(ISBLANK(J8), """", GOOGLETRANSLATE(J8, ""es"", ""en""))"),"Name or title of the project associated with the purchasing process.")</f>
        <v>Name or title of the project associated with the purchasing process.</v>
      </c>
    </row>
    <row r="9" ht="58.5" customHeight="1">
      <c r="A9" s="91"/>
      <c r="B9" s="122" t="s">
        <v>1431</v>
      </c>
      <c r="C9" s="95" t="s">
        <v>1610</v>
      </c>
      <c r="D9" s="95" t="s">
        <v>1299</v>
      </c>
      <c r="E9" s="95" t="s">
        <v>1614</v>
      </c>
      <c r="F9" s="95" t="s">
        <v>1611</v>
      </c>
      <c r="G9" s="122" t="s">
        <v>1431</v>
      </c>
      <c r="H9" s="36" t="s">
        <v>1615</v>
      </c>
      <c r="I9" s="32" t="s">
        <v>1616</v>
      </c>
      <c r="J9" s="123" t="s">
        <v>1617</v>
      </c>
      <c r="K9" s="124" t="str">
        <f>IFERROR(__xludf.DUMMYFUNCTION("IF(ISBLANK(J9), """", GOOGLETRANSLATE(J9, ""es"", ""en""))"),"Code that identifies a specific process associated with the contract.")</f>
        <v>Code that identifies a specific process associated with the contract.</v>
      </c>
    </row>
    <row r="10" ht="58.5" customHeight="1">
      <c r="A10" s="91"/>
      <c r="B10" s="122" t="s">
        <v>1431</v>
      </c>
      <c r="C10" s="95" t="s">
        <v>1618</v>
      </c>
      <c r="D10" s="95" t="s">
        <v>1299</v>
      </c>
      <c r="E10" s="95" t="s">
        <v>1619</v>
      </c>
      <c r="F10" s="95" t="s">
        <v>1442</v>
      </c>
      <c r="G10" s="122" t="s">
        <v>1431</v>
      </c>
      <c r="H10" s="36" t="s">
        <v>1620</v>
      </c>
      <c r="I10" s="32" t="s">
        <v>1621</v>
      </c>
      <c r="J10" s="123" t="s">
        <v>1622</v>
      </c>
      <c r="K10" s="124" t="str">
        <f>IFERROR(__xludf.DUMMYFUNCTION("IF(ISBLANK(J10), """", GOOGLETRANSLATE(J10, ""es"", ""en""))"),"Detailed description of the contracting process, including its terms, conditions and scope.")</f>
        <v>Detailed description of the contracting process, including its terms, conditions and scope.</v>
      </c>
    </row>
    <row r="11" ht="58.5" customHeight="1">
      <c r="A11" s="91"/>
      <c r="B11" s="122" t="s">
        <v>1431</v>
      </c>
      <c r="C11" s="95" t="s">
        <v>1618</v>
      </c>
      <c r="D11" s="95" t="s">
        <v>1299</v>
      </c>
      <c r="E11" s="95" t="s">
        <v>1623</v>
      </c>
      <c r="F11" s="95" t="s">
        <v>1624</v>
      </c>
      <c r="G11" s="122" t="s">
        <v>1431</v>
      </c>
      <c r="H11" s="36" t="s">
        <v>1623</v>
      </c>
      <c r="I11" s="32" t="s">
        <v>1625</v>
      </c>
      <c r="J11" s="123" t="s">
        <v>1626</v>
      </c>
      <c r="K11" s="124" t="str">
        <f>IFERROR(__xludf.DUMMYFUNCTION("IF(ISBLANK(J11), """", GOOGLETRANSLATE(J11, ""es"", ""en""))"),"Document that contains summarized information about the contracting process, including relevant details such as the type of process, the parties involved, etc.")</f>
        <v>Document that contains summarized information about the contracting process, including relevant details such as the type of process, the parties involved, etc.</v>
      </c>
    </row>
    <row r="12" ht="58.5" customHeight="1">
      <c r="A12" s="91"/>
      <c r="B12" s="122" t="s">
        <v>1431</v>
      </c>
      <c r="C12" s="95" t="s">
        <v>1618</v>
      </c>
      <c r="D12" s="95" t="s">
        <v>1299</v>
      </c>
      <c r="E12" s="95" t="s">
        <v>1627</v>
      </c>
      <c r="F12" s="95" t="s">
        <v>1628</v>
      </c>
      <c r="G12" s="122" t="s">
        <v>1431</v>
      </c>
      <c r="H12" s="36" t="s">
        <v>1627</v>
      </c>
      <c r="I12" s="32" t="s">
        <v>1629</v>
      </c>
      <c r="J12" s="123" t="s">
        <v>1630</v>
      </c>
      <c r="K12" s="124" t="str">
        <f>IFERROR(__xludf.DUMMYFUNCTION("IF(ISBLANK(J12), """", GOOGLETRANSLATE(J12, ""es"", ""en""))"),"Current status of the contracting process, for example: pending, in progress, awarded, canceled, etc.")</f>
        <v>Current status of the contracting process, for example: pending, in progress, awarded, canceled, etc.</v>
      </c>
    </row>
    <row r="13" ht="58.5" customHeight="1">
      <c r="A13" s="91"/>
      <c r="B13" s="122" t="s">
        <v>1431</v>
      </c>
      <c r="C13" s="95" t="s">
        <v>1618</v>
      </c>
      <c r="D13" s="95" t="s">
        <v>1299</v>
      </c>
      <c r="E13" s="95" t="s">
        <v>1631</v>
      </c>
      <c r="F13" s="95" t="s">
        <v>1632</v>
      </c>
      <c r="G13" s="122" t="s">
        <v>1431</v>
      </c>
      <c r="H13" s="36" t="s">
        <v>1631</v>
      </c>
      <c r="I13" s="49">
        <v>8.8776E11</v>
      </c>
      <c r="J13" s="123" t="s">
        <v>1633</v>
      </c>
      <c r="K13" s="124" t="str">
        <f>IFERROR(__xludf.DUMMYFUNCTION("IF(ISBLANK(J13), """", GOOGLETRANSLATE(J13, ""es"", ""en""))"),"Estimated amount or value for the contracting process.")</f>
        <v>Estimated amount or value for the contracting process.</v>
      </c>
    </row>
    <row r="14" ht="58.5" customHeight="1">
      <c r="A14" s="91"/>
      <c r="B14" s="122" t="s">
        <v>1431</v>
      </c>
      <c r="C14" s="95" t="s">
        <v>1618</v>
      </c>
      <c r="D14" s="95" t="s">
        <v>1299</v>
      </c>
      <c r="E14" s="95" t="s">
        <v>1634</v>
      </c>
      <c r="F14" s="95" t="s">
        <v>1628</v>
      </c>
      <c r="G14" s="122" t="s">
        <v>1431</v>
      </c>
      <c r="H14" s="36" t="s">
        <v>1634</v>
      </c>
      <c r="I14" s="32" t="s">
        <v>1635</v>
      </c>
      <c r="J14" s="123" t="s">
        <v>1636</v>
      </c>
      <c r="K14" s="124" t="str">
        <f>IFERROR(__xludf.DUMMYFUNCTION("IF(ISBLANK(J14), """", GOOGLETRANSLATE(J14, ""es"", ""en""))"),"Modality under which the contracting process is carried out, for example: public bidding, price competition, direct contracting, etc.")</f>
        <v>Modality under which the contracting process is carried out, for example: public bidding, price competition, direct contracting, etc.</v>
      </c>
    </row>
    <row r="15" ht="58.5" customHeight="1">
      <c r="A15" s="91"/>
      <c r="B15" s="122" t="s">
        <v>1431</v>
      </c>
      <c r="C15" s="95" t="s">
        <v>1618</v>
      </c>
      <c r="D15" s="95" t="s">
        <v>1299</v>
      </c>
      <c r="E15" s="95" t="s">
        <v>1637</v>
      </c>
      <c r="F15" s="95" t="s">
        <v>1624</v>
      </c>
      <c r="G15" s="122" t="s">
        <v>1431</v>
      </c>
      <c r="H15" s="36" t="s">
        <v>1638</v>
      </c>
      <c r="I15" s="117" t="s">
        <v>1639</v>
      </c>
      <c r="J15" s="123" t="s">
        <v>1640</v>
      </c>
      <c r="K15" s="124" t="str">
        <f>IFERROR(__xludf.DUMMYFUNCTION("IF(ISBLANK(J15), """", GOOGLETRANSLATE(J15, ""es"", ""en""))"),"URL or link that directs to the location of the online contracting process or its corresponding documentation")</f>
        <v>URL or link that directs to the location of the online contracting process or its corresponding documentation</v>
      </c>
    </row>
    <row r="16" ht="58.5" customHeight="1">
      <c r="A16" s="91"/>
      <c r="B16" s="122" t="s">
        <v>1431</v>
      </c>
      <c r="C16" s="95"/>
      <c r="D16" s="95"/>
      <c r="E16" s="95"/>
      <c r="F16" s="95"/>
      <c r="G16" s="125" t="s">
        <v>1641</v>
      </c>
      <c r="H16" s="36" t="s">
        <v>1383</v>
      </c>
      <c r="I16" s="32" t="s">
        <v>1642</v>
      </c>
      <c r="J16" s="123" t="s">
        <v>1643</v>
      </c>
      <c r="K16" s="124" t="str">
        <f>IFERROR(__xludf.DUMMYFUNCTION("IF(ISBLANK(J16), """", GOOGLETRANSLATE(J16, ""es"", ""en""))"),"Source from which the information about the hiring process was obtained.")</f>
        <v>Source from which the information about the hiring process was obtained.</v>
      </c>
      <c r="O16" s="107"/>
      <c r="P16" s="107"/>
      <c r="Q16" s="107"/>
      <c r="R16" s="107"/>
      <c r="S16" s="107"/>
      <c r="T16" s="107"/>
      <c r="U16" s="107"/>
    </row>
    <row r="17" ht="58.5" customHeight="1">
      <c r="A17" s="91"/>
      <c r="B17" s="122" t="s">
        <v>1431</v>
      </c>
      <c r="C17" s="95"/>
      <c r="D17" s="95"/>
      <c r="E17" s="95"/>
      <c r="F17" s="95"/>
      <c r="G17" s="125" t="s">
        <v>1644</v>
      </c>
      <c r="H17" s="36" t="s">
        <v>1600</v>
      </c>
      <c r="I17" s="119">
        <v>45359.0</v>
      </c>
      <c r="J17" s="123" t="s">
        <v>1645</v>
      </c>
      <c r="K17" s="124" t="str">
        <f>IFERROR(__xludf.DUMMYFUNCTION("IF(ISBLANK(J17), """", GOOGLETRANSLATE(J17, ""es"", ""en""))"),"Date on which the information on the contracting process was updated according to the data source of the Ministry of Finance")</f>
        <v>Date on which the information on the contracting process was updated according to the data source of the Ministry of Finance</v>
      </c>
    </row>
    <row r="18" ht="58.5" customHeight="1">
      <c r="A18" s="91"/>
      <c r="B18" s="122" t="s">
        <v>1431</v>
      </c>
      <c r="C18" s="95"/>
      <c r="D18" s="95"/>
      <c r="E18" s="95"/>
      <c r="F18" s="95"/>
      <c r="G18" s="125" t="s">
        <v>1646</v>
      </c>
      <c r="H18" s="36" t="s">
        <v>1647</v>
      </c>
      <c r="I18" s="119">
        <v>45343.0</v>
      </c>
      <c r="J18" s="123" t="s">
        <v>1648</v>
      </c>
      <c r="K18" s="124" t="str">
        <f>IFERROR(__xludf.DUMMYFUNCTION("IF(ISBLANK(J18), """", GOOGLETRANSLATE(J18, ""es"", ""en""))"),"Date on which the information on the contracting process was updated according to the data source of the Public Procurement System (DGCP)")</f>
        <v>Date on which the information on the contracting process was updated according to the data source of the Public Procurement System (DGCP)</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c r="P32" s="126"/>
      <c r="T32" s="107"/>
      <c r="U32" s="107"/>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G4:K4"/>
    <mergeCell ref="G5:I5"/>
    <mergeCell ref="J5:K5"/>
  </mergeCells>
  <hyperlinks>
    <hyperlink r:id="rId1" ref="B4"/>
    <hyperlink r:id="rId2" ref="I15"/>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0"/>
  <cols>
    <col customWidth="1" min="1" max="1" width="4.13"/>
    <col customWidth="1" min="2" max="2" width="26.13"/>
    <col customWidth="1" min="3" max="3" width="29.63"/>
    <col customWidth="1" min="4" max="6" width="26.13"/>
    <col customWidth="1" min="7" max="9" width="38.88"/>
    <col customWidth="1" min="10" max="11" width="56.5"/>
  </cols>
  <sheetData>
    <row r="1" ht="15.75" customHeight="1">
      <c r="A1" s="89"/>
      <c r="B1" s="89"/>
      <c r="C1" s="89"/>
      <c r="D1" s="89"/>
      <c r="E1" s="89"/>
      <c r="F1" s="89"/>
      <c r="G1" s="89"/>
      <c r="H1" s="89"/>
      <c r="I1" s="89"/>
      <c r="J1" s="89"/>
      <c r="K1" s="89"/>
    </row>
    <row r="2" ht="15.75" customHeight="1">
      <c r="A2" s="89"/>
      <c r="B2" s="89"/>
      <c r="C2" s="89"/>
      <c r="D2" s="89"/>
      <c r="E2" s="89"/>
      <c r="F2" s="89"/>
      <c r="G2" s="89"/>
      <c r="H2" s="89"/>
      <c r="I2" s="89"/>
      <c r="J2" s="89"/>
      <c r="K2" s="89"/>
    </row>
    <row r="3" ht="15.75" customHeight="1">
      <c r="A3" s="89"/>
      <c r="B3" s="120" t="s">
        <v>1606</v>
      </c>
      <c r="C3" s="89"/>
      <c r="D3" s="89"/>
      <c r="E3" s="89"/>
      <c r="F3" s="89"/>
      <c r="G3" s="90"/>
      <c r="H3" s="90"/>
      <c r="I3" s="90"/>
      <c r="J3" s="90"/>
      <c r="K3" s="90"/>
    </row>
    <row r="4" ht="15.75" customHeight="1">
      <c r="A4" s="89"/>
      <c r="B4" s="121" t="s">
        <v>1607</v>
      </c>
      <c r="C4" s="89"/>
      <c r="D4" s="89"/>
      <c r="E4" s="89"/>
      <c r="F4" s="91"/>
      <c r="G4" s="92" t="s">
        <v>1649</v>
      </c>
      <c r="H4" s="93"/>
      <c r="I4" s="93"/>
      <c r="J4" s="93"/>
      <c r="K4" s="94"/>
    </row>
    <row r="5" ht="33.75" customHeight="1">
      <c r="A5" s="89"/>
      <c r="B5" s="90"/>
      <c r="C5" s="90"/>
      <c r="D5" s="90"/>
      <c r="E5" s="90"/>
      <c r="F5" s="95"/>
      <c r="G5" s="96" t="s">
        <v>1650</v>
      </c>
      <c r="H5" s="93"/>
      <c r="I5" s="94"/>
      <c r="J5" s="96" t="str">
        <f>IFERROR(__xludf.DUMMYFUNCTION("IF(ISBLANK(G5), """", GOOGLETRANSLATE(G5, ""es"", ""en""))"),"Contracts associated with Investment Projects")</f>
        <v>Contracts associated with Investment Projects</v>
      </c>
      <c r="K5" s="94"/>
    </row>
    <row r="6" ht="15.75" customHeight="1">
      <c r="A6" s="91"/>
      <c r="B6" s="98" t="s">
        <v>1294</v>
      </c>
      <c r="C6" s="99" t="s">
        <v>1290</v>
      </c>
      <c r="D6" s="99" t="s">
        <v>1291</v>
      </c>
      <c r="E6" s="99" t="s">
        <v>1292</v>
      </c>
      <c r="F6" s="99" t="s">
        <v>1293</v>
      </c>
      <c r="G6" s="100" t="s">
        <v>1294</v>
      </c>
      <c r="H6" s="100" t="s">
        <v>1295</v>
      </c>
      <c r="I6" s="100" t="s">
        <v>40</v>
      </c>
      <c r="J6" s="100" t="s">
        <v>1429</v>
      </c>
      <c r="K6" s="100" t="s">
        <v>1430</v>
      </c>
    </row>
    <row r="7" ht="55.5" customHeight="1">
      <c r="A7" s="91"/>
      <c r="B7" s="122" t="s">
        <v>1431</v>
      </c>
      <c r="C7" s="127" t="s">
        <v>1651</v>
      </c>
      <c r="D7" s="127" t="s">
        <v>1299</v>
      </c>
      <c r="E7" s="127" t="s">
        <v>1478</v>
      </c>
      <c r="F7" s="127" t="s">
        <v>1611</v>
      </c>
      <c r="G7" s="122" t="s">
        <v>1431</v>
      </c>
      <c r="H7" s="32" t="s">
        <v>1479</v>
      </c>
      <c r="I7" s="32">
        <v>12533.0</v>
      </c>
      <c r="J7" s="123" t="s">
        <v>1556</v>
      </c>
      <c r="K7" s="124" t="str">
        <f>IFERROR(__xludf.DUMMYFUNCTION("IF(ISBLANK(J7), """", GOOGLETRANSLATE(J7, ""es"", ""en""))"),"Code assigned by the National Public Investment System (SNIP) to identify a specific project.")</f>
        <v>Code assigned by the National Public Investment System (SNIP) to identify a specific project.</v>
      </c>
    </row>
    <row r="8" ht="55.5" customHeight="1">
      <c r="A8" s="91"/>
      <c r="B8" s="122" t="s">
        <v>1431</v>
      </c>
      <c r="C8" s="127" t="s">
        <v>1651</v>
      </c>
      <c r="D8" s="127" t="s">
        <v>1299</v>
      </c>
      <c r="E8" s="127" t="s">
        <v>1313</v>
      </c>
      <c r="F8" s="127" t="s">
        <v>1314</v>
      </c>
      <c r="G8" s="122" t="s">
        <v>1431</v>
      </c>
      <c r="H8" s="32" t="s">
        <v>1313</v>
      </c>
      <c r="I8" s="32" t="s">
        <v>1652</v>
      </c>
      <c r="J8" s="123" t="s">
        <v>1653</v>
      </c>
      <c r="K8" s="124" t="str">
        <f>IFERROR(__xludf.DUMMYFUNCTION("IF(ISBLANK(J8), """", GOOGLETRANSLATE(J8, ""es"", ""en""))"),"Name or title of the project to which the contract is related")</f>
        <v>Name or title of the project to which the contract is related</v>
      </c>
    </row>
    <row r="9" ht="55.5" customHeight="1">
      <c r="A9" s="91"/>
      <c r="B9" s="122" t="s">
        <v>1431</v>
      </c>
      <c r="C9" s="127" t="s">
        <v>1651</v>
      </c>
      <c r="D9" s="127" t="s">
        <v>1299</v>
      </c>
      <c r="E9" s="127" t="s">
        <v>1614</v>
      </c>
      <c r="F9" s="127" t="s">
        <v>1457</v>
      </c>
      <c r="G9" s="122" t="s">
        <v>1431</v>
      </c>
      <c r="H9" s="32" t="s">
        <v>1615</v>
      </c>
      <c r="I9" s="32" t="s">
        <v>1654</v>
      </c>
      <c r="J9" s="123" t="s">
        <v>1617</v>
      </c>
      <c r="K9" s="124" t="str">
        <f>IFERROR(__xludf.DUMMYFUNCTION("IF(ISBLANK(J9), """", GOOGLETRANSLATE(J9, ""es"", ""en""))"),"Code that identifies a specific process associated with the contract.")</f>
        <v>Code that identifies a specific process associated with the contract.</v>
      </c>
    </row>
    <row r="10" ht="55.5" customHeight="1">
      <c r="A10" s="91"/>
      <c r="B10" s="122" t="s">
        <v>1431</v>
      </c>
      <c r="C10" s="127" t="s">
        <v>1655</v>
      </c>
      <c r="D10" s="127" t="s">
        <v>1299</v>
      </c>
      <c r="E10" s="127" t="s">
        <v>1656</v>
      </c>
      <c r="F10" s="127" t="s">
        <v>1657</v>
      </c>
      <c r="G10" s="122" t="s">
        <v>1431</v>
      </c>
      <c r="H10" s="32" t="s">
        <v>1658</v>
      </c>
      <c r="I10" s="32" t="s">
        <v>1659</v>
      </c>
      <c r="J10" s="123" t="s">
        <v>1660</v>
      </c>
      <c r="K10" s="124" t="str">
        <f>IFERROR(__xludf.DUMMYFUNCTION("IF(ISBLANK(J10), """", GOOGLETRANSLATE(J10, ""es"", ""en""))"),"Unique code that identifies the contract within the system or set of contracts.")</f>
        <v>Unique code that identifies the contract within the system or set of contracts.</v>
      </c>
    </row>
    <row r="11" ht="55.5" customHeight="1">
      <c r="A11" s="91"/>
      <c r="B11" s="122" t="s">
        <v>1431</v>
      </c>
      <c r="C11" s="127" t="s">
        <v>1655</v>
      </c>
      <c r="D11" s="127" t="s">
        <v>1299</v>
      </c>
      <c r="E11" s="127" t="s">
        <v>1661</v>
      </c>
      <c r="F11" s="127" t="s">
        <v>1662</v>
      </c>
      <c r="G11" s="122" t="s">
        <v>1431</v>
      </c>
      <c r="H11" s="32" t="s">
        <v>1661</v>
      </c>
      <c r="I11" s="32" t="s">
        <v>1663</v>
      </c>
      <c r="J11" s="123" t="s">
        <v>1664</v>
      </c>
      <c r="K11" s="124" t="str">
        <f>IFERROR(__xludf.DUMMYFUNCTION("IF(ISBLANK(J11), """", GOOGLETRANSLATE(J11, ""es"", ""en""))"),"Detailed description of the contract, including relevant terms and conditions.")</f>
        <v>Detailed description of the contract, including relevant terms and conditions.</v>
      </c>
    </row>
    <row r="12" ht="55.5" customHeight="1">
      <c r="A12" s="91"/>
      <c r="B12" s="122" t="s">
        <v>1431</v>
      </c>
      <c r="C12" s="127" t="s">
        <v>1655</v>
      </c>
      <c r="D12" s="127" t="s">
        <v>1299</v>
      </c>
      <c r="E12" s="127" t="s">
        <v>1665</v>
      </c>
      <c r="F12" s="127" t="s">
        <v>1628</v>
      </c>
      <c r="G12" s="122" t="s">
        <v>1431</v>
      </c>
      <c r="H12" s="32" t="s">
        <v>1665</v>
      </c>
      <c r="I12" s="32" t="s">
        <v>1666</v>
      </c>
      <c r="J12" s="123" t="s">
        <v>1667</v>
      </c>
      <c r="K12" s="124" t="str">
        <f>IFERROR(__xludf.DUMMYFUNCTION("IF(ISBLANK(J12), """", GOOGLETRANSLATE(J12, ""es"", ""en""))"),"Current status of the contract, for example: pending, in progress, completed, etc.")</f>
        <v>Current status of the contract, for example: pending, in progress, completed, etc.</v>
      </c>
    </row>
    <row r="13" ht="55.5" customHeight="1">
      <c r="A13" s="91"/>
      <c r="B13" s="122" t="s">
        <v>1431</v>
      </c>
      <c r="C13" s="127" t="s">
        <v>1655</v>
      </c>
      <c r="D13" s="127" t="s">
        <v>1299</v>
      </c>
      <c r="E13" s="127" t="s">
        <v>1668</v>
      </c>
      <c r="F13" s="127" t="s">
        <v>1628</v>
      </c>
      <c r="G13" s="122" t="s">
        <v>1431</v>
      </c>
      <c r="H13" s="49" t="s">
        <v>1668</v>
      </c>
      <c r="I13" s="32" t="s">
        <v>1669</v>
      </c>
      <c r="J13" s="123" t="s">
        <v>1670</v>
      </c>
      <c r="K13" s="124" t="str">
        <f>IFERROR(__xludf.DUMMYFUNCTION("IF(ISBLANK(J13), """", GOOGLETRANSLATE(J13, ""es"", ""en""))"),"Type of currency used to express contract values.")</f>
        <v>Type of currency used to express contract values.</v>
      </c>
    </row>
    <row r="14" ht="55.5" customHeight="1">
      <c r="A14" s="91"/>
      <c r="B14" s="122" t="s">
        <v>1431</v>
      </c>
      <c r="C14" s="127" t="s">
        <v>1655</v>
      </c>
      <c r="D14" s="127" t="s">
        <v>1299</v>
      </c>
      <c r="E14" s="127" t="s">
        <v>1671</v>
      </c>
      <c r="F14" s="127" t="s">
        <v>1632</v>
      </c>
      <c r="G14" s="122" t="s">
        <v>1431</v>
      </c>
      <c r="H14" s="32" t="s">
        <v>1672</v>
      </c>
      <c r="I14" s="49">
        <v>1.636944E11</v>
      </c>
      <c r="J14" s="123" t="s">
        <v>1673</v>
      </c>
      <c r="K14" s="124" t="str">
        <f>IFERROR(__xludf.DUMMYFUNCTION("IF(ISBLANK(J14), """", GOOGLETRANSLATE(J14, ""es"", ""en""))"),"Total amount or value of the contract.")</f>
        <v>Total amount or value of the contract.</v>
      </c>
    </row>
    <row r="15" ht="55.5" customHeight="1">
      <c r="A15" s="91"/>
      <c r="B15" s="122" t="s">
        <v>1431</v>
      </c>
      <c r="C15" s="127" t="s">
        <v>1655</v>
      </c>
      <c r="D15" s="127" t="s">
        <v>1299</v>
      </c>
      <c r="E15" s="127" t="s">
        <v>1674</v>
      </c>
      <c r="F15" s="127" t="s">
        <v>1628</v>
      </c>
      <c r="G15" s="122" t="s">
        <v>1431</v>
      </c>
      <c r="H15" s="32" t="s">
        <v>1675</v>
      </c>
      <c r="I15" s="32">
        <v>10449.0</v>
      </c>
      <c r="J15" s="123" t="s">
        <v>1676</v>
      </c>
      <c r="K15" s="124" t="str">
        <f>IFERROR(__xludf.DUMMYFUNCTION("IF(ISBLANK(J15), """", GOOGLETRANSLATE(J15, ""es"", ""en""))"),"Unique code that identifies the supplier associated with the contract.")</f>
        <v>Unique code that identifies the supplier associated with the contract.</v>
      </c>
    </row>
    <row r="16" ht="55.5" customHeight="1">
      <c r="A16" s="91"/>
      <c r="B16" s="122" t="s">
        <v>1431</v>
      </c>
      <c r="C16" s="127" t="s">
        <v>1655</v>
      </c>
      <c r="D16" s="127" t="s">
        <v>1299</v>
      </c>
      <c r="E16" s="127" t="s">
        <v>1677</v>
      </c>
      <c r="F16" s="127" t="s">
        <v>1678</v>
      </c>
      <c r="G16" s="122" t="s">
        <v>1431</v>
      </c>
      <c r="H16" s="32" t="s">
        <v>1679</v>
      </c>
      <c r="I16" s="32" t="s">
        <v>1680</v>
      </c>
      <c r="J16" s="123" t="s">
        <v>1681</v>
      </c>
      <c r="K16" s="124" t="str">
        <f>IFERROR(__xludf.DUMMYFUNCTION("IF(ISBLANK(J16), """", GOOGLETRANSLATE(J16, ""es"", ""en""))"),"Name or identification of the supplier with whom the contract was established.")</f>
        <v>Name or identification of the supplier with whom the contract was established.</v>
      </c>
      <c r="O16" s="107"/>
      <c r="P16" s="107"/>
      <c r="Q16" s="107"/>
      <c r="R16" s="107"/>
      <c r="S16" s="107"/>
      <c r="T16" s="107"/>
      <c r="U16" s="107"/>
      <c r="V16" s="107"/>
      <c r="W16" s="107"/>
    </row>
    <row r="17" ht="55.5" customHeight="1">
      <c r="A17" s="91"/>
      <c r="B17" s="122" t="s">
        <v>1431</v>
      </c>
      <c r="C17" s="127" t="s">
        <v>1655</v>
      </c>
      <c r="D17" s="127" t="s">
        <v>1299</v>
      </c>
      <c r="E17" s="127" t="s">
        <v>3</v>
      </c>
      <c r="F17" s="127" t="s">
        <v>1682</v>
      </c>
      <c r="G17" s="122" t="s">
        <v>1431</v>
      </c>
      <c r="H17" s="32" t="s">
        <v>1683</v>
      </c>
      <c r="I17" s="117" t="s">
        <v>1684</v>
      </c>
      <c r="J17" s="123" t="s">
        <v>1685</v>
      </c>
      <c r="K17" s="124" t="str">
        <f>IFERROR(__xludf.DUMMYFUNCTION("IF(ISBLANK(J17), """", GOOGLETRANSLATE(J17, ""es"", ""en""))"),"URL or link that directs to the location of the online contract or its corresponding documentation.")</f>
        <v>URL or link that directs to the location of the online contract or its corresponding documentation.</v>
      </c>
    </row>
    <row r="18" ht="55.5" customHeight="1">
      <c r="A18" s="91"/>
      <c r="B18" s="122" t="s">
        <v>1431</v>
      </c>
      <c r="C18" s="127"/>
      <c r="D18" s="127"/>
      <c r="E18" s="127"/>
      <c r="F18" s="127"/>
      <c r="G18" s="125" t="s">
        <v>1641</v>
      </c>
      <c r="H18" s="32" t="s">
        <v>1383</v>
      </c>
      <c r="I18" s="32" t="s">
        <v>1642</v>
      </c>
      <c r="J18" s="123" t="s">
        <v>1686</v>
      </c>
      <c r="K18" s="124" t="str">
        <f>IFERROR(__xludf.DUMMYFUNCTION("IF(ISBLANK(J18), """", GOOGLETRANSLATE(J18, ""es"", ""en""))"),"Source from which the information about the contract was obtained.")</f>
        <v>Source from which the information about the contract was obtained.</v>
      </c>
    </row>
    <row r="19" ht="55.5" customHeight="1">
      <c r="B19" s="122" t="s">
        <v>1431</v>
      </c>
      <c r="C19" s="30"/>
      <c r="D19" s="30"/>
      <c r="E19" s="30"/>
      <c r="F19" s="30"/>
      <c r="G19" s="31" t="s">
        <v>1644</v>
      </c>
      <c r="H19" s="32" t="s">
        <v>1600</v>
      </c>
      <c r="I19" s="119">
        <v>45359.0</v>
      </c>
      <c r="J19" s="123" t="s">
        <v>1687</v>
      </c>
      <c r="K19" s="124" t="str">
        <f>IFERROR(__xludf.DUMMYFUNCTION("IF(ISBLANK(J19), """", GOOGLETRANSLATE(J19, ""es"", ""en""))"),"Date on which the information about the contract was updated according to the data source of the Ministry of Finance.")</f>
        <v>Date on which the information about the contract was updated according to the data source of the Ministry of Finance.</v>
      </c>
    </row>
    <row r="20" ht="55.5" customHeight="1">
      <c r="B20" s="122" t="s">
        <v>1431</v>
      </c>
      <c r="C20" s="30"/>
      <c r="D20" s="30"/>
      <c r="E20" s="30"/>
      <c r="F20" s="30"/>
      <c r="G20" s="31" t="s">
        <v>1688</v>
      </c>
      <c r="H20" s="32" t="s">
        <v>1647</v>
      </c>
      <c r="I20" s="119">
        <v>45379.0</v>
      </c>
      <c r="J20" s="123" t="s">
        <v>1689</v>
      </c>
      <c r="K20" s="124" t="str">
        <f>IFERROR(__xludf.DUMMYFUNCTION("IF(ISBLANK(J20), """", GOOGLETRANSLATE(J20, ""es"", ""en""))"),"Date on which information about the contract was updated according to the data source of the Public Procurement System (DGCP)")</f>
        <v>Date on which information about the contract was updated according to the data source of the Public Procurement System (DGCP)</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c r="P32" s="126"/>
    </row>
    <row r="33" ht="15.75" customHeight="1">
      <c r="Q33" s="126"/>
      <c r="V33" s="107"/>
      <c r="W33" s="107"/>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G4:K4"/>
    <mergeCell ref="G5:I5"/>
    <mergeCell ref="J5:K5"/>
  </mergeCells>
  <hyperlinks>
    <hyperlink r:id="rId1" ref="B4"/>
    <hyperlink r:id="rId2" ref="I17"/>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0"/>
  <cols>
    <col customWidth="1" min="2" max="2" width="23.5"/>
    <col customWidth="1" min="3" max="3" width="78.38"/>
    <col customWidth="1" min="4" max="5" width="44.0"/>
    <col customWidth="1" min="7" max="7" width="28.75"/>
  </cols>
  <sheetData>
    <row r="1" ht="15.75" customHeight="1">
      <c r="C1" s="3"/>
    </row>
    <row r="2" ht="15.75" customHeight="1">
      <c r="B2" s="128" t="s">
        <v>1690</v>
      </c>
      <c r="C2" s="3"/>
      <c r="G2" s="128" t="s">
        <v>33</v>
      </c>
    </row>
    <row r="3" ht="15.75" customHeight="1">
      <c r="B3" s="129" t="s">
        <v>1691</v>
      </c>
      <c r="C3" s="3"/>
    </row>
    <row r="4" ht="15.75" customHeight="1">
      <c r="B4" s="8"/>
      <c r="C4" s="3"/>
      <c r="G4" s="130"/>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0"/>
      <c r="BJ4" s="130"/>
      <c r="BK4" s="130"/>
      <c r="BL4" s="130"/>
      <c r="BM4" s="130"/>
      <c r="BN4" s="130"/>
      <c r="BO4" s="130"/>
      <c r="BP4" s="130"/>
      <c r="BQ4" s="130"/>
      <c r="BR4" s="130"/>
      <c r="BS4" s="130"/>
      <c r="BT4" s="130"/>
      <c r="BU4" s="130"/>
      <c r="BV4" s="130"/>
      <c r="BW4" s="130"/>
      <c r="BX4" s="130"/>
      <c r="BY4" s="130"/>
      <c r="BZ4" s="130"/>
      <c r="CA4" s="130"/>
      <c r="CB4" s="130"/>
      <c r="CC4" s="130"/>
      <c r="CD4" s="130"/>
      <c r="CE4" s="130"/>
      <c r="CF4" s="130"/>
    </row>
    <row r="5" ht="15.75" customHeight="1">
      <c r="B5" s="26" t="s">
        <v>1692</v>
      </c>
      <c r="C5" s="26" t="s">
        <v>1693</v>
      </c>
      <c r="D5" s="26" t="s">
        <v>1694</v>
      </c>
      <c r="E5" s="26" t="s">
        <v>1695</v>
      </c>
      <c r="G5" s="6" t="s">
        <v>964</v>
      </c>
      <c r="H5" s="6" t="s">
        <v>967</v>
      </c>
      <c r="I5" s="6" t="s">
        <v>969</v>
      </c>
      <c r="J5" s="6" t="s">
        <v>972</v>
      </c>
      <c r="K5" s="6" t="s">
        <v>975</v>
      </c>
      <c r="L5" s="6" t="s">
        <v>977</v>
      </c>
      <c r="M5" s="6" t="s">
        <v>980</v>
      </c>
      <c r="N5" s="6" t="s">
        <v>982</v>
      </c>
      <c r="O5" s="6" t="s">
        <v>985</v>
      </c>
      <c r="P5" s="6" t="s">
        <v>987</v>
      </c>
      <c r="Q5" s="6" t="s">
        <v>990</v>
      </c>
      <c r="R5" s="6" t="s">
        <v>993</v>
      </c>
      <c r="S5" s="6" t="s">
        <v>995</v>
      </c>
      <c r="T5" s="6" t="s">
        <v>998</v>
      </c>
      <c r="U5" s="6" t="s">
        <v>1000</v>
      </c>
      <c r="V5" s="6" t="s">
        <v>1003</v>
      </c>
      <c r="W5" s="6" t="s">
        <v>1005</v>
      </c>
      <c r="X5" s="6" t="s">
        <v>1008</v>
      </c>
      <c r="Y5" s="6" t="s">
        <v>1010</v>
      </c>
      <c r="Z5" s="6" t="s">
        <v>1013</v>
      </c>
      <c r="AA5" s="6" t="s">
        <v>1016</v>
      </c>
      <c r="AB5" s="6" t="s">
        <v>1018</v>
      </c>
      <c r="AC5" s="6" t="s">
        <v>1021</v>
      </c>
      <c r="AD5" s="6" t="s">
        <v>1023</v>
      </c>
      <c r="AE5" s="6" t="s">
        <v>1026</v>
      </c>
      <c r="AF5" s="6" t="s">
        <v>1028</v>
      </c>
      <c r="AG5" s="6" t="s">
        <v>1030</v>
      </c>
      <c r="AH5" s="6" t="s">
        <v>1032</v>
      </c>
      <c r="AI5" s="6" t="s">
        <v>1035</v>
      </c>
      <c r="AJ5" s="6" t="s">
        <v>1037</v>
      </c>
      <c r="AK5" s="6" t="s">
        <v>1040</v>
      </c>
      <c r="AL5" s="6" t="s">
        <v>1042</v>
      </c>
      <c r="AM5" s="6" t="s">
        <v>1045</v>
      </c>
      <c r="AN5" s="6" t="s">
        <v>1047</v>
      </c>
      <c r="AO5" s="6" t="s">
        <v>1050</v>
      </c>
      <c r="AP5" s="6" t="s">
        <v>1052</v>
      </c>
      <c r="AQ5" s="6" t="s">
        <v>1055</v>
      </c>
      <c r="AR5" s="6" t="s">
        <v>1057</v>
      </c>
      <c r="AS5" s="6" t="s">
        <v>1060</v>
      </c>
      <c r="AT5" s="6" t="s">
        <v>1063</v>
      </c>
      <c r="AU5" s="6" t="s">
        <v>1066</v>
      </c>
      <c r="AV5" s="6" t="s">
        <v>1069</v>
      </c>
      <c r="AW5" s="6" t="s">
        <v>1071</v>
      </c>
      <c r="AX5" s="6" t="s">
        <v>1073</v>
      </c>
      <c r="AY5" s="6" t="s">
        <v>1075</v>
      </c>
      <c r="AZ5" s="6" t="s">
        <v>1077</v>
      </c>
      <c r="BA5" s="6" t="s">
        <v>1080</v>
      </c>
      <c r="BB5" s="6" t="s">
        <v>1082</v>
      </c>
      <c r="BC5" s="6" t="s">
        <v>1085</v>
      </c>
      <c r="BD5" s="6" t="s">
        <v>1088</v>
      </c>
      <c r="BE5" s="6" t="s">
        <v>1091</v>
      </c>
      <c r="BF5" s="6" t="s">
        <v>1094</v>
      </c>
      <c r="BG5" s="6" t="s">
        <v>1096</v>
      </c>
      <c r="BH5" s="6" t="s">
        <v>1099</v>
      </c>
      <c r="BI5" s="6" t="s">
        <v>1101</v>
      </c>
      <c r="BJ5" s="6" t="s">
        <v>1103</v>
      </c>
      <c r="BK5" s="6" t="s">
        <v>1105</v>
      </c>
      <c r="BL5" s="6" t="s">
        <v>1107</v>
      </c>
      <c r="BM5" s="6" t="s">
        <v>1109</v>
      </c>
      <c r="BN5" s="6" t="s">
        <v>1111</v>
      </c>
      <c r="BO5" s="6" t="s">
        <v>1114</v>
      </c>
      <c r="BP5" s="6" t="s">
        <v>1116</v>
      </c>
      <c r="BQ5" s="6" t="s">
        <v>1119</v>
      </c>
      <c r="BR5" s="6" t="s">
        <v>1121</v>
      </c>
      <c r="BS5" s="6" t="s">
        <v>1123</v>
      </c>
      <c r="BT5" s="6" t="s">
        <v>1126</v>
      </c>
      <c r="BU5" s="6" t="s">
        <v>1128</v>
      </c>
      <c r="BV5" s="6" t="s">
        <v>1131</v>
      </c>
      <c r="BW5" s="6" t="s">
        <v>1133</v>
      </c>
      <c r="BX5" s="6" t="s">
        <v>1135</v>
      </c>
      <c r="BY5" s="6" t="s">
        <v>1138</v>
      </c>
      <c r="BZ5" s="6" t="s">
        <v>1140</v>
      </c>
      <c r="CA5" s="6" t="s">
        <v>1143</v>
      </c>
      <c r="CB5" s="6" t="s">
        <v>1145</v>
      </c>
      <c r="CC5" s="6" t="s">
        <v>1147</v>
      </c>
      <c r="CD5" s="6" t="s">
        <v>1150</v>
      </c>
      <c r="CE5" s="6" t="s">
        <v>1153</v>
      </c>
      <c r="CF5" s="6" t="s">
        <v>1155</v>
      </c>
    </row>
    <row r="6" ht="15.75" customHeight="1">
      <c r="B6" s="30" t="s">
        <v>964</v>
      </c>
      <c r="C6" s="32" t="s">
        <v>965</v>
      </c>
      <c r="D6" s="30" t="s">
        <v>1696</v>
      </c>
      <c r="E6" s="31" t="str">
        <f>IFERROR(__xludf.DUMMYFUNCTION("IF(ISBLANK(D6), """", GOOGLETRANSLATE(D6, ""es"", ""en""))"),"Unique identifier of the budget line")</f>
        <v>Unique identifier of the budget line</v>
      </c>
      <c r="G6" s="30" t="s">
        <v>965</v>
      </c>
      <c r="H6" s="30">
        <v>2024.0</v>
      </c>
      <c r="I6" s="30" t="s">
        <v>970</v>
      </c>
      <c r="J6" s="30" t="s">
        <v>973</v>
      </c>
      <c r="K6" s="30">
        <v>201.0</v>
      </c>
      <c r="L6" s="30" t="s">
        <v>978</v>
      </c>
      <c r="M6" s="30">
        <v>1.0</v>
      </c>
      <c r="N6" s="30" t="s">
        <v>983</v>
      </c>
      <c r="O6" s="30">
        <v>9.0</v>
      </c>
      <c r="P6" s="30" t="s">
        <v>988</v>
      </c>
      <c r="Q6" s="30" t="s">
        <v>991</v>
      </c>
      <c r="R6" s="30">
        <v>22.0</v>
      </c>
      <c r="S6" s="30" t="s">
        <v>996</v>
      </c>
      <c r="T6" s="30">
        <v>3.0</v>
      </c>
      <c r="U6" s="30" t="s">
        <v>1001</v>
      </c>
      <c r="V6" s="30">
        <v>90.0</v>
      </c>
      <c r="W6" s="30" t="s">
        <v>1006</v>
      </c>
      <c r="X6" s="30">
        <v>52.0</v>
      </c>
      <c r="Y6" s="30" t="s">
        <v>1011</v>
      </c>
      <c r="Z6" s="30" t="s">
        <v>1014</v>
      </c>
      <c r="AA6" s="30">
        <v>100.0</v>
      </c>
      <c r="AB6" s="30" t="s">
        <v>1019</v>
      </c>
      <c r="AC6" s="30">
        <v>10.0</v>
      </c>
      <c r="AD6" s="30" t="s">
        <v>1024</v>
      </c>
      <c r="AE6" s="30">
        <v>100.0</v>
      </c>
      <c r="AF6" s="30" t="s">
        <v>1024</v>
      </c>
      <c r="AG6" s="30">
        <v>4.0</v>
      </c>
      <c r="AH6" s="30" t="s">
        <v>1033</v>
      </c>
      <c r="AI6" s="131">
        <v>45355.0</v>
      </c>
      <c r="AJ6" s="30" t="s">
        <v>1038</v>
      </c>
      <c r="AK6" s="52">
        <v>37319.0</v>
      </c>
      <c r="AL6" s="30" t="s">
        <v>1043</v>
      </c>
      <c r="AM6" s="30">
        <v>2.0</v>
      </c>
      <c r="AN6" s="30" t="s">
        <v>1048</v>
      </c>
      <c r="AO6" s="131">
        <v>45475.0</v>
      </c>
      <c r="AP6" s="30" t="s">
        <v>1053</v>
      </c>
      <c r="AQ6" s="132">
        <v>37074.0</v>
      </c>
      <c r="AR6" s="30" t="s">
        <v>1058</v>
      </c>
      <c r="AS6" s="30" t="s">
        <v>1061</v>
      </c>
      <c r="AT6" s="30" t="s">
        <v>1064</v>
      </c>
      <c r="AU6" s="30" t="s">
        <v>1067</v>
      </c>
      <c r="AV6" s="30" t="s">
        <v>1064</v>
      </c>
      <c r="AW6" s="30">
        <v>2.0</v>
      </c>
      <c r="AX6" s="30" t="s">
        <v>1048</v>
      </c>
      <c r="AY6" s="131">
        <v>45324.0</v>
      </c>
      <c r="AZ6" s="30" t="s">
        <v>1078</v>
      </c>
      <c r="BA6" s="132">
        <v>37289.0</v>
      </c>
      <c r="BB6" s="30" t="s">
        <v>1083</v>
      </c>
      <c r="BC6" s="30" t="s">
        <v>1086</v>
      </c>
      <c r="BD6" s="30" t="s">
        <v>1089</v>
      </c>
      <c r="BE6" s="30" t="s">
        <v>1092</v>
      </c>
      <c r="BF6" s="30" t="s">
        <v>1064</v>
      </c>
      <c r="BG6" s="30" t="s">
        <v>1097</v>
      </c>
      <c r="BH6" s="30" t="s">
        <v>1097</v>
      </c>
      <c r="BI6" s="30" t="s">
        <v>1097</v>
      </c>
      <c r="BJ6" s="30" t="s">
        <v>1097</v>
      </c>
      <c r="BK6" s="30" t="s">
        <v>1097</v>
      </c>
      <c r="BL6" s="30" t="s">
        <v>1097</v>
      </c>
      <c r="BM6" s="30">
        <v>0.0</v>
      </c>
      <c r="BN6" s="30" t="s">
        <v>1112</v>
      </c>
      <c r="BO6" s="30" t="s">
        <v>66</v>
      </c>
      <c r="BP6" s="30" t="s">
        <v>1117</v>
      </c>
      <c r="BQ6" s="30">
        <v>14676.0</v>
      </c>
      <c r="BR6" s="30" t="s">
        <v>1006</v>
      </c>
      <c r="BS6" s="30" t="s">
        <v>1124</v>
      </c>
      <c r="BT6" s="30">
        <v>1.0</v>
      </c>
      <c r="BU6" s="30" t="s">
        <v>1129</v>
      </c>
      <c r="BV6" s="30" t="s">
        <v>66</v>
      </c>
      <c r="BW6" s="30">
        <v>5.0</v>
      </c>
      <c r="BX6" s="30" t="s">
        <v>1136</v>
      </c>
      <c r="BY6" s="30">
        <v>21.0</v>
      </c>
      <c r="BZ6" s="30" t="s">
        <v>1141</v>
      </c>
      <c r="CA6" s="30">
        <v>1.0</v>
      </c>
      <c r="CB6" s="30" t="s">
        <v>1141</v>
      </c>
      <c r="CC6" s="30" t="s">
        <v>1148</v>
      </c>
      <c r="CD6" s="30" t="s">
        <v>1151</v>
      </c>
      <c r="CE6" s="30" t="s">
        <v>194</v>
      </c>
      <c r="CF6" s="30" t="s">
        <v>1151</v>
      </c>
    </row>
    <row r="7" ht="15.75" customHeight="1">
      <c r="B7" s="30" t="s">
        <v>967</v>
      </c>
      <c r="C7" s="32">
        <v>2024.0</v>
      </c>
      <c r="D7" s="30" t="s">
        <v>1697</v>
      </c>
      <c r="E7" s="31" t="str">
        <f>IFERROR(__xludf.DUMMYFUNCTION("IF(ISBLANK(D7), """", GOOGLETRANSLATE(D7, ""es"", ""en""))"),"Budget line year")</f>
        <v>Budget line year</v>
      </c>
      <c r="G7" s="30" t="s">
        <v>1698</v>
      </c>
      <c r="H7" s="30">
        <v>2024.0</v>
      </c>
      <c r="I7" s="30" t="s">
        <v>970</v>
      </c>
      <c r="J7" s="30" t="s">
        <v>973</v>
      </c>
      <c r="K7" s="30">
        <v>201.0</v>
      </c>
      <c r="L7" s="30" t="s">
        <v>978</v>
      </c>
      <c r="M7" s="30">
        <v>1.0</v>
      </c>
      <c r="N7" s="30" t="s">
        <v>983</v>
      </c>
      <c r="O7" s="30">
        <v>9.0</v>
      </c>
      <c r="P7" s="30" t="s">
        <v>988</v>
      </c>
      <c r="Q7" s="30" t="s">
        <v>991</v>
      </c>
      <c r="R7" s="30">
        <v>22.0</v>
      </c>
      <c r="S7" s="30" t="s">
        <v>996</v>
      </c>
      <c r="T7" s="30">
        <v>3.0</v>
      </c>
      <c r="U7" s="30" t="s">
        <v>1001</v>
      </c>
      <c r="V7" s="30">
        <v>91.0</v>
      </c>
      <c r="W7" s="30" t="s">
        <v>1699</v>
      </c>
      <c r="X7" s="30">
        <v>51.0</v>
      </c>
      <c r="Y7" s="30" t="s">
        <v>1700</v>
      </c>
      <c r="Z7" s="30" t="s">
        <v>1701</v>
      </c>
      <c r="AA7" s="30">
        <v>100.0</v>
      </c>
      <c r="AB7" s="30" t="s">
        <v>1019</v>
      </c>
      <c r="AC7" s="30">
        <v>10.0</v>
      </c>
      <c r="AD7" s="30" t="s">
        <v>1024</v>
      </c>
      <c r="AE7" s="30">
        <v>100.0</v>
      </c>
      <c r="AF7" s="30" t="s">
        <v>1024</v>
      </c>
      <c r="AG7" s="30">
        <v>4.0</v>
      </c>
      <c r="AH7" s="30" t="s">
        <v>1033</v>
      </c>
      <c r="AI7" s="131">
        <v>45355.0</v>
      </c>
      <c r="AJ7" s="30" t="s">
        <v>1038</v>
      </c>
      <c r="AK7" s="52">
        <v>37319.0</v>
      </c>
      <c r="AL7" s="30" t="s">
        <v>1043</v>
      </c>
      <c r="AM7" s="30">
        <v>2.0</v>
      </c>
      <c r="AN7" s="30" t="s">
        <v>1048</v>
      </c>
      <c r="AO7" s="131">
        <v>45475.0</v>
      </c>
      <c r="AP7" s="30" t="s">
        <v>1053</v>
      </c>
      <c r="AQ7" s="132">
        <v>37439.0</v>
      </c>
      <c r="AR7" s="30" t="s">
        <v>1702</v>
      </c>
      <c r="AS7" s="30" t="s">
        <v>1703</v>
      </c>
      <c r="AT7" s="30" t="s">
        <v>1704</v>
      </c>
      <c r="AU7" s="30" t="s">
        <v>1705</v>
      </c>
      <c r="AV7" s="30" t="s">
        <v>1704</v>
      </c>
      <c r="AW7" s="30">
        <v>2.0</v>
      </c>
      <c r="AX7" s="30" t="s">
        <v>1048</v>
      </c>
      <c r="AY7" s="131">
        <v>45324.0</v>
      </c>
      <c r="AZ7" s="30" t="s">
        <v>1078</v>
      </c>
      <c r="BA7" s="132">
        <v>36924.0</v>
      </c>
      <c r="BB7" s="30" t="s">
        <v>1706</v>
      </c>
      <c r="BC7" s="30" t="s">
        <v>1707</v>
      </c>
      <c r="BD7" s="30" t="s">
        <v>1708</v>
      </c>
      <c r="BE7" s="30" t="s">
        <v>1097</v>
      </c>
      <c r="BF7" s="30" t="s">
        <v>1097</v>
      </c>
      <c r="BG7" s="30" t="s">
        <v>1097</v>
      </c>
      <c r="BH7" s="30" t="s">
        <v>1097</v>
      </c>
      <c r="BI7" s="30" t="s">
        <v>1097</v>
      </c>
      <c r="BJ7" s="30" t="s">
        <v>1097</v>
      </c>
      <c r="BK7" s="30" t="s">
        <v>1097</v>
      </c>
      <c r="BL7" s="30" t="s">
        <v>1097</v>
      </c>
      <c r="BM7" s="30">
        <v>0.0</v>
      </c>
      <c r="BN7" s="30" t="s">
        <v>1112</v>
      </c>
      <c r="BO7" s="30" t="s">
        <v>1097</v>
      </c>
      <c r="BP7" s="30" t="s">
        <v>1709</v>
      </c>
      <c r="BQ7" s="30">
        <v>14677.0</v>
      </c>
      <c r="BR7" s="30" t="s">
        <v>1699</v>
      </c>
      <c r="BS7" s="30" t="s">
        <v>1710</v>
      </c>
      <c r="BT7" s="30">
        <v>1.0</v>
      </c>
      <c r="BU7" s="30" t="s">
        <v>1129</v>
      </c>
      <c r="BV7" s="30" t="s">
        <v>66</v>
      </c>
      <c r="BW7" s="30">
        <v>5.0</v>
      </c>
      <c r="BX7" s="30" t="s">
        <v>1136</v>
      </c>
      <c r="BY7" s="30">
        <v>21.0</v>
      </c>
      <c r="BZ7" s="30" t="s">
        <v>1141</v>
      </c>
      <c r="CA7" s="30">
        <v>9999.0</v>
      </c>
      <c r="CB7" s="30" t="s">
        <v>1711</v>
      </c>
      <c r="CC7" s="30" t="s">
        <v>1712</v>
      </c>
      <c r="CD7" s="30" t="s">
        <v>194</v>
      </c>
      <c r="CE7" s="30" t="s">
        <v>1713</v>
      </c>
      <c r="CF7" s="30" t="s">
        <v>1713</v>
      </c>
    </row>
    <row r="8" ht="15.75" customHeight="1">
      <c r="B8" s="30" t="s">
        <v>969</v>
      </c>
      <c r="C8" s="32" t="s">
        <v>970</v>
      </c>
      <c r="D8" s="30" t="s">
        <v>1714</v>
      </c>
      <c r="E8" s="31" t="str">
        <f>IFERROR(__xludf.DUMMYFUNCTION("IF(ISBLANK(D8), """", GOOGLETRANSLATE(D8, ""es"", ""en""))"),"Section code")</f>
        <v>Section code</v>
      </c>
      <c r="G8" s="30" t="s">
        <v>1715</v>
      </c>
      <c r="H8" s="30">
        <v>2024.0</v>
      </c>
      <c r="I8" s="30" t="s">
        <v>970</v>
      </c>
      <c r="J8" s="30" t="s">
        <v>973</v>
      </c>
      <c r="K8" s="30">
        <v>201.0</v>
      </c>
      <c r="L8" s="30" t="s">
        <v>978</v>
      </c>
      <c r="M8" s="30">
        <v>1.0</v>
      </c>
      <c r="N8" s="30" t="s">
        <v>983</v>
      </c>
      <c r="O8" s="30">
        <v>9.0</v>
      </c>
      <c r="P8" s="30" t="s">
        <v>988</v>
      </c>
      <c r="Q8" s="30" t="s">
        <v>991</v>
      </c>
      <c r="R8" s="30">
        <v>22.0</v>
      </c>
      <c r="S8" s="30" t="s">
        <v>996</v>
      </c>
      <c r="T8" s="30">
        <v>3.0</v>
      </c>
      <c r="U8" s="30" t="s">
        <v>1001</v>
      </c>
      <c r="V8" s="30">
        <v>92.0</v>
      </c>
      <c r="W8" s="30" t="s">
        <v>1716</v>
      </c>
      <c r="X8" s="30">
        <v>51.0</v>
      </c>
      <c r="Y8" s="30" t="s">
        <v>1717</v>
      </c>
      <c r="Z8" s="30" t="s">
        <v>1718</v>
      </c>
      <c r="AA8" s="30">
        <v>100.0</v>
      </c>
      <c r="AB8" s="30" t="s">
        <v>1019</v>
      </c>
      <c r="AC8" s="30">
        <v>10.0</v>
      </c>
      <c r="AD8" s="30" t="s">
        <v>1024</v>
      </c>
      <c r="AE8" s="30">
        <v>100.0</v>
      </c>
      <c r="AF8" s="30" t="s">
        <v>1024</v>
      </c>
      <c r="AG8" s="30">
        <v>4.0</v>
      </c>
      <c r="AH8" s="30" t="s">
        <v>1033</v>
      </c>
      <c r="AI8" s="131">
        <v>45355.0</v>
      </c>
      <c r="AJ8" s="30" t="s">
        <v>1038</v>
      </c>
      <c r="AK8" s="52">
        <v>37319.0</v>
      </c>
      <c r="AL8" s="30" t="s">
        <v>1043</v>
      </c>
      <c r="AM8" s="30">
        <v>2.0</v>
      </c>
      <c r="AN8" s="30" t="s">
        <v>1048</v>
      </c>
      <c r="AO8" s="131">
        <v>45475.0</v>
      </c>
      <c r="AP8" s="30" t="s">
        <v>1053</v>
      </c>
      <c r="AQ8" s="132">
        <v>37439.0</v>
      </c>
      <c r="AR8" s="30" t="s">
        <v>1702</v>
      </c>
      <c r="AS8" s="30" t="s">
        <v>1719</v>
      </c>
      <c r="AT8" s="30" t="s">
        <v>1720</v>
      </c>
      <c r="AU8" s="30" t="s">
        <v>1721</v>
      </c>
      <c r="AV8" s="30" t="s">
        <v>1720</v>
      </c>
      <c r="AW8" s="30">
        <v>2.0</v>
      </c>
      <c r="AX8" s="30" t="s">
        <v>1048</v>
      </c>
      <c r="AY8" s="131">
        <v>45324.0</v>
      </c>
      <c r="AZ8" s="30" t="s">
        <v>1078</v>
      </c>
      <c r="BA8" s="132">
        <v>36924.0</v>
      </c>
      <c r="BB8" s="30" t="s">
        <v>1706</v>
      </c>
      <c r="BC8" s="30" t="s">
        <v>1707</v>
      </c>
      <c r="BD8" s="30" t="s">
        <v>1708</v>
      </c>
      <c r="BE8" s="30" t="s">
        <v>1097</v>
      </c>
      <c r="BF8" s="30" t="s">
        <v>1097</v>
      </c>
      <c r="BG8" s="30" t="s">
        <v>1097</v>
      </c>
      <c r="BH8" s="30" t="s">
        <v>1097</v>
      </c>
      <c r="BI8" s="30" t="s">
        <v>1097</v>
      </c>
      <c r="BJ8" s="30" t="s">
        <v>1097</v>
      </c>
      <c r="BK8" s="30" t="s">
        <v>1097</v>
      </c>
      <c r="BL8" s="30" t="s">
        <v>1097</v>
      </c>
      <c r="BM8" s="30">
        <v>0.0</v>
      </c>
      <c r="BN8" s="30" t="s">
        <v>1112</v>
      </c>
      <c r="BO8" s="30" t="s">
        <v>66</v>
      </c>
      <c r="BP8" s="30" t="s">
        <v>1117</v>
      </c>
      <c r="BQ8" s="30">
        <v>14678.0</v>
      </c>
      <c r="BR8" s="30" t="s">
        <v>1716</v>
      </c>
      <c r="BS8" s="30" t="s">
        <v>1722</v>
      </c>
      <c r="BT8" s="30">
        <v>1.0</v>
      </c>
      <c r="BU8" s="30" t="s">
        <v>1129</v>
      </c>
      <c r="BV8" s="30" t="s">
        <v>66</v>
      </c>
      <c r="BW8" s="30">
        <v>2.0</v>
      </c>
      <c r="BX8" s="30" t="s">
        <v>1723</v>
      </c>
      <c r="BY8" s="30">
        <v>28.0</v>
      </c>
      <c r="BZ8" s="30" t="s">
        <v>1724</v>
      </c>
      <c r="CA8" s="30">
        <v>1.0</v>
      </c>
      <c r="CB8" s="30" t="s">
        <v>1725</v>
      </c>
      <c r="CC8" s="30" t="s">
        <v>1726</v>
      </c>
      <c r="CD8" s="30" t="s">
        <v>1727</v>
      </c>
      <c r="CE8" s="30" t="s">
        <v>1728</v>
      </c>
      <c r="CF8" s="30" t="s">
        <v>1729</v>
      </c>
    </row>
    <row r="9" ht="15.75" customHeight="1">
      <c r="B9" s="30" t="s">
        <v>972</v>
      </c>
      <c r="C9" s="32" t="s">
        <v>973</v>
      </c>
      <c r="D9" s="30" t="s">
        <v>1730</v>
      </c>
      <c r="E9" s="31" t="str">
        <f>IFERROR(__xludf.DUMMYFUNCTION("IF(ISBLANK(D9), """", GOOGLETRANSLATE(D9, ""es"", ""en""))"),"Section Description")</f>
        <v>Section Description</v>
      </c>
      <c r="G9" s="30" t="s">
        <v>1731</v>
      </c>
      <c r="H9" s="30">
        <v>2024.0</v>
      </c>
      <c r="I9" s="30" t="s">
        <v>970</v>
      </c>
      <c r="J9" s="30" t="s">
        <v>973</v>
      </c>
      <c r="K9" s="30">
        <v>201.0</v>
      </c>
      <c r="L9" s="30" t="s">
        <v>978</v>
      </c>
      <c r="M9" s="30">
        <v>1.0</v>
      </c>
      <c r="N9" s="30" t="s">
        <v>983</v>
      </c>
      <c r="O9" s="30">
        <v>9.0</v>
      </c>
      <c r="P9" s="30" t="s">
        <v>988</v>
      </c>
      <c r="Q9" s="30" t="s">
        <v>991</v>
      </c>
      <c r="R9" s="30">
        <v>22.0</v>
      </c>
      <c r="S9" s="30" t="s">
        <v>996</v>
      </c>
      <c r="T9" s="30">
        <v>3.0</v>
      </c>
      <c r="U9" s="30" t="s">
        <v>1001</v>
      </c>
      <c r="V9" s="30">
        <v>92.0</v>
      </c>
      <c r="W9" s="30" t="s">
        <v>1716</v>
      </c>
      <c r="X9" s="30">
        <v>52.0</v>
      </c>
      <c r="Y9" s="30" t="s">
        <v>1732</v>
      </c>
      <c r="Z9" s="30" t="s">
        <v>1733</v>
      </c>
      <c r="AA9" s="30">
        <v>100.0</v>
      </c>
      <c r="AB9" s="30" t="s">
        <v>1019</v>
      </c>
      <c r="AC9" s="30">
        <v>10.0</v>
      </c>
      <c r="AD9" s="30" t="s">
        <v>1024</v>
      </c>
      <c r="AE9" s="30">
        <v>100.0</v>
      </c>
      <c r="AF9" s="30" t="s">
        <v>1024</v>
      </c>
      <c r="AG9" s="30">
        <v>4.0</v>
      </c>
      <c r="AH9" s="30" t="s">
        <v>1033</v>
      </c>
      <c r="AI9" s="131">
        <v>45355.0</v>
      </c>
      <c r="AJ9" s="30" t="s">
        <v>1038</v>
      </c>
      <c r="AK9" s="52">
        <v>37319.0</v>
      </c>
      <c r="AL9" s="30" t="s">
        <v>1043</v>
      </c>
      <c r="AM9" s="30">
        <v>2.0</v>
      </c>
      <c r="AN9" s="30" t="s">
        <v>1048</v>
      </c>
      <c r="AO9" s="131">
        <v>45475.0</v>
      </c>
      <c r="AP9" s="30" t="s">
        <v>1053</v>
      </c>
      <c r="AQ9" s="132">
        <v>37074.0</v>
      </c>
      <c r="AR9" s="30" t="s">
        <v>1058</v>
      </c>
      <c r="AS9" s="30" t="s">
        <v>1061</v>
      </c>
      <c r="AT9" s="30" t="s">
        <v>1064</v>
      </c>
      <c r="AU9" s="30" t="s">
        <v>1067</v>
      </c>
      <c r="AV9" s="30" t="s">
        <v>1064</v>
      </c>
      <c r="AW9" s="30">
        <v>2.0</v>
      </c>
      <c r="AX9" s="30" t="s">
        <v>1048</v>
      </c>
      <c r="AY9" s="131">
        <v>45324.0</v>
      </c>
      <c r="AZ9" s="30" t="s">
        <v>1078</v>
      </c>
      <c r="BA9" s="132">
        <v>37289.0</v>
      </c>
      <c r="BB9" s="30" t="s">
        <v>1083</v>
      </c>
      <c r="BC9" s="30" t="s">
        <v>1086</v>
      </c>
      <c r="BD9" s="30" t="s">
        <v>1089</v>
      </c>
      <c r="BE9" s="30" t="s">
        <v>1092</v>
      </c>
      <c r="BF9" s="30" t="s">
        <v>1064</v>
      </c>
      <c r="BG9" s="30" t="s">
        <v>1097</v>
      </c>
      <c r="BH9" s="30" t="s">
        <v>1097</v>
      </c>
      <c r="BI9" s="30" t="s">
        <v>1097</v>
      </c>
      <c r="BJ9" s="30" t="s">
        <v>1097</v>
      </c>
      <c r="BK9" s="30" t="s">
        <v>1097</v>
      </c>
      <c r="BL9" s="30" t="s">
        <v>1097</v>
      </c>
      <c r="BM9" s="30">
        <v>0.0</v>
      </c>
      <c r="BN9" s="30" t="s">
        <v>1112</v>
      </c>
      <c r="BO9" s="30" t="s">
        <v>66</v>
      </c>
      <c r="BP9" s="30" t="s">
        <v>1117</v>
      </c>
      <c r="BQ9" s="30">
        <v>14678.0</v>
      </c>
      <c r="BR9" s="30" t="s">
        <v>1716</v>
      </c>
      <c r="BS9" s="30" t="s">
        <v>1722</v>
      </c>
      <c r="BT9" s="30">
        <v>1.0</v>
      </c>
      <c r="BU9" s="30" t="s">
        <v>1129</v>
      </c>
      <c r="BV9" s="30" t="s">
        <v>66</v>
      </c>
      <c r="BW9" s="30">
        <v>2.0</v>
      </c>
      <c r="BX9" s="30" t="s">
        <v>1723</v>
      </c>
      <c r="BY9" s="30">
        <v>28.0</v>
      </c>
      <c r="BZ9" s="30" t="s">
        <v>1724</v>
      </c>
      <c r="CA9" s="30">
        <v>1.0</v>
      </c>
      <c r="CB9" s="30" t="s">
        <v>1725</v>
      </c>
      <c r="CC9" s="30" t="s">
        <v>1734</v>
      </c>
      <c r="CD9" s="30" t="s">
        <v>1735</v>
      </c>
      <c r="CE9" s="30" t="s">
        <v>1736</v>
      </c>
      <c r="CF9" s="30" t="s">
        <v>1737</v>
      </c>
    </row>
    <row r="10" ht="15.75" customHeight="1">
      <c r="B10" s="30" t="s">
        <v>975</v>
      </c>
      <c r="C10" s="32">
        <v>201.0</v>
      </c>
      <c r="D10" s="30" t="s">
        <v>1738</v>
      </c>
      <c r="E10" s="31" t="str">
        <f>IFERROR(__xludf.DUMMYFUNCTION("IF(ISBLANK(D10), """", GOOGLETRANSLATE(D10, ""es"", ""en""))"),"Chapter Code")</f>
        <v>Chapter Code</v>
      </c>
      <c r="G10" s="30" t="s">
        <v>1739</v>
      </c>
      <c r="H10" s="30">
        <v>2024.0</v>
      </c>
      <c r="I10" s="30" t="s">
        <v>970</v>
      </c>
      <c r="J10" s="30" t="s">
        <v>973</v>
      </c>
      <c r="K10" s="30">
        <v>201.0</v>
      </c>
      <c r="L10" s="30" t="s">
        <v>978</v>
      </c>
      <c r="M10" s="30">
        <v>1.0</v>
      </c>
      <c r="N10" s="30" t="s">
        <v>983</v>
      </c>
      <c r="O10" s="30">
        <v>9.0</v>
      </c>
      <c r="P10" s="30" t="s">
        <v>988</v>
      </c>
      <c r="Q10" s="30" t="s">
        <v>991</v>
      </c>
      <c r="R10" s="30">
        <v>22.0</v>
      </c>
      <c r="S10" s="30" t="s">
        <v>996</v>
      </c>
      <c r="T10" s="30">
        <v>3.0</v>
      </c>
      <c r="U10" s="30" t="s">
        <v>1001</v>
      </c>
      <c r="V10" s="30">
        <v>93.0</v>
      </c>
      <c r="W10" s="30" t="s">
        <v>1740</v>
      </c>
      <c r="X10" s="30">
        <v>51.0</v>
      </c>
      <c r="Y10" s="30" t="s">
        <v>1741</v>
      </c>
      <c r="Z10" s="30" t="s">
        <v>1742</v>
      </c>
      <c r="AA10" s="30">
        <v>100.0</v>
      </c>
      <c r="AB10" s="30" t="s">
        <v>1019</v>
      </c>
      <c r="AC10" s="30">
        <v>10.0</v>
      </c>
      <c r="AD10" s="30" t="s">
        <v>1024</v>
      </c>
      <c r="AE10" s="30">
        <v>100.0</v>
      </c>
      <c r="AF10" s="30" t="s">
        <v>1024</v>
      </c>
      <c r="AG10" s="30">
        <v>4.0</v>
      </c>
      <c r="AH10" s="30" t="s">
        <v>1033</v>
      </c>
      <c r="AI10" s="131">
        <v>45355.0</v>
      </c>
      <c r="AJ10" s="30" t="s">
        <v>1038</v>
      </c>
      <c r="AK10" s="52">
        <v>37319.0</v>
      </c>
      <c r="AL10" s="30" t="s">
        <v>1043</v>
      </c>
      <c r="AM10" s="30">
        <v>2.0</v>
      </c>
      <c r="AN10" s="30" t="s">
        <v>1048</v>
      </c>
      <c r="AO10" s="131">
        <v>45475.0</v>
      </c>
      <c r="AP10" s="30" t="s">
        <v>1053</v>
      </c>
      <c r="AQ10" s="132">
        <v>37439.0</v>
      </c>
      <c r="AR10" s="30" t="s">
        <v>1702</v>
      </c>
      <c r="AS10" s="30" t="s">
        <v>1719</v>
      </c>
      <c r="AT10" s="30" t="s">
        <v>1720</v>
      </c>
      <c r="AU10" s="30" t="s">
        <v>1721</v>
      </c>
      <c r="AV10" s="30" t="s">
        <v>1720</v>
      </c>
      <c r="AW10" s="30">
        <v>2.0</v>
      </c>
      <c r="AX10" s="30" t="s">
        <v>1048</v>
      </c>
      <c r="AY10" s="131">
        <v>45324.0</v>
      </c>
      <c r="AZ10" s="30" t="s">
        <v>1078</v>
      </c>
      <c r="BA10" s="132">
        <v>36924.0</v>
      </c>
      <c r="BB10" s="30" t="s">
        <v>1706</v>
      </c>
      <c r="BC10" s="30" t="s">
        <v>1707</v>
      </c>
      <c r="BD10" s="30" t="s">
        <v>1708</v>
      </c>
      <c r="BE10" s="30" t="s">
        <v>1097</v>
      </c>
      <c r="BF10" s="30" t="s">
        <v>1097</v>
      </c>
      <c r="BG10" s="30" t="s">
        <v>1097</v>
      </c>
      <c r="BH10" s="30" t="s">
        <v>1097</v>
      </c>
      <c r="BI10" s="30" t="s">
        <v>1097</v>
      </c>
      <c r="BJ10" s="30" t="s">
        <v>1097</v>
      </c>
      <c r="BK10" s="30" t="s">
        <v>1097</v>
      </c>
      <c r="BL10" s="30" t="s">
        <v>1097</v>
      </c>
      <c r="BM10" s="30">
        <v>0.0</v>
      </c>
      <c r="BN10" s="30" t="s">
        <v>1112</v>
      </c>
      <c r="BO10" s="30" t="s">
        <v>66</v>
      </c>
      <c r="BP10" s="30" t="s">
        <v>1117</v>
      </c>
      <c r="BQ10" s="30">
        <v>14679.0</v>
      </c>
      <c r="BR10" s="30" t="s">
        <v>1740</v>
      </c>
      <c r="BS10" s="30" t="s">
        <v>1743</v>
      </c>
      <c r="BT10" s="30">
        <v>1.0</v>
      </c>
      <c r="BU10" s="30" t="s">
        <v>1129</v>
      </c>
      <c r="BV10" s="30" t="s">
        <v>66</v>
      </c>
      <c r="BW10" s="30">
        <v>2.0</v>
      </c>
      <c r="BX10" s="30" t="s">
        <v>1723</v>
      </c>
      <c r="BY10" s="30">
        <v>28.0</v>
      </c>
      <c r="BZ10" s="30" t="s">
        <v>1724</v>
      </c>
      <c r="CA10" s="30">
        <v>3.0</v>
      </c>
      <c r="CB10" s="30" t="s">
        <v>1744</v>
      </c>
      <c r="CC10" s="30" t="s">
        <v>1745</v>
      </c>
      <c r="CD10" s="30" t="s">
        <v>1746</v>
      </c>
      <c r="CE10" s="30" t="s">
        <v>194</v>
      </c>
      <c r="CF10" s="30" t="s">
        <v>1746</v>
      </c>
    </row>
    <row r="11" ht="15.75" customHeight="1">
      <c r="B11" s="30" t="s">
        <v>977</v>
      </c>
      <c r="C11" s="32" t="s">
        <v>978</v>
      </c>
      <c r="D11" s="30" t="s">
        <v>1747</v>
      </c>
      <c r="E11" s="31" t="str">
        <f>IFERROR(__xludf.DUMMYFUNCTION("IF(ISBLANK(D11), """", GOOGLETRANSLATE(D11, ""es"", ""en""))"),"Chapter Name")</f>
        <v>Chapter Name</v>
      </c>
      <c r="G11" s="30" t="s">
        <v>1748</v>
      </c>
      <c r="H11" s="30">
        <v>2024.0</v>
      </c>
      <c r="I11" s="30" t="s">
        <v>970</v>
      </c>
      <c r="J11" s="30" t="s">
        <v>973</v>
      </c>
      <c r="K11" s="30">
        <v>201.0</v>
      </c>
      <c r="L11" s="30" t="s">
        <v>978</v>
      </c>
      <c r="M11" s="30">
        <v>1.0</v>
      </c>
      <c r="N11" s="30" t="s">
        <v>983</v>
      </c>
      <c r="O11" s="30">
        <v>9.0</v>
      </c>
      <c r="P11" s="30" t="s">
        <v>988</v>
      </c>
      <c r="Q11" s="30" t="s">
        <v>991</v>
      </c>
      <c r="R11" s="30">
        <v>22.0</v>
      </c>
      <c r="S11" s="30" t="s">
        <v>996</v>
      </c>
      <c r="T11" s="30">
        <v>3.0</v>
      </c>
      <c r="U11" s="30" t="s">
        <v>1001</v>
      </c>
      <c r="V11" s="30">
        <v>93.0</v>
      </c>
      <c r="W11" s="30" t="s">
        <v>1740</v>
      </c>
      <c r="X11" s="30">
        <v>52.0</v>
      </c>
      <c r="Y11" s="30" t="s">
        <v>1732</v>
      </c>
      <c r="Z11" s="30" t="s">
        <v>1749</v>
      </c>
      <c r="AA11" s="30">
        <v>100.0</v>
      </c>
      <c r="AB11" s="30" t="s">
        <v>1019</v>
      </c>
      <c r="AC11" s="30">
        <v>10.0</v>
      </c>
      <c r="AD11" s="30" t="s">
        <v>1024</v>
      </c>
      <c r="AE11" s="30">
        <v>100.0</v>
      </c>
      <c r="AF11" s="30" t="s">
        <v>1024</v>
      </c>
      <c r="AG11" s="30">
        <v>4.0</v>
      </c>
      <c r="AH11" s="30" t="s">
        <v>1033</v>
      </c>
      <c r="AI11" s="131">
        <v>45355.0</v>
      </c>
      <c r="AJ11" s="30" t="s">
        <v>1038</v>
      </c>
      <c r="AK11" s="52">
        <v>37319.0</v>
      </c>
      <c r="AL11" s="30" t="s">
        <v>1043</v>
      </c>
      <c r="AM11" s="30">
        <v>2.0</v>
      </c>
      <c r="AN11" s="30" t="s">
        <v>1048</v>
      </c>
      <c r="AO11" s="131">
        <v>45475.0</v>
      </c>
      <c r="AP11" s="30" t="s">
        <v>1053</v>
      </c>
      <c r="AQ11" s="132">
        <v>37074.0</v>
      </c>
      <c r="AR11" s="30" t="s">
        <v>1058</v>
      </c>
      <c r="AS11" s="30" t="s">
        <v>1061</v>
      </c>
      <c r="AT11" s="30" t="s">
        <v>1064</v>
      </c>
      <c r="AU11" s="30" t="s">
        <v>1067</v>
      </c>
      <c r="AV11" s="30" t="s">
        <v>1064</v>
      </c>
      <c r="AW11" s="30">
        <v>2.0</v>
      </c>
      <c r="AX11" s="30" t="s">
        <v>1048</v>
      </c>
      <c r="AY11" s="131">
        <v>45324.0</v>
      </c>
      <c r="AZ11" s="30" t="s">
        <v>1078</v>
      </c>
      <c r="BA11" s="132">
        <v>37289.0</v>
      </c>
      <c r="BB11" s="30" t="s">
        <v>1083</v>
      </c>
      <c r="BC11" s="30" t="s">
        <v>1086</v>
      </c>
      <c r="BD11" s="30" t="s">
        <v>1089</v>
      </c>
      <c r="BE11" s="30" t="s">
        <v>1092</v>
      </c>
      <c r="BF11" s="30" t="s">
        <v>1064</v>
      </c>
      <c r="BG11" s="30" t="s">
        <v>1097</v>
      </c>
      <c r="BH11" s="30" t="s">
        <v>1097</v>
      </c>
      <c r="BI11" s="30" t="s">
        <v>1097</v>
      </c>
      <c r="BJ11" s="30" t="s">
        <v>1097</v>
      </c>
      <c r="BK11" s="30" t="s">
        <v>1097</v>
      </c>
      <c r="BL11" s="30" t="s">
        <v>1097</v>
      </c>
      <c r="BM11" s="30">
        <v>0.0</v>
      </c>
      <c r="BN11" s="30" t="s">
        <v>1112</v>
      </c>
      <c r="BO11" s="30" t="s">
        <v>66</v>
      </c>
      <c r="BP11" s="30" t="s">
        <v>1117</v>
      </c>
      <c r="BQ11" s="30">
        <v>14679.0</v>
      </c>
      <c r="BR11" s="30" t="s">
        <v>1740</v>
      </c>
      <c r="BS11" s="30" t="s">
        <v>1743</v>
      </c>
      <c r="BT11" s="30">
        <v>1.0</v>
      </c>
      <c r="BU11" s="30" t="s">
        <v>1129</v>
      </c>
      <c r="BV11" s="30" t="s">
        <v>66</v>
      </c>
      <c r="BW11" s="30">
        <v>2.0</v>
      </c>
      <c r="BX11" s="30" t="s">
        <v>1723</v>
      </c>
      <c r="BY11" s="30">
        <v>28.0</v>
      </c>
      <c r="BZ11" s="30" t="s">
        <v>1724</v>
      </c>
      <c r="CA11" s="30">
        <v>3.0</v>
      </c>
      <c r="CB11" s="30" t="s">
        <v>1744</v>
      </c>
      <c r="CC11" s="30" t="s">
        <v>1750</v>
      </c>
      <c r="CD11" s="30" t="s">
        <v>1751</v>
      </c>
      <c r="CE11" s="30" t="s">
        <v>194</v>
      </c>
      <c r="CF11" s="30" t="s">
        <v>1751</v>
      </c>
    </row>
    <row r="12" ht="15.75" customHeight="1">
      <c r="B12" s="30" t="s">
        <v>980</v>
      </c>
      <c r="C12" s="32">
        <v>1.0</v>
      </c>
      <c r="D12" s="30" t="s">
        <v>1752</v>
      </c>
      <c r="E12" s="31" t="str">
        <f>IFERROR(__xludf.DUMMYFUNCTION("IF(ISBLANK(D12), """", GOOGLETRANSLATE(D12, ""es"", ""en""))"),"Subchapter Code")</f>
        <v>Subchapter Code</v>
      </c>
      <c r="G12" s="30" t="s">
        <v>1753</v>
      </c>
      <c r="H12" s="30">
        <v>2024.0</v>
      </c>
      <c r="I12" s="30" t="s">
        <v>970</v>
      </c>
      <c r="J12" s="30" t="s">
        <v>973</v>
      </c>
      <c r="K12" s="30">
        <v>201.0</v>
      </c>
      <c r="L12" s="30" t="s">
        <v>978</v>
      </c>
      <c r="M12" s="30">
        <v>1.0</v>
      </c>
      <c r="N12" s="30" t="s">
        <v>983</v>
      </c>
      <c r="O12" s="30">
        <v>9.0</v>
      </c>
      <c r="P12" s="30" t="s">
        <v>988</v>
      </c>
      <c r="Q12" s="30" t="s">
        <v>991</v>
      </c>
      <c r="R12" s="30">
        <v>22.0</v>
      </c>
      <c r="S12" s="30" t="s">
        <v>996</v>
      </c>
      <c r="T12" s="30">
        <v>3.0</v>
      </c>
      <c r="U12" s="30" t="s">
        <v>1001</v>
      </c>
      <c r="V12" s="30">
        <v>94.0</v>
      </c>
      <c r="W12" s="30" t="s">
        <v>1754</v>
      </c>
      <c r="X12" s="30">
        <v>51.0</v>
      </c>
      <c r="Y12" s="30" t="s">
        <v>1755</v>
      </c>
      <c r="Z12" s="30" t="s">
        <v>1756</v>
      </c>
      <c r="AA12" s="30">
        <v>100.0</v>
      </c>
      <c r="AB12" s="30" t="s">
        <v>1019</v>
      </c>
      <c r="AC12" s="30">
        <v>10.0</v>
      </c>
      <c r="AD12" s="30" t="s">
        <v>1024</v>
      </c>
      <c r="AE12" s="30">
        <v>100.0</v>
      </c>
      <c r="AF12" s="30" t="s">
        <v>1024</v>
      </c>
      <c r="AG12" s="30">
        <v>4.0</v>
      </c>
      <c r="AH12" s="30" t="s">
        <v>1033</v>
      </c>
      <c r="AI12" s="131">
        <v>45355.0</v>
      </c>
      <c r="AJ12" s="30" t="s">
        <v>1038</v>
      </c>
      <c r="AK12" s="52">
        <v>37319.0</v>
      </c>
      <c r="AL12" s="30" t="s">
        <v>1043</v>
      </c>
      <c r="AM12" s="30">
        <v>2.0</v>
      </c>
      <c r="AN12" s="30" t="s">
        <v>1048</v>
      </c>
      <c r="AO12" s="131">
        <v>45475.0</v>
      </c>
      <c r="AP12" s="30" t="s">
        <v>1053</v>
      </c>
      <c r="AQ12" s="132">
        <v>37439.0</v>
      </c>
      <c r="AR12" s="30" t="s">
        <v>1702</v>
      </c>
      <c r="AS12" s="30" t="s">
        <v>1719</v>
      </c>
      <c r="AT12" s="30" t="s">
        <v>1720</v>
      </c>
      <c r="AU12" s="30" t="s">
        <v>1721</v>
      </c>
      <c r="AV12" s="30" t="s">
        <v>1720</v>
      </c>
      <c r="AW12" s="30">
        <v>2.0</v>
      </c>
      <c r="AX12" s="30" t="s">
        <v>1048</v>
      </c>
      <c r="AY12" s="131">
        <v>45324.0</v>
      </c>
      <c r="AZ12" s="30" t="s">
        <v>1078</v>
      </c>
      <c r="BA12" s="132">
        <v>36924.0</v>
      </c>
      <c r="BB12" s="30" t="s">
        <v>1706</v>
      </c>
      <c r="BC12" s="30" t="s">
        <v>1707</v>
      </c>
      <c r="BD12" s="30" t="s">
        <v>1708</v>
      </c>
      <c r="BE12" s="30" t="s">
        <v>1097</v>
      </c>
      <c r="BF12" s="30" t="s">
        <v>1097</v>
      </c>
      <c r="BG12" s="30" t="s">
        <v>1097</v>
      </c>
      <c r="BH12" s="30" t="s">
        <v>1097</v>
      </c>
      <c r="BI12" s="30" t="s">
        <v>1097</v>
      </c>
      <c r="BJ12" s="30" t="s">
        <v>1097</v>
      </c>
      <c r="BK12" s="30" t="s">
        <v>1097</v>
      </c>
      <c r="BL12" s="30" t="s">
        <v>1097</v>
      </c>
      <c r="BM12" s="30">
        <v>0.0</v>
      </c>
      <c r="BN12" s="30" t="s">
        <v>1112</v>
      </c>
      <c r="BO12" s="30" t="s">
        <v>66</v>
      </c>
      <c r="BP12" s="30" t="s">
        <v>1117</v>
      </c>
      <c r="BQ12" s="30">
        <v>14681.0</v>
      </c>
      <c r="BR12" s="30" t="s">
        <v>1754</v>
      </c>
      <c r="BS12" s="30" t="s">
        <v>1757</v>
      </c>
      <c r="BT12" s="30">
        <v>1.0</v>
      </c>
      <c r="BU12" s="30" t="s">
        <v>1129</v>
      </c>
      <c r="BV12" s="30" t="s">
        <v>66</v>
      </c>
      <c r="BW12" s="30">
        <v>2.0</v>
      </c>
      <c r="BX12" s="30" t="s">
        <v>1723</v>
      </c>
      <c r="BY12" s="30">
        <v>28.0</v>
      </c>
      <c r="BZ12" s="30" t="s">
        <v>1724</v>
      </c>
      <c r="CA12" s="30">
        <v>1.0</v>
      </c>
      <c r="CB12" s="30" t="s">
        <v>1725</v>
      </c>
      <c r="CC12" s="30" t="s">
        <v>1758</v>
      </c>
      <c r="CD12" s="30" t="s">
        <v>1759</v>
      </c>
      <c r="CE12" s="30" t="s">
        <v>194</v>
      </c>
      <c r="CF12" s="30" t="s">
        <v>1759</v>
      </c>
    </row>
    <row r="13" ht="15.75" customHeight="1">
      <c r="B13" s="30" t="s">
        <v>982</v>
      </c>
      <c r="C13" s="32" t="s">
        <v>983</v>
      </c>
      <c r="D13" s="30" t="s">
        <v>1760</v>
      </c>
      <c r="E13" s="31" t="str">
        <f>IFERROR(__xludf.DUMMYFUNCTION("IF(ISBLANK(D13), """", GOOGLETRANSLATE(D13, ""es"", ""en""))"),"Subchapter NAME")</f>
        <v>Subchapter NAME</v>
      </c>
      <c r="G13" s="30" t="s">
        <v>1761</v>
      </c>
      <c r="H13" s="30">
        <v>2024.0</v>
      </c>
      <c r="I13" s="30" t="s">
        <v>970</v>
      </c>
      <c r="J13" s="30" t="s">
        <v>973</v>
      </c>
      <c r="K13" s="30">
        <v>201.0</v>
      </c>
      <c r="L13" s="30" t="s">
        <v>978</v>
      </c>
      <c r="M13" s="30">
        <v>1.0</v>
      </c>
      <c r="N13" s="30" t="s">
        <v>983</v>
      </c>
      <c r="O13" s="30">
        <v>9.0</v>
      </c>
      <c r="P13" s="30" t="s">
        <v>988</v>
      </c>
      <c r="Q13" s="30" t="s">
        <v>991</v>
      </c>
      <c r="R13" s="30">
        <v>22.0</v>
      </c>
      <c r="S13" s="30" t="s">
        <v>996</v>
      </c>
      <c r="T13" s="30">
        <v>3.0</v>
      </c>
      <c r="U13" s="30" t="s">
        <v>1001</v>
      </c>
      <c r="V13" s="30">
        <v>94.0</v>
      </c>
      <c r="W13" s="30" t="s">
        <v>1754</v>
      </c>
      <c r="X13" s="30">
        <v>52.0</v>
      </c>
      <c r="Y13" s="30" t="s">
        <v>1732</v>
      </c>
      <c r="Z13" s="30" t="s">
        <v>1762</v>
      </c>
      <c r="AA13" s="30">
        <v>100.0</v>
      </c>
      <c r="AB13" s="30" t="s">
        <v>1019</v>
      </c>
      <c r="AC13" s="30">
        <v>10.0</v>
      </c>
      <c r="AD13" s="30" t="s">
        <v>1024</v>
      </c>
      <c r="AE13" s="30">
        <v>100.0</v>
      </c>
      <c r="AF13" s="30" t="s">
        <v>1024</v>
      </c>
      <c r="AG13" s="30">
        <v>4.0</v>
      </c>
      <c r="AH13" s="30" t="s">
        <v>1033</v>
      </c>
      <c r="AI13" s="131">
        <v>45355.0</v>
      </c>
      <c r="AJ13" s="30" t="s">
        <v>1038</v>
      </c>
      <c r="AK13" s="52">
        <v>37319.0</v>
      </c>
      <c r="AL13" s="30" t="s">
        <v>1043</v>
      </c>
      <c r="AM13" s="30">
        <v>2.0</v>
      </c>
      <c r="AN13" s="30" t="s">
        <v>1048</v>
      </c>
      <c r="AO13" s="131">
        <v>45475.0</v>
      </c>
      <c r="AP13" s="30" t="s">
        <v>1053</v>
      </c>
      <c r="AQ13" s="132">
        <v>37074.0</v>
      </c>
      <c r="AR13" s="30" t="s">
        <v>1058</v>
      </c>
      <c r="AS13" s="30" t="s">
        <v>1061</v>
      </c>
      <c r="AT13" s="30" t="s">
        <v>1064</v>
      </c>
      <c r="AU13" s="30" t="s">
        <v>1067</v>
      </c>
      <c r="AV13" s="30" t="s">
        <v>1064</v>
      </c>
      <c r="AW13" s="30">
        <v>2.0</v>
      </c>
      <c r="AX13" s="30" t="s">
        <v>1048</v>
      </c>
      <c r="AY13" s="131">
        <v>45324.0</v>
      </c>
      <c r="AZ13" s="30" t="s">
        <v>1078</v>
      </c>
      <c r="BA13" s="132">
        <v>37289.0</v>
      </c>
      <c r="BB13" s="30" t="s">
        <v>1083</v>
      </c>
      <c r="BC13" s="30" t="s">
        <v>1086</v>
      </c>
      <c r="BD13" s="30" t="s">
        <v>1089</v>
      </c>
      <c r="BE13" s="30" t="s">
        <v>1092</v>
      </c>
      <c r="BF13" s="30" t="s">
        <v>1064</v>
      </c>
      <c r="BG13" s="30" t="s">
        <v>1097</v>
      </c>
      <c r="BH13" s="30" t="s">
        <v>1097</v>
      </c>
      <c r="BI13" s="30" t="s">
        <v>1097</v>
      </c>
      <c r="BJ13" s="30" t="s">
        <v>1097</v>
      </c>
      <c r="BK13" s="30" t="s">
        <v>1097</v>
      </c>
      <c r="BL13" s="30" t="s">
        <v>1097</v>
      </c>
      <c r="BM13" s="30">
        <v>0.0</v>
      </c>
      <c r="BN13" s="30" t="s">
        <v>1112</v>
      </c>
      <c r="BO13" s="30" t="s">
        <v>66</v>
      </c>
      <c r="BP13" s="30" t="s">
        <v>1117</v>
      </c>
      <c r="BQ13" s="30">
        <v>14681.0</v>
      </c>
      <c r="BR13" s="30" t="s">
        <v>1754</v>
      </c>
      <c r="BS13" s="30" t="s">
        <v>1757</v>
      </c>
      <c r="BT13" s="30">
        <v>1.0</v>
      </c>
      <c r="BU13" s="30" t="s">
        <v>1129</v>
      </c>
      <c r="BV13" s="30" t="s">
        <v>66</v>
      </c>
      <c r="BW13" s="30">
        <v>2.0</v>
      </c>
      <c r="BX13" s="30" t="s">
        <v>1723</v>
      </c>
      <c r="BY13" s="30">
        <v>28.0</v>
      </c>
      <c r="BZ13" s="30" t="s">
        <v>1724</v>
      </c>
      <c r="CA13" s="30">
        <v>1.0</v>
      </c>
      <c r="CB13" s="30" t="s">
        <v>1725</v>
      </c>
      <c r="CC13" s="30" t="s">
        <v>1763</v>
      </c>
      <c r="CD13" s="30" t="s">
        <v>1735</v>
      </c>
      <c r="CE13" s="30" t="s">
        <v>194</v>
      </c>
      <c r="CF13" s="30" t="s">
        <v>1735</v>
      </c>
    </row>
    <row r="14" ht="15.75" customHeight="1">
      <c r="B14" s="30" t="s">
        <v>985</v>
      </c>
      <c r="C14" s="32">
        <v>9.0</v>
      </c>
      <c r="D14" s="30" t="s">
        <v>1764</v>
      </c>
      <c r="E14" s="31" t="str">
        <f>IFERROR(__xludf.DUMMYFUNCTION("IF(ISBLANK(D14), """", GOOGLETRANSLATE(D14, ""es"", ""en""))"),"Executing entity code")</f>
        <v>Executing entity code</v>
      </c>
      <c r="G14" s="30" t="s">
        <v>1765</v>
      </c>
      <c r="H14" s="30">
        <v>2024.0</v>
      </c>
      <c r="I14" s="30" t="s">
        <v>970</v>
      </c>
      <c r="J14" s="30" t="s">
        <v>973</v>
      </c>
      <c r="K14" s="30">
        <v>201.0</v>
      </c>
      <c r="L14" s="30" t="s">
        <v>978</v>
      </c>
      <c r="M14" s="30">
        <v>1.0</v>
      </c>
      <c r="N14" s="30" t="s">
        <v>983</v>
      </c>
      <c r="O14" s="30">
        <v>9.0</v>
      </c>
      <c r="P14" s="30" t="s">
        <v>988</v>
      </c>
      <c r="Q14" s="30" t="s">
        <v>991</v>
      </c>
      <c r="R14" s="30">
        <v>22.0</v>
      </c>
      <c r="S14" s="30" t="s">
        <v>996</v>
      </c>
      <c r="T14" s="30">
        <v>3.0</v>
      </c>
      <c r="U14" s="30" t="s">
        <v>1001</v>
      </c>
      <c r="V14" s="30">
        <v>95.0</v>
      </c>
      <c r="W14" s="30" t="s">
        <v>1766</v>
      </c>
      <c r="X14" s="30">
        <v>51.0</v>
      </c>
      <c r="Y14" s="30" t="s">
        <v>1767</v>
      </c>
      <c r="Z14" s="30" t="s">
        <v>1768</v>
      </c>
      <c r="AA14" s="30">
        <v>100.0</v>
      </c>
      <c r="AB14" s="30" t="s">
        <v>1019</v>
      </c>
      <c r="AC14" s="30">
        <v>10.0</v>
      </c>
      <c r="AD14" s="30" t="s">
        <v>1024</v>
      </c>
      <c r="AE14" s="30">
        <v>100.0</v>
      </c>
      <c r="AF14" s="30" t="s">
        <v>1024</v>
      </c>
      <c r="AG14" s="30">
        <v>4.0</v>
      </c>
      <c r="AH14" s="30" t="s">
        <v>1033</v>
      </c>
      <c r="AI14" s="131">
        <v>45355.0</v>
      </c>
      <c r="AJ14" s="30" t="s">
        <v>1038</v>
      </c>
      <c r="AK14" s="52">
        <v>37319.0</v>
      </c>
      <c r="AL14" s="30" t="s">
        <v>1043</v>
      </c>
      <c r="AM14" s="30">
        <v>2.0</v>
      </c>
      <c r="AN14" s="30" t="s">
        <v>1048</v>
      </c>
      <c r="AO14" s="131">
        <v>45475.0</v>
      </c>
      <c r="AP14" s="30" t="s">
        <v>1053</v>
      </c>
      <c r="AQ14" s="132">
        <v>37439.0</v>
      </c>
      <c r="AR14" s="30" t="s">
        <v>1702</v>
      </c>
      <c r="AS14" s="30" t="s">
        <v>1719</v>
      </c>
      <c r="AT14" s="30" t="s">
        <v>1720</v>
      </c>
      <c r="AU14" s="30" t="s">
        <v>1721</v>
      </c>
      <c r="AV14" s="30" t="s">
        <v>1720</v>
      </c>
      <c r="AW14" s="30">
        <v>2.0</v>
      </c>
      <c r="AX14" s="30" t="s">
        <v>1048</v>
      </c>
      <c r="AY14" s="131">
        <v>45324.0</v>
      </c>
      <c r="AZ14" s="30" t="s">
        <v>1078</v>
      </c>
      <c r="BA14" s="132">
        <v>36924.0</v>
      </c>
      <c r="BB14" s="30" t="s">
        <v>1706</v>
      </c>
      <c r="BC14" s="30" t="s">
        <v>1707</v>
      </c>
      <c r="BD14" s="30" t="s">
        <v>1708</v>
      </c>
      <c r="BE14" s="30" t="s">
        <v>1097</v>
      </c>
      <c r="BF14" s="30" t="s">
        <v>1097</v>
      </c>
      <c r="BG14" s="30" t="s">
        <v>1097</v>
      </c>
      <c r="BH14" s="30" t="s">
        <v>1097</v>
      </c>
      <c r="BI14" s="30" t="s">
        <v>1097</v>
      </c>
      <c r="BJ14" s="30" t="s">
        <v>1097</v>
      </c>
      <c r="BK14" s="30" t="s">
        <v>1097</v>
      </c>
      <c r="BL14" s="30" t="s">
        <v>1097</v>
      </c>
      <c r="BM14" s="30">
        <v>0.0</v>
      </c>
      <c r="BN14" s="30" t="s">
        <v>1112</v>
      </c>
      <c r="BO14" s="30" t="s">
        <v>66</v>
      </c>
      <c r="BP14" s="30" t="s">
        <v>1117</v>
      </c>
      <c r="BQ14" s="30">
        <v>14694.0</v>
      </c>
      <c r="BR14" s="30" t="s">
        <v>1766</v>
      </c>
      <c r="BS14" s="30" t="s">
        <v>1769</v>
      </c>
      <c r="BT14" s="30">
        <v>1.0</v>
      </c>
      <c r="BU14" s="30" t="s">
        <v>1129</v>
      </c>
      <c r="BV14" s="30" t="s">
        <v>66</v>
      </c>
      <c r="BW14" s="30">
        <v>7.0</v>
      </c>
      <c r="BX14" s="30" t="s">
        <v>1770</v>
      </c>
      <c r="BY14" s="30">
        <v>22.0</v>
      </c>
      <c r="BZ14" s="30" t="s">
        <v>1771</v>
      </c>
      <c r="CA14" s="30">
        <v>1.0</v>
      </c>
      <c r="CB14" s="30" t="s">
        <v>1771</v>
      </c>
      <c r="CC14" s="30" t="s">
        <v>1772</v>
      </c>
      <c r="CD14" s="30" t="s">
        <v>1773</v>
      </c>
      <c r="CE14" s="30" t="s">
        <v>194</v>
      </c>
      <c r="CF14" s="30" t="s">
        <v>1773</v>
      </c>
    </row>
    <row r="15" ht="15.75" customHeight="1">
      <c r="B15" s="30" t="s">
        <v>987</v>
      </c>
      <c r="C15" s="32" t="s">
        <v>988</v>
      </c>
      <c r="D15" s="30" t="s">
        <v>1774</v>
      </c>
      <c r="E15" s="31" t="str">
        <f>IFERROR(__xludf.DUMMYFUNCTION("IF(ISBLANK(D15), """", GOOGLETRANSLATE(D15, ""es"", ""en""))"),"Name of the executing entity")</f>
        <v>Name of the executing entity</v>
      </c>
      <c r="G15" s="30" t="s">
        <v>1775</v>
      </c>
      <c r="H15" s="30">
        <v>2024.0</v>
      </c>
      <c r="I15" s="30" t="s">
        <v>970</v>
      </c>
      <c r="J15" s="30" t="s">
        <v>973</v>
      </c>
      <c r="K15" s="30">
        <v>201.0</v>
      </c>
      <c r="L15" s="30" t="s">
        <v>978</v>
      </c>
      <c r="M15" s="30">
        <v>1.0</v>
      </c>
      <c r="N15" s="30" t="s">
        <v>983</v>
      </c>
      <c r="O15" s="30">
        <v>9.0</v>
      </c>
      <c r="P15" s="30" t="s">
        <v>988</v>
      </c>
      <c r="Q15" s="30" t="s">
        <v>991</v>
      </c>
      <c r="R15" s="30">
        <v>22.0</v>
      </c>
      <c r="S15" s="30" t="s">
        <v>996</v>
      </c>
      <c r="T15" s="30">
        <v>3.0</v>
      </c>
      <c r="U15" s="30" t="s">
        <v>1001</v>
      </c>
      <c r="V15" s="30">
        <v>95.0</v>
      </c>
      <c r="W15" s="30" t="s">
        <v>1766</v>
      </c>
      <c r="X15" s="30">
        <v>52.0</v>
      </c>
      <c r="Y15" s="30" t="s">
        <v>1011</v>
      </c>
      <c r="Z15" s="30" t="s">
        <v>1776</v>
      </c>
      <c r="AA15" s="30">
        <v>100.0</v>
      </c>
      <c r="AB15" s="30" t="s">
        <v>1019</v>
      </c>
      <c r="AC15" s="30">
        <v>10.0</v>
      </c>
      <c r="AD15" s="30" t="s">
        <v>1024</v>
      </c>
      <c r="AE15" s="30">
        <v>100.0</v>
      </c>
      <c r="AF15" s="30" t="s">
        <v>1024</v>
      </c>
      <c r="AG15" s="30">
        <v>4.0</v>
      </c>
      <c r="AH15" s="30" t="s">
        <v>1033</v>
      </c>
      <c r="AI15" s="131">
        <v>45355.0</v>
      </c>
      <c r="AJ15" s="30" t="s">
        <v>1038</v>
      </c>
      <c r="AK15" s="52">
        <v>37319.0</v>
      </c>
      <c r="AL15" s="30" t="s">
        <v>1043</v>
      </c>
      <c r="AM15" s="30">
        <v>2.0</v>
      </c>
      <c r="AN15" s="30" t="s">
        <v>1048</v>
      </c>
      <c r="AO15" s="131">
        <v>45475.0</v>
      </c>
      <c r="AP15" s="30" t="s">
        <v>1053</v>
      </c>
      <c r="AQ15" s="132">
        <v>37074.0</v>
      </c>
      <c r="AR15" s="30" t="s">
        <v>1058</v>
      </c>
      <c r="AS15" s="30" t="s">
        <v>1061</v>
      </c>
      <c r="AT15" s="30" t="s">
        <v>1064</v>
      </c>
      <c r="AU15" s="30" t="s">
        <v>1067</v>
      </c>
      <c r="AV15" s="30" t="s">
        <v>1064</v>
      </c>
      <c r="AW15" s="30">
        <v>2.0</v>
      </c>
      <c r="AX15" s="30" t="s">
        <v>1048</v>
      </c>
      <c r="AY15" s="131">
        <v>45324.0</v>
      </c>
      <c r="AZ15" s="30" t="s">
        <v>1078</v>
      </c>
      <c r="BA15" s="132">
        <v>37289.0</v>
      </c>
      <c r="BB15" s="30" t="s">
        <v>1083</v>
      </c>
      <c r="BC15" s="30" t="s">
        <v>1086</v>
      </c>
      <c r="BD15" s="30" t="s">
        <v>1089</v>
      </c>
      <c r="BE15" s="30" t="s">
        <v>1092</v>
      </c>
      <c r="BF15" s="30" t="s">
        <v>1064</v>
      </c>
      <c r="BG15" s="30" t="s">
        <v>1097</v>
      </c>
      <c r="BH15" s="30" t="s">
        <v>1097</v>
      </c>
      <c r="BI15" s="30" t="s">
        <v>1097</v>
      </c>
      <c r="BJ15" s="30" t="s">
        <v>1097</v>
      </c>
      <c r="BK15" s="30" t="s">
        <v>1097</v>
      </c>
      <c r="BL15" s="30" t="s">
        <v>1097</v>
      </c>
      <c r="BM15" s="30">
        <v>0.0</v>
      </c>
      <c r="BN15" s="30" t="s">
        <v>1112</v>
      </c>
      <c r="BO15" s="30" t="s">
        <v>66</v>
      </c>
      <c r="BP15" s="30" t="s">
        <v>1117</v>
      </c>
      <c r="BQ15" s="30">
        <v>14694.0</v>
      </c>
      <c r="BR15" s="30" t="s">
        <v>1766</v>
      </c>
      <c r="BS15" s="30" t="s">
        <v>1769</v>
      </c>
      <c r="BT15" s="30">
        <v>1.0</v>
      </c>
      <c r="BU15" s="30" t="s">
        <v>1129</v>
      </c>
      <c r="BV15" s="30" t="s">
        <v>66</v>
      </c>
      <c r="BW15" s="30">
        <v>7.0</v>
      </c>
      <c r="BX15" s="30" t="s">
        <v>1770</v>
      </c>
      <c r="BY15" s="30">
        <v>22.0</v>
      </c>
      <c r="BZ15" s="30" t="s">
        <v>1771</v>
      </c>
      <c r="CA15" s="30">
        <v>1.0</v>
      </c>
      <c r="CB15" s="30" t="s">
        <v>1771</v>
      </c>
      <c r="CC15" s="30" t="s">
        <v>1777</v>
      </c>
      <c r="CD15" s="30" t="s">
        <v>1751</v>
      </c>
      <c r="CE15" s="30" t="s">
        <v>194</v>
      </c>
      <c r="CF15" s="30" t="s">
        <v>1751</v>
      </c>
    </row>
    <row r="16" ht="15.75" customHeight="1">
      <c r="B16" s="30" t="s">
        <v>990</v>
      </c>
      <c r="C16" s="32" t="s">
        <v>991</v>
      </c>
      <c r="D16" s="30" t="s">
        <v>1778</v>
      </c>
      <c r="E16" s="31" t="str">
        <f>IFERROR(__xludf.DUMMYFUNCTION("IF(ISBLANK(D16), """", GOOGLETRANSLATE(D16, ""es"", ""en""))"),"Complete description of the executing entity")</f>
        <v>Complete description of the executing entity</v>
      </c>
      <c r="G16" s="30" t="s">
        <v>1779</v>
      </c>
      <c r="H16" s="30">
        <v>2024.0</v>
      </c>
      <c r="I16" s="30" t="s">
        <v>970</v>
      </c>
      <c r="J16" s="30" t="s">
        <v>973</v>
      </c>
      <c r="K16" s="30">
        <v>201.0</v>
      </c>
      <c r="L16" s="30" t="s">
        <v>978</v>
      </c>
      <c r="M16" s="30">
        <v>1.0</v>
      </c>
      <c r="N16" s="30" t="s">
        <v>983</v>
      </c>
      <c r="O16" s="30">
        <v>9.0</v>
      </c>
      <c r="P16" s="30" t="s">
        <v>988</v>
      </c>
      <c r="Q16" s="30" t="s">
        <v>991</v>
      </c>
      <c r="R16" s="30">
        <v>22.0</v>
      </c>
      <c r="S16" s="30" t="s">
        <v>996</v>
      </c>
      <c r="T16" s="30">
        <v>3.0</v>
      </c>
      <c r="U16" s="30" t="s">
        <v>1001</v>
      </c>
      <c r="V16" s="30">
        <v>96.0</v>
      </c>
      <c r="W16" s="30" t="s">
        <v>1780</v>
      </c>
      <c r="X16" s="30">
        <v>51.0</v>
      </c>
      <c r="Y16" s="30" t="s">
        <v>1781</v>
      </c>
      <c r="Z16" s="30" t="s">
        <v>1782</v>
      </c>
      <c r="AA16" s="30">
        <v>100.0</v>
      </c>
      <c r="AB16" s="30" t="s">
        <v>1019</v>
      </c>
      <c r="AC16" s="30">
        <v>10.0</v>
      </c>
      <c r="AD16" s="30" t="s">
        <v>1024</v>
      </c>
      <c r="AE16" s="30">
        <v>100.0</v>
      </c>
      <c r="AF16" s="30" t="s">
        <v>1024</v>
      </c>
      <c r="AG16" s="30">
        <v>4.0</v>
      </c>
      <c r="AH16" s="30" t="s">
        <v>1033</v>
      </c>
      <c r="AI16" s="131">
        <v>45355.0</v>
      </c>
      <c r="AJ16" s="30" t="s">
        <v>1038</v>
      </c>
      <c r="AK16" s="52">
        <v>37319.0</v>
      </c>
      <c r="AL16" s="30" t="s">
        <v>1043</v>
      </c>
      <c r="AM16" s="30">
        <v>2.0</v>
      </c>
      <c r="AN16" s="30" t="s">
        <v>1048</v>
      </c>
      <c r="AO16" s="131">
        <v>45475.0</v>
      </c>
      <c r="AP16" s="30" t="s">
        <v>1053</v>
      </c>
      <c r="AQ16" s="132">
        <v>37439.0</v>
      </c>
      <c r="AR16" s="30" t="s">
        <v>1702</v>
      </c>
      <c r="AS16" s="30" t="s">
        <v>1719</v>
      </c>
      <c r="AT16" s="30" t="s">
        <v>1720</v>
      </c>
      <c r="AU16" s="30" t="s">
        <v>1721</v>
      </c>
      <c r="AV16" s="30" t="s">
        <v>1720</v>
      </c>
      <c r="AW16" s="30">
        <v>2.0</v>
      </c>
      <c r="AX16" s="30" t="s">
        <v>1048</v>
      </c>
      <c r="AY16" s="131">
        <v>45324.0</v>
      </c>
      <c r="AZ16" s="30" t="s">
        <v>1078</v>
      </c>
      <c r="BA16" s="132">
        <v>36924.0</v>
      </c>
      <c r="BB16" s="30" t="s">
        <v>1706</v>
      </c>
      <c r="BC16" s="30" t="s">
        <v>1707</v>
      </c>
      <c r="BD16" s="30" t="s">
        <v>1708</v>
      </c>
      <c r="BE16" s="30" t="s">
        <v>1097</v>
      </c>
      <c r="BF16" s="30" t="s">
        <v>1097</v>
      </c>
      <c r="BG16" s="30" t="s">
        <v>1097</v>
      </c>
      <c r="BH16" s="30" t="s">
        <v>1097</v>
      </c>
      <c r="BI16" s="30" t="s">
        <v>1097</v>
      </c>
      <c r="BJ16" s="30" t="s">
        <v>1097</v>
      </c>
      <c r="BK16" s="30" t="s">
        <v>1097</v>
      </c>
      <c r="BL16" s="30" t="s">
        <v>1097</v>
      </c>
      <c r="BM16" s="30">
        <v>0.0</v>
      </c>
      <c r="BN16" s="30" t="s">
        <v>1112</v>
      </c>
      <c r="BO16" s="30" t="s">
        <v>66</v>
      </c>
      <c r="BP16" s="30" t="s">
        <v>1117</v>
      </c>
      <c r="BQ16" s="30">
        <v>14695.0</v>
      </c>
      <c r="BR16" s="30" t="s">
        <v>1780</v>
      </c>
      <c r="BS16" s="30" t="s">
        <v>1783</v>
      </c>
      <c r="BT16" s="30">
        <v>1.0</v>
      </c>
      <c r="BU16" s="30" t="s">
        <v>1129</v>
      </c>
      <c r="BV16" s="30" t="s">
        <v>66</v>
      </c>
      <c r="BW16" s="30">
        <v>7.0</v>
      </c>
      <c r="BX16" s="30" t="s">
        <v>1770</v>
      </c>
      <c r="BY16" s="30">
        <v>22.0</v>
      </c>
      <c r="BZ16" s="30" t="s">
        <v>1771</v>
      </c>
      <c r="CA16" s="30">
        <v>3.0</v>
      </c>
      <c r="CB16" s="30" t="s">
        <v>1784</v>
      </c>
      <c r="CC16" s="30" t="s">
        <v>1785</v>
      </c>
      <c r="CD16" s="30" t="s">
        <v>1773</v>
      </c>
      <c r="CE16" s="30" t="s">
        <v>194</v>
      </c>
      <c r="CF16" s="30" t="s">
        <v>1773</v>
      </c>
    </row>
    <row r="17" ht="15.75" customHeight="1">
      <c r="B17" s="30" t="s">
        <v>993</v>
      </c>
      <c r="C17" s="32">
        <v>22.0</v>
      </c>
      <c r="D17" s="30" t="s">
        <v>1786</v>
      </c>
      <c r="E17" s="31" t="str">
        <f>IFERROR(__xludf.DUMMYFUNCTION("IF(ISBLANK(D17), """", GOOGLETRANSLATE(D17, ""es"", ""en""))"),"Program code")</f>
        <v>Program code</v>
      </c>
      <c r="G17" s="30" t="s">
        <v>1787</v>
      </c>
      <c r="H17" s="30">
        <v>2024.0</v>
      </c>
      <c r="I17" s="30" t="s">
        <v>970</v>
      </c>
      <c r="J17" s="30" t="s">
        <v>973</v>
      </c>
      <c r="K17" s="30">
        <v>201.0</v>
      </c>
      <c r="L17" s="30" t="s">
        <v>978</v>
      </c>
      <c r="M17" s="30">
        <v>1.0</v>
      </c>
      <c r="N17" s="30" t="s">
        <v>983</v>
      </c>
      <c r="O17" s="30">
        <v>9.0</v>
      </c>
      <c r="P17" s="30" t="s">
        <v>988</v>
      </c>
      <c r="Q17" s="30" t="s">
        <v>991</v>
      </c>
      <c r="R17" s="30">
        <v>22.0</v>
      </c>
      <c r="S17" s="30" t="s">
        <v>996</v>
      </c>
      <c r="T17" s="30">
        <v>3.0</v>
      </c>
      <c r="U17" s="30" t="s">
        <v>1001</v>
      </c>
      <c r="V17" s="30">
        <v>96.0</v>
      </c>
      <c r="W17" s="30" t="s">
        <v>1780</v>
      </c>
      <c r="X17" s="30">
        <v>52.0</v>
      </c>
      <c r="Y17" s="30" t="s">
        <v>1788</v>
      </c>
      <c r="Z17" s="30" t="s">
        <v>1789</v>
      </c>
      <c r="AA17" s="30">
        <v>100.0</v>
      </c>
      <c r="AB17" s="30" t="s">
        <v>1019</v>
      </c>
      <c r="AC17" s="30">
        <v>10.0</v>
      </c>
      <c r="AD17" s="30" t="s">
        <v>1024</v>
      </c>
      <c r="AE17" s="30">
        <v>100.0</v>
      </c>
      <c r="AF17" s="30" t="s">
        <v>1024</v>
      </c>
      <c r="AG17" s="30">
        <v>4.0</v>
      </c>
      <c r="AH17" s="30" t="s">
        <v>1033</v>
      </c>
      <c r="AI17" s="131">
        <v>45355.0</v>
      </c>
      <c r="AJ17" s="30" t="s">
        <v>1038</v>
      </c>
      <c r="AK17" s="52">
        <v>37319.0</v>
      </c>
      <c r="AL17" s="30" t="s">
        <v>1043</v>
      </c>
      <c r="AM17" s="30">
        <v>2.0</v>
      </c>
      <c r="AN17" s="30" t="s">
        <v>1048</v>
      </c>
      <c r="AO17" s="131">
        <v>45475.0</v>
      </c>
      <c r="AP17" s="30" t="s">
        <v>1053</v>
      </c>
      <c r="AQ17" s="132">
        <v>37074.0</v>
      </c>
      <c r="AR17" s="30" t="s">
        <v>1058</v>
      </c>
      <c r="AS17" s="30" t="s">
        <v>1061</v>
      </c>
      <c r="AT17" s="30" t="s">
        <v>1064</v>
      </c>
      <c r="AU17" s="30" t="s">
        <v>1067</v>
      </c>
      <c r="AV17" s="30" t="s">
        <v>1064</v>
      </c>
      <c r="AW17" s="30">
        <v>2.0</v>
      </c>
      <c r="AX17" s="30" t="s">
        <v>1048</v>
      </c>
      <c r="AY17" s="131">
        <v>45324.0</v>
      </c>
      <c r="AZ17" s="30" t="s">
        <v>1078</v>
      </c>
      <c r="BA17" s="132">
        <v>37289.0</v>
      </c>
      <c r="BB17" s="30" t="s">
        <v>1083</v>
      </c>
      <c r="BC17" s="30" t="s">
        <v>1086</v>
      </c>
      <c r="BD17" s="30" t="s">
        <v>1089</v>
      </c>
      <c r="BE17" s="30" t="s">
        <v>1092</v>
      </c>
      <c r="BF17" s="30" t="s">
        <v>1064</v>
      </c>
      <c r="BG17" s="30" t="s">
        <v>1097</v>
      </c>
      <c r="BH17" s="30" t="s">
        <v>1097</v>
      </c>
      <c r="BI17" s="30" t="s">
        <v>1097</v>
      </c>
      <c r="BJ17" s="30" t="s">
        <v>1097</v>
      </c>
      <c r="BK17" s="30" t="s">
        <v>1097</v>
      </c>
      <c r="BL17" s="30" t="s">
        <v>1097</v>
      </c>
      <c r="BM17" s="30">
        <v>0.0</v>
      </c>
      <c r="BN17" s="30" t="s">
        <v>1112</v>
      </c>
      <c r="BO17" s="30" t="s">
        <v>66</v>
      </c>
      <c r="BP17" s="30" t="s">
        <v>1117</v>
      </c>
      <c r="BQ17" s="30">
        <v>14695.0</v>
      </c>
      <c r="BR17" s="30" t="s">
        <v>1780</v>
      </c>
      <c r="BS17" s="30" t="s">
        <v>1783</v>
      </c>
      <c r="BT17" s="30">
        <v>1.0</v>
      </c>
      <c r="BU17" s="30" t="s">
        <v>1129</v>
      </c>
      <c r="BV17" s="30" t="s">
        <v>66</v>
      </c>
      <c r="BW17" s="30">
        <v>7.0</v>
      </c>
      <c r="BX17" s="30" t="s">
        <v>1770</v>
      </c>
      <c r="BY17" s="30">
        <v>22.0</v>
      </c>
      <c r="BZ17" s="30" t="s">
        <v>1771</v>
      </c>
      <c r="CA17" s="30">
        <v>3.0</v>
      </c>
      <c r="CB17" s="30" t="s">
        <v>1784</v>
      </c>
      <c r="CC17" s="30" t="s">
        <v>1790</v>
      </c>
      <c r="CD17" s="30" t="s">
        <v>1751</v>
      </c>
      <c r="CE17" s="30" t="s">
        <v>194</v>
      </c>
      <c r="CF17" s="30" t="s">
        <v>1751</v>
      </c>
    </row>
    <row r="18" ht="15.75" customHeight="1">
      <c r="B18" s="30" t="s">
        <v>995</v>
      </c>
      <c r="C18" s="32" t="s">
        <v>996</v>
      </c>
      <c r="D18" s="30" t="s">
        <v>1791</v>
      </c>
      <c r="E18" s="31" t="str">
        <f>IFERROR(__xludf.DUMMYFUNCTION("IF(ISBLANK(D18), """", GOOGLETRANSLATE(D18, ""es"", ""en""))"),"Program name")</f>
        <v>Program name</v>
      </c>
      <c r="G18" s="30" t="s">
        <v>1792</v>
      </c>
      <c r="H18" s="30">
        <v>2024.0</v>
      </c>
      <c r="I18" s="30" t="s">
        <v>970</v>
      </c>
      <c r="J18" s="30" t="s">
        <v>973</v>
      </c>
      <c r="K18" s="30">
        <v>201.0</v>
      </c>
      <c r="L18" s="30" t="s">
        <v>978</v>
      </c>
      <c r="M18" s="30">
        <v>1.0</v>
      </c>
      <c r="N18" s="30" t="s">
        <v>983</v>
      </c>
      <c r="O18" s="30">
        <v>9.0</v>
      </c>
      <c r="P18" s="30" t="s">
        <v>988</v>
      </c>
      <c r="Q18" s="30" t="s">
        <v>991</v>
      </c>
      <c r="R18" s="30">
        <v>22.0</v>
      </c>
      <c r="S18" s="30" t="s">
        <v>996</v>
      </c>
      <c r="T18" s="30">
        <v>3.0</v>
      </c>
      <c r="U18" s="30" t="s">
        <v>1001</v>
      </c>
      <c r="V18" s="30">
        <v>97.0</v>
      </c>
      <c r="W18" s="30" t="s">
        <v>1793</v>
      </c>
      <c r="X18" s="30">
        <v>51.0</v>
      </c>
      <c r="Y18" s="30" t="s">
        <v>1794</v>
      </c>
      <c r="Z18" s="30" t="s">
        <v>1795</v>
      </c>
      <c r="AA18" s="30">
        <v>100.0</v>
      </c>
      <c r="AB18" s="30" t="s">
        <v>1019</v>
      </c>
      <c r="AC18" s="30">
        <v>10.0</v>
      </c>
      <c r="AD18" s="30" t="s">
        <v>1024</v>
      </c>
      <c r="AE18" s="30">
        <v>100.0</v>
      </c>
      <c r="AF18" s="30" t="s">
        <v>1024</v>
      </c>
      <c r="AG18" s="30">
        <v>4.0</v>
      </c>
      <c r="AH18" s="30" t="s">
        <v>1033</v>
      </c>
      <c r="AI18" s="131">
        <v>45355.0</v>
      </c>
      <c r="AJ18" s="30" t="s">
        <v>1038</v>
      </c>
      <c r="AK18" s="52">
        <v>37319.0</v>
      </c>
      <c r="AL18" s="30" t="s">
        <v>1043</v>
      </c>
      <c r="AM18" s="30">
        <v>2.0</v>
      </c>
      <c r="AN18" s="30" t="s">
        <v>1048</v>
      </c>
      <c r="AO18" s="131">
        <v>45475.0</v>
      </c>
      <c r="AP18" s="30" t="s">
        <v>1053</v>
      </c>
      <c r="AQ18" s="132">
        <v>37439.0</v>
      </c>
      <c r="AR18" s="30" t="s">
        <v>1702</v>
      </c>
      <c r="AS18" s="30" t="s">
        <v>1719</v>
      </c>
      <c r="AT18" s="30" t="s">
        <v>1720</v>
      </c>
      <c r="AU18" s="30" t="s">
        <v>1721</v>
      </c>
      <c r="AV18" s="30" t="s">
        <v>1720</v>
      </c>
      <c r="AW18" s="30">
        <v>2.0</v>
      </c>
      <c r="AX18" s="30" t="s">
        <v>1048</v>
      </c>
      <c r="AY18" s="131">
        <v>45324.0</v>
      </c>
      <c r="AZ18" s="30" t="s">
        <v>1078</v>
      </c>
      <c r="BA18" s="132">
        <v>36924.0</v>
      </c>
      <c r="BB18" s="30" t="s">
        <v>1706</v>
      </c>
      <c r="BC18" s="30" t="s">
        <v>1707</v>
      </c>
      <c r="BD18" s="30" t="s">
        <v>1708</v>
      </c>
      <c r="BE18" s="30" t="s">
        <v>1097</v>
      </c>
      <c r="BF18" s="30" t="s">
        <v>1097</v>
      </c>
      <c r="BG18" s="30" t="s">
        <v>1097</v>
      </c>
      <c r="BH18" s="30" t="s">
        <v>1097</v>
      </c>
      <c r="BI18" s="30" t="s">
        <v>1097</v>
      </c>
      <c r="BJ18" s="30" t="s">
        <v>1097</v>
      </c>
      <c r="BK18" s="30" t="s">
        <v>1097</v>
      </c>
      <c r="BL18" s="30" t="s">
        <v>1097</v>
      </c>
      <c r="BM18" s="30">
        <v>0.0</v>
      </c>
      <c r="BN18" s="30" t="s">
        <v>1112</v>
      </c>
      <c r="BO18" s="30" t="s">
        <v>66</v>
      </c>
      <c r="BP18" s="30" t="s">
        <v>1117</v>
      </c>
      <c r="BQ18" s="30">
        <v>14698.0</v>
      </c>
      <c r="BR18" s="30" t="s">
        <v>1793</v>
      </c>
      <c r="BS18" s="30" t="s">
        <v>1796</v>
      </c>
      <c r="BT18" s="30">
        <v>1.0</v>
      </c>
      <c r="BU18" s="30" t="s">
        <v>1129</v>
      </c>
      <c r="BV18" s="30" t="s">
        <v>66</v>
      </c>
      <c r="BW18" s="30">
        <v>7.0</v>
      </c>
      <c r="BX18" s="30" t="s">
        <v>1770</v>
      </c>
      <c r="BY18" s="30">
        <v>22.0</v>
      </c>
      <c r="BZ18" s="30" t="s">
        <v>1771</v>
      </c>
      <c r="CA18" s="30">
        <v>1.0</v>
      </c>
      <c r="CB18" s="30" t="s">
        <v>1771</v>
      </c>
      <c r="CC18" s="30" t="s">
        <v>1797</v>
      </c>
      <c r="CD18" s="30" t="s">
        <v>1798</v>
      </c>
      <c r="CE18" s="30" t="s">
        <v>194</v>
      </c>
      <c r="CF18" s="30" t="s">
        <v>1798</v>
      </c>
    </row>
    <row r="19" ht="15.75" customHeight="1">
      <c r="B19" s="30" t="s">
        <v>998</v>
      </c>
      <c r="C19" s="32">
        <v>3.0</v>
      </c>
      <c r="D19" s="30" t="s">
        <v>1799</v>
      </c>
      <c r="E19" s="31" t="str">
        <f>IFERROR(__xludf.DUMMYFUNCTION("IF(ISBLANK(D19), """", GOOGLETRANSLATE(D19, ""es"", ""en""))"),"Product code")</f>
        <v>Product code</v>
      </c>
      <c r="G19" s="30" t="s">
        <v>1800</v>
      </c>
      <c r="H19" s="30">
        <v>2024.0</v>
      </c>
      <c r="I19" s="30" t="s">
        <v>970</v>
      </c>
      <c r="J19" s="30" t="s">
        <v>973</v>
      </c>
      <c r="K19" s="30">
        <v>201.0</v>
      </c>
      <c r="L19" s="30" t="s">
        <v>978</v>
      </c>
      <c r="M19" s="30">
        <v>1.0</v>
      </c>
      <c r="N19" s="30" t="s">
        <v>983</v>
      </c>
      <c r="O19" s="30">
        <v>9.0</v>
      </c>
      <c r="P19" s="30" t="s">
        <v>988</v>
      </c>
      <c r="Q19" s="30" t="s">
        <v>991</v>
      </c>
      <c r="R19" s="30">
        <v>22.0</v>
      </c>
      <c r="S19" s="30" t="s">
        <v>996</v>
      </c>
      <c r="T19" s="30">
        <v>3.0</v>
      </c>
      <c r="U19" s="30" t="s">
        <v>1001</v>
      </c>
      <c r="V19" s="30">
        <v>97.0</v>
      </c>
      <c r="W19" s="30" t="s">
        <v>1793</v>
      </c>
      <c r="X19" s="30">
        <v>52.0</v>
      </c>
      <c r="Y19" s="30" t="s">
        <v>1732</v>
      </c>
      <c r="Z19" s="30" t="s">
        <v>1801</v>
      </c>
      <c r="AA19" s="30">
        <v>100.0</v>
      </c>
      <c r="AB19" s="30" t="s">
        <v>1019</v>
      </c>
      <c r="AC19" s="30">
        <v>10.0</v>
      </c>
      <c r="AD19" s="30" t="s">
        <v>1024</v>
      </c>
      <c r="AE19" s="30">
        <v>100.0</v>
      </c>
      <c r="AF19" s="30" t="s">
        <v>1024</v>
      </c>
      <c r="AG19" s="30">
        <v>4.0</v>
      </c>
      <c r="AH19" s="30" t="s">
        <v>1033</v>
      </c>
      <c r="AI19" s="131">
        <v>45355.0</v>
      </c>
      <c r="AJ19" s="30" t="s">
        <v>1038</v>
      </c>
      <c r="AK19" s="52">
        <v>37319.0</v>
      </c>
      <c r="AL19" s="30" t="s">
        <v>1043</v>
      </c>
      <c r="AM19" s="30">
        <v>2.0</v>
      </c>
      <c r="AN19" s="30" t="s">
        <v>1048</v>
      </c>
      <c r="AO19" s="131">
        <v>45475.0</v>
      </c>
      <c r="AP19" s="30" t="s">
        <v>1053</v>
      </c>
      <c r="AQ19" s="132">
        <v>37074.0</v>
      </c>
      <c r="AR19" s="30" t="s">
        <v>1058</v>
      </c>
      <c r="AS19" s="30" t="s">
        <v>1061</v>
      </c>
      <c r="AT19" s="30" t="s">
        <v>1064</v>
      </c>
      <c r="AU19" s="30" t="s">
        <v>1067</v>
      </c>
      <c r="AV19" s="30" t="s">
        <v>1064</v>
      </c>
      <c r="AW19" s="30">
        <v>2.0</v>
      </c>
      <c r="AX19" s="30" t="s">
        <v>1048</v>
      </c>
      <c r="AY19" s="131">
        <v>45324.0</v>
      </c>
      <c r="AZ19" s="30" t="s">
        <v>1078</v>
      </c>
      <c r="BA19" s="132">
        <v>37289.0</v>
      </c>
      <c r="BB19" s="30" t="s">
        <v>1083</v>
      </c>
      <c r="BC19" s="30" t="s">
        <v>1086</v>
      </c>
      <c r="BD19" s="30" t="s">
        <v>1089</v>
      </c>
      <c r="BE19" s="30" t="s">
        <v>1092</v>
      </c>
      <c r="BF19" s="30" t="s">
        <v>1064</v>
      </c>
      <c r="BG19" s="30" t="s">
        <v>1097</v>
      </c>
      <c r="BH19" s="30" t="s">
        <v>1097</v>
      </c>
      <c r="BI19" s="30" t="s">
        <v>1097</v>
      </c>
      <c r="BJ19" s="30" t="s">
        <v>1097</v>
      </c>
      <c r="BK19" s="30" t="s">
        <v>1097</v>
      </c>
      <c r="BL19" s="30" t="s">
        <v>1097</v>
      </c>
      <c r="BM19" s="30">
        <v>0.0</v>
      </c>
      <c r="BN19" s="30" t="s">
        <v>1112</v>
      </c>
      <c r="BO19" s="30" t="s">
        <v>66</v>
      </c>
      <c r="BP19" s="30" t="s">
        <v>1117</v>
      </c>
      <c r="BQ19" s="30">
        <v>14698.0</v>
      </c>
      <c r="BR19" s="30" t="s">
        <v>1793</v>
      </c>
      <c r="BS19" s="30" t="s">
        <v>1796</v>
      </c>
      <c r="BT19" s="30">
        <v>1.0</v>
      </c>
      <c r="BU19" s="30" t="s">
        <v>1129</v>
      </c>
      <c r="BV19" s="30" t="s">
        <v>66</v>
      </c>
      <c r="BW19" s="30">
        <v>7.0</v>
      </c>
      <c r="BX19" s="30" t="s">
        <v>1770</v>
      </c>
      <c r="BY19" s="30">
        <v>22.0</v>
      </c>
      <c r="BZ19" s="30" t="s">
        <v>1771</v>
      </c>
      <c r="CA19" s="30">
        <v>1.0</v>
      </c>
      <c r="CB19" s="30" t="s">
        <v>1771</v>
      </c>
      <c r="CC19" s="30" t="s">
        <v>1802</v>
      </c>
      <c r="CD19" s="30" t="s">
        <v>1735</v>
      </c>
      <c r="CE19" s="30" t="s">
        <v>194</v>
      </c>
      <c r="CF19" s="30" t="s">
        <v>1735</v>
      </c>
    </row>
    <row r="20" ht="15.75" customHeight="1">
      <c r="B20" s="30" t="s">
        <v>1000</v>
      </c>
      <c r="C20" s="32" t="s">
        <v>1001</v>
      </c>
      <c r="D20" s="30" t="s">
        <v>1803</v>
      </c>
      <c r="E20" s="31" t="str">
        <f>IFERROR(__xludf.DUMMYFUNCTION("IF(ISBLANK(D20), """", GOOGLETRANSLATE(D20, ""es"", ""en""))"),"Product name")</f>
        <v>Product name</v>
      </c>
      <c r="G20" s="30" t="s">
        <v>1804</v>
      </c>
      <c r="H20" s="30">
        <v>2024.0</v>
      </c>
      <c r="I20" s="30" t="s">
        <v>970</v>
      </c>
      <c r="J20" s="30" t="s">
        <v>973</v>
      </c>
      <c r="K20" s="30">
        <v>201.0</v>
      </c>
      <c r="L20" s="30" t="s">
        <v>978</v>
      </c>
      <c r="M20" s="30">
        <v>1.0</v>
      </c>
      <c r="N20" s="30" t="s">
        <v>983</v>
      </c>
      <c r="O20" s="30">
        <v>9.0</v>
      </c>
      <c r="P20" s="30" t="s">
        <v>988</v>
      </c>
      <c r="Q20" s="30" t="s">
        <v>991</v>
      </c>
      <c r="R20" s="30">
        <v>22.0</v>
      </c>
      <c r="S20" s="30" t="s">
        <v>996</v>
      </c>
      <c r="T20" s="30">
        <v>3.0</v>
      </c>
      <c r="U20" s="30" t="s">
        <v>1001</v>
      </c>
      <c r="V20" s="30">
        <v>99.0</v>
      </c>
      <c r="W20" s="30" t="s">
        <v>1805</v>
      </c>
      <c r="X20" s="30">
        <v>51.0</v>
      </c>
      <c r="Y20" s="30" t="s">
        <v>1806</v>
      </c>
      <c r="Z20" s="30" t="s">
        <v>1807</v>
      </c>
      <c r="AA20" s="30">
        <v>100.0</v>
      </c>
      <c r="AB20" s="30" t="s">
        <v>1019</v>
      </c>
      <c r="AC20" s="30">
        <v>10.0</v>
      </c>
      <c r="AD20" s="30" t="s">
        <v>1024</v>
      </c>
      <c r="AE20" s="30">
        <v>100.0</v>
      </c>
      <c r="AF20" s="30" t="s">
        <v>1024</v>
      </c>
      <c r="AG20" s="30">
        <v>4.0</v>
      </c>
      <c r="AH20" s="30" t="s">
        <v>1033</v>
      </c>
      <c r="AI20" s="131">
        <v>45355.0</v>
      </c>
      <c r="AJ20" s="30" t="s">
        <v>1038</v>
      </c>
      <c r="AK20" s="52">
        <v>37319.0</v>
      </c>
      <c r="AL20" s="30" t="s">
        <v>1043</v>
      </c>
      <c r="AM20" s="30">
        <v>2.0</v>
      </c>
      <c r="AN20" s="30" t="s">
        <v>1048</v>
      </c>
      <c r="AO20" s="131">
        <v>45475.0</v>
      </c>
      <c r="AP20" s="30" t="s">
        <v>1053</v>
      </c>
      <c r="AQ20" s="132">
        <v>37439.0</v>
      </c>
      <c r="AR20" s="30" t="s">
        <v>1702</v>
      </c>
      <c r="AS20" s="30" t="s">
        <v>1719</v>
      </c>
      <c r="AT20" s="30" t="s">
        <v>1720</v>
      </c>
      <c r="AU20" s="30" t="s">
        <v>1721</v>
      </c>
      <c r="AV20" s="30" t="s">
        <v>1720</v>
      </c>
      <c r="AW20" s="30">
        <v>2.0</v>
      </c>
      <c r="AX20" s="30" t="s">
        <v>1048</v>
      </c>
      <c r="AY20" s="131">
        <v>45324.0</v>
      </c>
      <c r="AZ20" s="30" t="s">
        <v>1078</v>
      </c>
      <c r="BA20" s="132">
        <v>36924.0</v>
      </c>
      <c r="BB20" s="30" t="s">
        <v>1706</v>
      </c>
      <c r="BC20" s="30" t="s">
        <v>1707</v>
      </c>
      <c r="BD20" s="30" t="s">
        <v>1708</v>
      </c>
      <c r="BE20" s="30" t="s">
        <v>1097</v>
      </c>
      <c r="BF20" s="30" t="s">
        <v>1097</v>
      </c>
      <c r="BG20" s="30" t="s">
        <v>1097</v>
      </c>
      <c r="BH20" s="30" t="s">
        <v>1097</v>
      </c>
      <c r="BI20" s="30" t="s">
        <v>1097</v>
      </c>
      <c r="BJ20" s="30" t="s">
        <v>1097</v>
      </c>
      <c r="BK20" s="30" t="s">
        <v>1097</v>
      </c>
      <c r="BL20" s="30" t="s">
        <v>1097</v>
      </c>
      <c r="BM20" s="30">
        <v>0.0</v>
      </c>
      <c r="BN20" s="30" t="s">
        <v>1112</v>
      </c>
      <c r="BO20" s="30" t="s">
        <v>66</v>
      </c>
      <c r="BP20" s="30" t="s">
        <v>1117</v>
      </c>
      <c r="BQ20" s="30">
        <v>14704.0</v>
      </c>
      <c r="BR20" s="30" t="s">
        <v>1805</v>
      </c>
      <c r="BS20" s="30" t="s">
        <v>1808</v>
      </c>
      <c r="BT20" s="30">
        <v>1.0</v>
      </c>
      <c r="BU20" s="30" t="s">
        <v>1129</v>
      </c>
      <c r="BV20" s="30" t="s">
        <v>66</v>
      </c>
      <c r="BW20" s="30">
        <v>10.0</v>
      </c>
      <c r="BX20" s="30" t="s">
        <v>1809</v>
      </c>
      <c r="BY20" s="30">
        <v>1.0</v>
      </c>
      <c r="BZ20" s="30" t="s">
        <v>932</v>
      </c>
      <c r="CA20" s="30">
        <v>1.0</v>
      </c>
      <c r="CB20" s="30" t="s">
        <v>1810</v>
      </c>
      <c r="CC20" s="30" t="s">
        <v>1811</v>
      </c>
      <c r="CD20" s="30" t="s">
        <v>1812</v>
      </c>
      <c r="CE20" s="30" t="s">
        <v>194</v>
      </c>
      <c r="CF20" s="30" t="s">
        <v>1812</v>
      </c>
    </row>
    <row r="21" ht="15.75" customHeight="1">
      <c r="B21" s="30" t="s">
        <v>1003</v>
      </c>
      <c r="C21" s="32">
        <v>90.0</v>
      </c>
      <c r="D21" s="30" t="s">
        <v>1813</v>
      </c>
      <c r="E21" s="31" t="str">
        <f>IFERROR(__xludf.DUMMYFUNCTION("IF(ISBLANK(D21), """", GOOGLETRANSLATE(D21, ""es"", ""en""))"),"Project Code")</f>
        <v>Project Code</v>
      </c>
      <c r="G21" s="30" t="s">
        <v>1814</v>
      </c>
      <c r="H21" s="30">
        <v>2024.0</v>
      </c>
      <c r="I21" s="30" t="s">
        <v>970</v>
      </c>
      <c r="J21" s="30" t="s">
        <v>973</v>
      </c>
      <c r="K21" s="30">
        <v>201.0</v>
      </c>
      <c r="L21" s="30" t="s">
        <v>978</v>
      </c>
      <c r="M21" s="30">
        <v>1.0</v>
      </c>
      <c r="N21" s="30" t="s">
        <v>983</v>
      </c>
      <c r="O21" s="30">
        <v>9.0</v>
      </c>
      <c r="P21" s="30" t="s">
        <v>988</v>
      </c>
      <c r="Q21" s="30" t="s">
        <v>991</v>
      </c>
      <c r="R21" s="30">
        <v>22.0</v>
      </c>
      <c r="S21" s="30" t="s">
        <v>996</v>
      </c>
      <c r="T21" s="30">
        <v>3.0</v>
      </c>
      <c r="U21" s="30" t="s">
        <v>1001</v>
      </c>
      <c r="V21" s="30">
        <v>99.0</v>
      </c>
      <c r="W21" s="30" t="s">
        <v>1805</v>
      </c>
      <c r="X21" s="30">
        <v>52.0</v>
      </c>
      <c r="Y21" s="30" t="s">
        <v>1732</v>
      </c>
      <c r="Z21" s="30" t="s">
        <v>1815</v>
      </c>
      <c r="AA21" s="30">
        <v>100.0</v>
      </c>
      <c r="AB21" s="30" t="s">
        <v>1019</v>
      </c>
      <c r="AC21" s="30">
        <v>10.0</v>
      </c>
      <c r="AD21" s="30" t="s">
        <v>1024</v>
      </c>
      <c r="AE21" s="30">
        <v>100.0</v>
      </c>
      <c r="AF21" s="30" t="s">
        <v>1024</v>
      </c>
      <c r="AG21" s="30">
        <v>4.0</v>
      </c>
      <c r="AH21" s="30" t="s">
        <v>1033</v>
      </c>
      <c r="AI21" s="131">
        <v>45355.0</v>
      </c>
      <c r="AJ21" s="30" t="s">
        <v>1038</v>
      </c>
      <c r="AK21" s="52">
        <v>37319.0</v>
      </c>
      <c r="AL21" s="30" t="s">
        <v>1043</v>
      </c>
      <c r="AM21" s="30">
        <v>2.0</v>
      </c>
      <c r="AN21" s="30" t="s">
        <v>1048</v>
      </c>
      <c r="AO21" s="131">
        <v>45475.0</v>
      </c>
      <c r="AP21" s="30" t="s">
        <v>1053</v>
      </c>
      <c r="AQ21" s="132">
        <v>37074.0</v>
      </c>
      <c r="AR21" s="30" t="s">
        <v>1058</v>
      </c>
      <c r="AS21" s="30" t="s">
        <v>1061</v>
      </c>
      <c r="AT21" s="30" t="s">
        <v>1064</v>
      </c>
      <c r="AU21" s="30" t="s">
        <v>1067</v>
      </c>
      <c r="AV21" s="30" t="s">
        <v>1064</v>
      </c>
      <c r="AW21" s="30">
        <v>2.0</v>
      </c>
      <c r="AX21" s="30" t="s">
        <v>1048</v>
      </c>
      <c r="AY21" s="131">
        <v>45324.0</v>
      </c>
      <c r="AZ21" s="30" t="s">
        <v>1078</v>
      </c>
      <c r="BA21" s="132">
        <v>37289.0</v>
      </c>
      <c r="BB21" s="30" t="s">
        <v>1083</v>
      </c>
      <c r="BC21" s="30" t="s">
        <v>1086</v>
      </c>
      <c r="BD21" s="30" t="s">
        <v>1089</v>
      </c>
      <c r="BE21" s="30" t="s">
        <v>1092</v>
      </c>
      <c r="BF21" s="30" t="s">
        <v>1064</v>
      </c>
      <c r="BG21" s="30" t="s">
        <v>1097</v>
      </c>
      <c r="BH21" s="30" t="s">
        <v>1097</v>
      </c>
      <c r="BI21" s="30" t="s">
        <v>1097</v>
      </c>
      <c r="BJ21" s="30" t="s">
        <v>1097</v>
      </c>
      <c r="BK21" s="30" t="s">
        <v>1097</v>
      </c>
      <c r="BL21" s="30" t="s">
        <v>1097</v>
      </c>
      <c r="BM21" s="30">
        <v>0.0</v>
      </c>
      <c r="BN21" s="30" t="s">
        <v>1112</v>
      </c>
      <c r="BO21" s="30" t="s">
        <v>66</v>
      </c>
      <c r="BP21" s="30" t="s">
        <v>1117</v>
      </c>
      <c r="BQ21" s="30">
        <v>14704.0</v>
      </c>
      <c r="BR21" s="30" t="s">
        <v>1805</v>
      </c>
      <c r="BS21" s="30" t="s">
        <v>1808</v>
      </c>
      <c r="BT21" s="30">
        <v>1.0</v>
      </c>
      <c r="BU21" s="30" t="s">
        <v>1129</v>
      </c>
      <c r="BV21" s="30" t="s">
        <v>66</v>
      </c>
      <c r="BW21" s="30">
        <v>10.0</v>
      </c>
      <c r="BX21" s="30" t="s">
        <v>1809</v>
      </c>
      <c r="BY21" s="30">
        <v>1.0</v>
      </c>
      <c r="BZ21" s="30" t="s">
        <v>932</v>
      </c>
      <c r="CA21" s="30">
        <v>1.0</v>
      </c>
      <c r="CB21" s="30" t="s">
        <v>1810</v>
      </c>
      <c r="CC21" s="30" t="s">
        <v>1816</v>
      </c>
      <c r="CD21" s="30" t="s">
        <v>1817</v>
      </c>
      <c r="CE21" s="30" t="s">
        <v>194</v>
      </c>
      <c r="CF21" s="30" t="s">
        <v>1817</v>
      </c>
    </row>
    <row r="22" ht="15.75" customHeight="1">
      <c r="B22" s="30" t="s">
        <v>1005</v>
      </c>
      <c r="C22" s="32" t="s">
        <v>1006</v>
      </c>
      <c r="D22" s="30" t="s">
        <v>1818</v>
      </c>
      <c r="E22" s="31" t="str">
        <f>IFERROR(__xludf.DUMMYFUNCTION("IF(ISBLANK(D22), """", GOOGLETRANSLATE(D22, ""es"", ""en""))"),"Project's name")</f>
        <v>Project's name</v>
      </c>
      <c r="G22" s="30" t="s">
        <v>1819</v>
      </c>
      <c r="H22" s="30">
        <v>2024.0</v>
      </c>
      <c r="I22" s="30" t="s">
        <v>970</v>
      </c>
      <c r="J22" s="30" t="s">
        <v>973</v>
      </c>
      <c r="K22" s="30">
        <v>201.0</v>
      </c>
      <c r="L22" s="30" t="s">
        <v>978</v>
      </c>
      <c r="M22" s="30">
        <v>1.0</v>
      </c>
      <c r="N22" s="30" t="s">
        <v>983</v>
      </c>
      <c r="O22" s="30">
        <v>9.0</v>
      </c>
      <c r="P22" s="30" t="s">
        <v>988</v>
      </c>
      <c r="Q22" s="30" t="s">
        <v>991</v>
      </c>
      <c r="R22" s="30">
        <v>22.0</v>
      </c>
      <c r="S22" s="30" t="s">
        <v>996</v>
      </c>
      <c r="T22" s="30">
        <v>4.0</v>
      </c>
      <c r="U22" s="30" t="s">
        <v>1820</v>
      </c>
      <c r="V22" s="30">
        <v>1.0</v>
      </c>
      <c r="W22" s="30" t="s">
        <v>1821</v>
      </c>
      <c r="X22" s="30">
        <v>51.0</v>
      </c>
      <c r="Y22" s="30" t="s">
        <v>1821</v>
      </c>
      <c r="Z22" s="30" t="s">
        <v>1822</v>
      </c>
      <c r="AA22" s="30">
        <v>100.0</v>
      </c>
      <c r="AB22" s="30" t="s">
        <v>1019</v>
      </c>
      <c r="AC22" s="30">
        <v>10.0</v>
      </c>
      <c r="AD22" s="30" t="s">
        <v>1024</v>
      </c>
      <c r="AE22" s="30">
        <v>100.0</v>
      </c>
      <c r="AF22" s="30" t="s">
        <v>1024</v>
      </c>
      <c r="AG22" s="30">
        <v>4.0</v>
      </c>
      <c r="AH22" s="30" t="s">
        <v>1033</v>
      </c>
      <c r="AI22" s="131">
        <v>45295.0</v>
      </c>
      <c r="AJ22" s="30" t="s">
        <v>1823</v>
      </c>
      <c r="AK22" s="52">
        <v>37260.0</v>
      </c>
      <c r="AL22" s="30" t="s">
        <v>1512</v>
      </c>
      <c r="AM22" s="30">
        <v>2.0</v>
      </c>
      <c r="AN22" s="30" t="s">
        <v>1048</v>
      </c>
      <c r="AO22" s="131">
        <v>45475.0</v>
      </c>
      <c r="AP22" s="30" t="s">
        <v>1053</v>
      </c>
      <c r="AQ22" s="132">
        <v>37074.0</v>
      </c>
      <c r="AR22" s="30" t="s">
        <v>1058</v>
      </c>
      <c r="AS22" s="30" t="s">
        <v>1824</v>
      </c>
      <c r="AT22" s="30" t="s">
        <v>721</v>
      </c>
      <c r="AU22" s="30" t="s">
        <v>722</v>
      </c>
      <c r="AV22" s="30" t="s">
        <v>721</v>
      </c>
      <c r="AW22" s="30">
        <v>2.0</v>
      </c>
      <c r="AX22" s="30" t="s">
        <v>1048</v>
      </c>
      <c r="AY22" s="131">
        <v>45324.0</v>
      </c>
      <c r="AZ22" s="30" t="s">
        <v>1078</v>
      </c>
      <c r="BA22" s="132">
        <v>37289.0</v>
      </c>
      <c r="BB22" s="30" t="s">
        <v>1083</v>
      </c>
      <c r="BC22" s="30" t="s">
        <v>1086</v>
      </c>
      <c r="BD22" s="30" t="s">
        <v>1089</v>
      </c>
      <c r="BE22" s="30" t="s">
        <v>1825</v>
      </c>
      <c r="BF22" s="30" t="s">
        <v>1826</v>
      </c>
      <c r="BG22" s="30" t="s">
        <v>1097</v>
      </c>
      <c r="BH22" s="30" t="s">
        <v>1097</v>
      </c>
      <c r="BI22" s="30" t="s">
        <v>1097</v>
      </c>
      <c r="BJ22" s="30" t="s">
        <v>1097</v>
      </c>
      <c r="BK22" s="30" t="s">
        <v>1097</v>
      </c>
      <c r="BL22" s="30" t="s">
        <v>1097</v>
      </c>
      <c r="BM22" s="30">
        <v>0.0</v>
      </c>
      <c r="BN22" s="30" t="s">
        <v>1112</v>
      </c>
      <c r="BO22" s="30" t="s">
        <v>66</v>
      </c>
      <c r="BP22" s="30" t="s">
        <v>1117</v>
      </c>
      <c r="BQ22" s="30">
        <v>14756.0</v>
      </c>
      <c r="BR22" s="30" t="s">
        <v>1821</v>
      </c>
      <c r="BS22" s="30" t="s">
        <v>1827</v>
      </c>
      <c r="BT22" s="30">
        <v>1.0</v>
      </c>
      <c r="BU22" s="30" t="s">
        <v>1129</v>
      </c>
      <c r="BV22" s="30" t="s">
        <v>66</v>
      </c>
      <c r="BW22" s="30">
        <v>5.0</v>
      </c>
      <c r="BX22" s="30" t="s">
        <v>1136</v>
      </c>
      <c r="BY22" s="30">
        <v>17.0</v>
      </c>
      <c r="BZ22" s="30" t="s">
        <v>926</v>
      </c>
      <c r="CA22" s="30">
        <v>1.0</v>
      </c>
      <c r="CB22" s="30" t="s">
        <v>1828</v>
      </c>
      <c r="CC22" s="30" t="s">
        <v>1829</v>
      </c>
      <c r="CD22" s="30" t="s">
        <v>1830</v>
      </c>
      <c r="CE22" s="30" t="s">
        <v>194</v>
      </c>
      <c r="CF22" s="30" t="s">
        <v>1830</v>
      </c>
    </row>
    <row r="23" ht="15.75" customHeight="1">
      <c r="B23" s="30" t="s">
        <v>1008</v>
      </c>
      <c r="C23" s="32">
        <v>52.0</v>
      </c>
      <c r="D23" s="30" t="s">
        <v>1831</v>
      </c>
      <c r="E23" s="31" t="str">
        <f>IFERROR(__xludf.DUMMYFUNCTION("IF(ISBLANK(D23), """", GOOGLETRANSLATE(D23, ""es"", ""en""))"),"Work Activity Code")</f>
        <v>Work Activity Code</v>
      </c>
      <c r="G23" s="30" t="s">
        <v>1832</v>
      </c>
      <c r="H23" s="30">
        <v>2024.0</v>
      </c>
      <c r="I23" s="30" t="s">
        <v>970</v>
      </c>
      <c r="J23" s="30" t="s">
        <v>973</v>
      </c>
      <c r="K23" s="30">
        <v>201.0</v>
      </c>
      <c r="L23" s="30" t="s">
        <v>978</v>
      </c>
      <c r="M23" s="30">
        <v>1.0</v>
      </c>
      <c r="N23" s="30" t="s">
        <v>983</v>
      </c>
      <c r="O23" s="30">
        <v>9.0</v>
      </c>
      <c r="P23" s="30" t="s">
        <v>988</v>
      </c>
      <c r="Q23" s="30" t="s">
        <v>991</v>
      </c>
      <c r="R23" s="30">
        <v>22.0</v>
      </c>
      <c r="S23" s="30" t="s">
        <v>996</v>
      </c>
      <c r="T23" s="30">
        <v>4.0</v>
      </c>
      <c r="U23" s="30" t="s">
        <v>1820</v>
      </c>
      <c r="V23" s="30">
        <v>1.0</v>
      </c>
      <c r="W23" s="30" t="s">
        <v>1821</v>
      </c>
      <c r="X23" s="30">
        <v>52.0</v>
      </c>
      <c r="Y23" s="30" t="s">
        <v>1833</v>
      </c>
      <c r="Z23" s="30" t="s">
        <v>1834</v>
      </c>
      <c r="AA23" s="30">
        <v>100.0</v>
      </c>
      <c r="AB23" s="30" t="s">
        <v>1019</v>
      </c>
      <c r="AC23" s="30">
        <v>10.0</v>
      </c>
      <c r="AD23" s="30" t="s">
        <v>1024</v>
      </c>
      <c r="AE23" s="30">
        <v>100.0</v>
      </c>
      <c r="AF23" s="30" t="s">
        <v>1024</v>
      </c>
      <c r="AG23" s="30">
        <v>4.0</v>
      </c>
      <c r="AH23" s="30" t="s">
        <v>1033</v>
      </c>
      <c r="AI23" s="131">
        <v>45295.0</v>
      </c>
      <c r="AJ23" s="30" t="s">
        <v>1823</v>
      </c>
      <c r="AK23" s="52">
        <v>37260.0</v>
      </c>
      <c r="AL23" s="30" t="s">
        <v>1512</v>
      </c>
      <c r="AM23" s="30">
        <v>2.0</v>
      </c>
      <c r="AN23" s="30" t="s">
        <v>1048</v>
      </c>
      <c r="AO23" s="131">
        <v>45475.0</v>
      </c>
      <c r="AP23" s="30" t="s">
        <v>1053</v>
      </c>
      <c r="AQ23" s="132">
        <v>37074.0</v>
      </c>
      <c r="AR23" s="30" t="s">
        <v>1058</v>
      </c>
      <c r="AS23" s="30" t="s">
        <v>1061</v>
      </c>
      <c r="AT23" s="30" t="s">
        <v>1064</v>
      </c>
      <c r="AU23" s="30" t="s">
        <v>1067</v>
      </c>
      <c r="AV23" s="30" t="s">
        <v>1064</v>
      </c>
      <c r="AW23" s="30">
        <v>2.0</v>
      </c>
      <c r="AX23" s="30" t="s">
        <v>1048</v>
      </c>
      <c r="AY23" s="131">
        <v>45324.0</v>
      </c>
      <c r="AZ23" s="30" t="s">
        <v>1078</v>
      </c>
      <c r="BA23" s="132">
        <v>37289.0</v>
      </c>
      <c r="BB23" s="30" t="s">
        <v>1083</v>
      </c>
      <c r="BC23" s="30" t="s">
        <v>1086</v>
      </c>
      <c r="BD23" s="30" t="s">
        <v>1089</v>
      </c>
      <c r="BE23" s="30" t="s">
        <v>1092</v>
      </c>
      <c r="BF23" s="30" t="s">
        <v>1064</v>
      </c>
      <c r="BG23" s="30" t="s">
        <v>1097</v>
      </c>
      <c r="BH23" s="30" t="s">
        <v>1097</v>
      </c>
      <c r="BI23" s="30" t="s">
        <v>1097</v>
      </c>
      <c r="BJ23" s="30" t="s">
        <v>1097</v>
      </c>
      <c r="BK23" s="30" t="s">
        <v>1097</v>
      </c>
      <c r="BL23" s="30" t="s">
        <v>1097</v>
      </c>
      <c r="BM23" s="30">
        <v>0.0</v>
      </c>
      <c r="BN23" s="30" t="s">
        <v>1112</v>
      </c>
      <c r="BO23" s="30" t="s">
        <v>66</v>
      </c>
      <c r="BP23" s="30" t="s">
        <v>1117</v>
      </c>
      <c r="BQ23" s="30">
        <v>14756.0</v>
      </c>
      <c r="BR23" s="30" t="s">
        <v>1821</v>
      </c>
      <c r="BS23" s="30" t="s">
        <v>1827</v>
      </c>
      <c r="BT23" s="30">
        <v>1.0</v>
      </c>
      <c r="BU23" s="30" t="s">
        <v>1129</v>
      </c>
      <c r="BV23" s="30" t="s">
        <v>66</v>
      </c>
      <c r="BW23" s="30">
        <v>5.0</v>
      </c>
      <c r="BX23" s="30" t="s">
        <v>1136</v>
      </c>
      <c r="BY23" s="30">
        <v>17.0</v>
      </c>
      <c r="BZ23" s="30" t="s">
        <v>926</v>
      </c>
      <c r="CA23" s="30">
        <v>1.0</v>
      </c>
      <c r="CB23" s="30" t="s">
        <v>1828</v>
      </c>
      <c r="CC23" s="30" t="s">
        <v>1835</v>
      </c>
      <c r="CD23" s="30" t="s">
        <v>1836</v>
      </c>
      <c r="CE23" s="30" t="s">
        <v>194</v>
      </c>
      <c r="CF23" s="30" t="s">
        <v>1836</v>
      </c>
    </row>
    <row r="24" ht="15.75" customHeight="1">
      <c r="B24" s="30" t="s">
        <v>1010</v>
      </c>
      <c r="C24" s="32" t="s">
        <v>1011</v>
      </c>
      <c r="D24" s="30" t="s">
        <v>1837</v>
      </c>
      <c r="E24" s="31" t="str">
        <f>IFERROR(__xludf.DUMMYFUNCTION("IF(ISBLANK(D24), """", GOOGLETRANSLATE(D24, ""es"", ""en""))"),"Name of the Work Activity")</f>
        <v>Name of the Work Activity</v>
      </c>
      <c r="G24" s="30" t="s">
        <v>1838</v>
      </c>
      <c r="H24" s="30">
        <v>2024.0</v>
      </c>
      <c r="I24" s="30" t="s">
        <v>970</v>
      </c>
      <c r="J24" s="30" t="s">
        <v>973</v>
      </c>
      <c r="K24" s="30">
        <v>201.0</v>
      </c>
      <c r="L24" s="30" t="s">
        <v>978</v>
      </c>
      <c r="M24" s="30">
        <v>1.0</v>
      </c>
      <c r="N24" s="30" t="s">
        <v>983</v>
      </c>
      <c r="O24" s="30">
        <v>9.0</v>
      </c>
      <c r="P24" s="30" t="s">
        <v>988</v>
      </c>
      <c r="Q24" s="30" t="s">
        <v>991</v>
      </c>
      <c r="R24" s="30">
        <v>22.0</v>
      </c>
      <c r="S24" s="30" t="s">
        <v>996</v>
      </c>
      <c r="T24" s="30">
        <v>4.0</v>
      </c>
      <c r="U24" s="30" t="s">
        <v>1820</v>
      </c>
      <c r="V24" s="30">
        <v>2.0</v>
      </c>
      <c r="W24" s="30" t="s">
        <v>1839</v>
      </c>
      <c r="X24" s="30">
        <v>51.0</v>
      </c>
      <c r="Y24" s="30" t="s">
        <v>1839</v>
      </c>
      <c r="Z24" s="30" t="s">
        <v>1840</v>
      </c>
      <c r="AA24" s="30">
        <v>100.0</v>
      </c>
      <c r="AB24" s="30" t="s">
        <v>1019</v>
      </c>
      <c r="AC24" s="30">
        <v>10.0</v>
      </c>
      <c r="AD24" s="30" t="s">
        <v>1024</v>
      </c>
      <c r="AE24" s="30">
        <v>100.0</v>
      </c>
      <c r="AF24" s="30" t="s">
        <v>1024</v>
      </c>
      <c r="AG24" s="30">
        <v>4.0</v>
      </c>
      <c r="AH24" s="30" t="s">
        <v>1033</v>
      </c>
      <c r="AI24" s="131">
        <v>45295.0</v>
      </c>
      <c r="AJ24" s="30" t="s">
        <v>1823</v>
      </c>
      <c r="AK24" s="52">
        <v>37260.0</v>
      </c>
      <c r="AL24" s="30" t="s">
        <v>1512</v>
      </c>
      <c r="AM24" s="30">
        <v>2.0</v>
      </c>
      <c r="AN24" s="30" t="s">
        <v>1048</v>
      </c>
      <c r="AO24" s="131">
        <v>45475.0</v>
      </c>
      <c r="AP24" s="30" t="s">
        <v>1053</v>
      </c>
      <c r="AQ24" s="132">
        <v>37439.0</v>
      </c>
      <c r="AR24" s="30" t="s">
        <v>1702</v>
      </c>
      <c r="AS24" s="30" t="s">
        <v>1841</v>
      </c>
      <c r="AT24" s="30" t="s">
        <v>1842</v>
      </c>
      <c r="AU24" s="30" t="s">
        <v>1843</v>
      </c>
      <c r="AV24" s="30" t="s">
        <v>1842</v>
      </c>
      <c r="AW24" s="30">
        <v>2.0</v>
      </c>
      <c r="AX24" s="30" t="s">
        <v>1048</v>
      </c>
      <c r="AY24" s="131">
        <v>45324.0</v>
      </c>
      <c r="AZ24" s="30" t="s">
        <v>1078</v>
      </c>
      <c r="BA24" s="132">
        <v>36924.0</v>
      </c>
      <c r="BB24" s="30" t="s">
        <v>1706</v>
      </c>
      <c r="BC24" s="30" t="s">
        <v>1707</v>
      </c>
      <c r="BD24" s="30" t="s">
        <v>1708</v>
      </c>
      <c r="BE24" s="30" t="s">
        <v>1097</v>
      </c>
      <c r="BF24" s="30" t="s">
        <v>1097</v>
      </c>
      <c r="BG24" s="30" t="s">
        <v>1097</v>
      </c>
      <c r="BH24" s="30" t="s">
        <v>1097</v>
      </c>
      <c r="BI24" s="30" t="s">
        <v>1097</v>
      </c>
      <c r="BJ24" s="30" t="s">
        <v>1097</v>
      </c>
      <c r="BK24" s="30" t="s">
        <v>1097</v>
      </c>
      <c r="BL24" s="30" t="s">
        <v>1097</v>
      </c>
      <c r="BM24" s="30">
        <v>0.0</v>
      </c>
      <c r="BN24" s="30" t="s">
        <v>1112</v>
      </c>
      <c r="BO24" s="30" t="s">
        <v>66</v>
      </c>
      <c r="BP24" s="30" t="s">
        <v>1117</v>
      </c>
      <c r="BQ24" s="30">
        <v>14710.0</v>
      </c>
      <c r="BR24" s="30" t="s">
        <v>1839</v>
      </c>
      <c r="BS24" s="30" t="s">
        <v>1844</v>
      </c>
      <c r="BT24" s="30">
        <v>1.0</v>
      </c>
      <c r="BU24" s="30" t="s">
        <v>1129</v>
      </c>
      <c r="BV24" s="30" t="s">
        <v>66</v>
      </c>
      <c r="BW24" s="30">
        <v>6.0</v>
      </c>
      <c r="BX24" s="30" t="s">
        <v>1845</v>
      </c>
      <c r="BY24" s="30">
        <v>3.0</v>
      </c>
      <c r="BZ24" s="30" t="s">
        <v>1846</v>
      </c>
      <c r="CA24" s="30">
        <v>5.0</v>
      </c>
      <c r="CB24" s="30" t="s">
        <v>1847</v>
      </c>
      <c r="CC24" s="30" t="s">
        <v>1848</v>
      </c>
      <c r="CD24" s="30" t="s">
        <v>1849</v>
      </c>
      <c r="CE24" s="30" t="s">
        <v>194</v>
      </c>
      <c r="CF24" s="30" t="s">
        <v>1849</v>
      </c>
    </row>
    <row r="25" ht="15.75" customHeight="1">
      <c r="B25" s="30" t="s">
        <v>1013</v>
      </c>
      <c r="C25" s="32" t="s">
        <v>1014</v>
      </c>
      <c r="D25" s="30" t="s">
        <v>1850</v>
      </c>
      <c r="E25" s="31" t="str">
        <f>IFERROR(__xludf.DUMMYFUNCTION("IF(ISBLANK(D25), """", GOOGLETRANSLATE(D25, ""es"", ""en""))"),"Description of the work activity")</f>
        <v>Description of the work activity</v>
      </c>
      <c r="G25" s="30" t="s">
        <v>1851</v>
      </c>
      <c r="H25" s="30">
        <v>2024.0</v>
      </c>
      <c r="I25" s="30" t="s">
        <v>970</v>
      </c>
      <c r="J25" s="30" t="s">
        <v>973</v>
      </c>
      <c r="K25" s="30">
        <v>201.0</v>
      </c>
      <c r="L25" s="30" t="s">
        <v>978</v>
      </c>
      <c r="M25" s="30">
        <v>1.0</v>
      </c>
      <c r="N25" s="30" t="s">
        <v>983</v>
      </c>
      <c r="O25" s="30">
        <v>9.0</v>
      </c>
      <c r="P25" s="30" t="s">
        <v>988</v>
      </c>
      <c r="Q25" s="30" t="s">
        <v>991</v>
      </c>
      <c r="R25" s="30">
        <v>22.0</v>
      </c>
      <c r="S25" s="30" t="s">
        <v>996</v>
      </c>
      <c r="T25" s="30">
        <v>4.0</v>
      </c>
      <c r="U25" s="30" t="s">
        <v>1820</v>
      </c>
      <c r="V25" s="30">
        <v>2.0</v>
      </c>
      <c r="W25" s="30" t="s">
        <v>1839</v>
      </c>
      <c r="X25" s="30">
        <v>52.0</v>
      </c>
      <c r="Y25" s="30" t="s">
        <v>1852</v>
      </c>
      <c r="Z25" s="30" t="s">
        <v>1853</v>
      </c>
      <c r="AA25" s="30">
        <v>100.0</v>
      </c>
      <c r="AB25" s="30" t="s">
        <v>1019</v>
      </c>
      <c r="AC25" s="30">
        <v>10.0</v>
      </c>
      <c r="AD25" s="30" t="s">
        <v>1024</v>
      </c>
      <c r="AE25" s="30">
        <v>100.0</v>
      </c>
      <c r="AF25" s="30" t="s">
        <v>1024</v>
      </c>
      <c r="AG25" s="30">
        <v>4.0</v>
      </c>
      <c r="AH25" s="30" t="s">
        <v>1033</v>
      </c>
      <c r="AI25" s="131">
        <v>45295.0</v>
      </c>
      <c r="AJ25" s="30" t="s">
        <v>1823</v>
      </c>
      <c r="AK25" s="52">
        <v>37260.0</v>
      </c>
      <c r="AL25" s="30" t="s">
        <v>1512</v>
      </c>
      <c r="AM25" s="30">
        <v>2.0</v>
      </c>
      <c r="AN25" s="30" t="s">
        <v>1048</v>
      </c>
      <c r="AO25" s="131">
        <v>45475.0</v>
      </c>
      <c r="AP25" s="30" t="s">
        <v>1053</v>
      </c>
      <c r="AQ25" s="132">
        <v>37074.0</v>
      </c>
      <c r="AR25" s="30" t="s">
        <v>1058</v>
      </c>
      <c r="AS25" s="30" t="s">
        <v>1061</v>
      </c>
      <c r="AT25" s="30" t="s">
        <v>1064</v>
      </c>
      <c r="AU25" s="30" t="s">
        <v>1067</v>
      </c>
      <c r="AV25" s="30" t="s">
        <v>1064</v>
      </c>
      <c r="AW25" s="30">
        <v>2.0</v>
      </c>
      <c r="AX25" s="30" t="s">
        <v>1048</v>
      </c>
      <c r="AY25" s="131">
        <v>45324.0</v>
      </c>
      <c r="AZ25" s="30" t="s">
        <v>1078</v>
      </c>
      <c r="BA25" s="132">
        <v>37289.0</v>
      </c>
      <c r="BB25" s="30" t="s">
        <v>1083</v>
      </c>
      <c r="BC25" s="30" t="s">
        <v>1086</v>
      </c>
      <c r="BD25" s="30" t="s">
        <v>1089</v>
      </c>
      <c r="BE25" s="30" t="s">
        <v>1092</v>
      </c>
      <c r="BF25" s="30" t="s">
        <v>1064</v>
      </c>
      <c r="BG25" s="30" t="s">
        <v>1097</v>
      </c>
      <c r="BH25" s="30" t="s">
        <v>1097</v>
      </c>
      <c r="BI25" s="30" t="s">
        <v>1097</v>
      </c>
      <c r="BJ25" s="30" t="s">
        <v>1097</v>
      </c>
      <c r="BK25" s="30" t="s">
        <v>1097</v>
      </c>
      <c r="BL25" s="30" t="s">
        <v>1097</v>
      </c>
      <c r="BM25" s="30">
        <v>0.0</v>
      </c>
      <c r="BN25" s="30" t="s">
        <v>1112</v>
      </c>
      <c r="BO25" s="30" t="s">
        <v>66</v>
      </c>
      <c r="BP25" s="30" t="s">
        <v>1117</v>
      </c>
      <c r="BQ25" s="30">
        <v>14710.0</v>
      </c>
      <c r="BR25" s="30" t="s">
        <v>1839</v>
      </c>
      <c r="BS25" s="30" t="s">
        <v>1844</v>
      </c>
      <c r="BT25" s="30">
        <v>1.0</v>
      </c>
      <c r="BU25" s="30" t="s">
        <v>1129</v>
      </c>
      <c r="BV25" s="30" t="s">
        <v>66</v>
      </c>
      <c r="BW25" s="30">
        <v>6.0</v>
      </c>
      <c r="BX25" s="30" t="s">
        <v>1845</v>
      </c>
      <c r="BY25" s="30">
        <v>3.0</v>
      </c>
      <c r="BZ25" s="30" t="s">
        <v>1846</v>
      </c>
      <c r="CA25" s="30">
        <v>5.0</v>
      </c>
      <c r="CB25" s="30" t="s">
        <v>1847</v>
      </c>
      <c r="CC25" s="30" t="s">
        <v>1854</v>
      </c>
      <c r="CD25" s="30" t="s">
        <v>1855</v>
      </c>
      <c r="CE25" s="30" t="s">
        <v>194</v>
      </c>
      <c r="CF25" s="30" t="s">
        <v>1855</v>
      </c>
    </row>
    <row r="26" ht="15.75" customHeight="1">
      <c r="B26" s="30" t="s">
        <v>1016</v>
      </c>
      <c r="C26" s="32">
        <v>100.0</v>
      </c>
      <c r="D26" s="30" t="s">
        <v>1856</v>
      </c>
      <c r="E26" s="31" t="str">
        <f>IFERROR(__xludf.DUMMYFUNCTION("IF(ISBLANK(D26), """", GOOGLETRANSLATE(D26, ""es"", ""en""))"),"Funding body code")</f>
        <v>Funding body code</v>
      </c>
      <c r="G26" s="30" t="s">
        <v>1857</v>
      </c>
      <c r="H26" s="30">
        <v>2024.0</v>
      </c>
      <c r="I26" s="30" t="s">
        <v>970</v>
      </c>
      <c r="J26" s="30" t="s">
        <v>973</v>
      </c>
      <c r="K26" s="30">
        <v>201.0</v>
      </c>
      <c r="L26" s="30" t="s">
        <v>978</v>
      </c>
      <c r="M26" s="30">
        <v>1.0</v>
      </c>
      <c r="N26" s="30" t="s">
        <v>983</v>
      </c>
      <c r="O26" s="30">
        <v>9.0</v>
      </c>
      <c r="P26" s="30" t="s">
        <v>988</v>
      </c>
      <c r="Q26" s="30" t="s">
        <v>991</v>
      </c>
      <c r="R26" s="30">
        <v>22.0</v>
      </c>
      <c r="S26" s="30" t="s">
        <v>996</v>
      </c>
      <c r="T26" s="30">
        <v>4.0</v>
      </c>
      <c r="U26" s="30" t="s">
        <v>1820</v>
      </c>
      <c r="V26" s="30">
        <v>3.0</v>
      </c>
      <c r="W26" s="30" t="s">
        <v>1858</v>
      </c>
      <c r="X26" s="30">
        <v>51.0</v>
      </c>
      <c r="Y26" s="30" t="s">
        <v>1806</v>
      </c>
      <c r="Z26" s="30" t="s">
        <v>1859</v>
      </c>
      <c r="AA26" s="30">
        <v>100.0</v>
      </c>
      <c r="AB26" s="30" t="s">
        <v>1019</v>
      </c>
      <c r="AC26" s="30">
        <v>10.0</v>
      </c>
      <c r="AD26" s="30" t="s">
        <v>1024</v>
      </c>
      <c r="AE26" s="30">
        <v>100.0</v>
      </c>
      <c r="AF26" s="30" t="s">
        <v>1024</v>
      </c>
      <c r="AG26" s="30">
        <v>4.0</v>
      </c>
      <c r="AH26" s="30" t="s">
        <v>1033</v>
      </c>
      <c r="AI26" s="131">
        <v>45355.0</v>
      </c>
      <c r="AJ26" s="30" t="s">
        <v>1038</v>
      </c>
      <c r="AK26" s="52">
        <v>37319.0</v>
      </c>
      <c r="AL26" s="30" t="s">
        <v>1043</v>
      </c>
      <c r="AM26" s="30">
        <v>2.0</v>
      </c>
      <c r="AN26" s="30" t="s">
        <v>1048</v>
      </c>
      <c r="AO26" s="131">
        <v>45475.0</v>
      </c>
      <c r="AP26" s="30" t="s">
        <v>1053</v>
      </c>
      <c r="AQ26" s="132">
        <v>37439.0</v>
      </c>
      <c r="AR26" s="30" t="s">
        <v>1702</v>
      </c>
      <c r="AS26" s="30" t="s">
        <v>1719</v>
      </c>
      <c r="AT26" s="30" t="s">
        <v>1720</v>
      </c>
      <c r="AU26" s="30" t="s">
        <v>1721</v>
      </c>
      <c r="AV26" s="30" t="s">
        <v>1720</v>
      </c>
      <c r="AW26" s="30">
        <v>2.0</v>
      </c>
      <c r="AX26" s="30" t="s">
        <v>1048</v>
      </c>
      <c r="AY26" s="131">
        <v>45324.0</v>
      </c>
      <c r="AZ26" s="30" t="s">
        <v>1078</v>
      </c>
      <c r="BA26" s="132">
        <v>36924.0</v>
      </c>
      <c r="BB26" s="30" t="s">
        <v>1706</v>
      </c>
      <c r="BC26" s="30" t="s">
        <v>1707</v>
      </c>
      <c r="BD26" s="30" t="s">
        <v>1708</v>
      </c>
      <c r="BE26" s="30" t="s">
        <v>1097</v>
      </c>
      <c r="BF26" s="30" t="s">
        <v>1097</v>
      </c>
      <c r="BG26" s="30" t="s">
        <v>1097</v>
      </c>
      <c r="BH26" s="30" t="s">
        <v>1097</v>
      </c>
      <c r="BI26" s="30" t="s">
        <v>1097</v>
      </c>
      <c r="BJ26" s="30" t="s">
        <v>1097</v>
      </c>
      <c r="BK26" s="30" t="s">
        <v>1097</v>
      </c>
      <c r="BL26" s="30" t="s">
        <v>1097</v>
      </c>
      <c r="BM26" s="30">
        <v>0.0</v>
      </c>
      <c r="BN26" s="30" t="s">
        <v>1112</v>
      </c>
      <c r="BO26" s="30" t="s">
        <v>66</v>
      </c>
      <c r="BP26" s="30" t="s">
        <v>1117</v>
      </c>
      <c r="BQ26" s="30">
        <v>14730.0</v>
      </c>
      <c r="BR26" s="30" t="s">
        <v>1858</v>
      </c>
      <c r="BS26" s="30" t="s">
        <v>1860</v>
      </c>
      <c r="BT26" s="30">
        <v>1.0</v>
      </c>
      <c r="BU26" s="30" t="s">
        <v>1129</v>
      </c>
      <c r="BV26" s="30" t="s">
        <v>66</v>
      </c>
      <c r="BW26" s="30">
        <v>5.0</v>
      </c>
      <c r="BX26" s="30" t="s">
        <v>1136</v>
      </c>
      <c r="BY26" s="30">
        <v>21.0</v>
      </c>
      <c r="BZ26" s="30" t="s">
        <v>1141</v>
      </c>
      <c r="CA26" s="30">
        <v>3.0</v>
      </c>
      <c r="CB26" s="30" t="s">
        <v>1861</v>
      </c>
      <c r="CC26" s="30" t="s">
        <v>1862</v>
      </c>
      <c r="CD26" s="30" t="s">
        <v>1863</v>
      </c>
      <c r="CE26" s="30" t="s">
        <v>194</v>
      </c>
      <c r="CF26" s="30" t="s">
        <v>1863</v>
      </c>
    </row>
    <row r="27" ht="15.75" customHeight="1">
      <c r="B27" s="30" t="s">
        <v>1018</v>
      </c>
      <c r="C27" s="32" t="s">
        <v>1019</v>
      </c>
      <c r="D27" s="30" t="s">
        <v>1864</v>
      </c>
      <c r="E27" s="31" t="str">
        <f>IFERROR(__xludf.DUMMYFUNCTION("IF(ISBLANK(D27), """", GOOGLETRANSLATE(D27, ""es"", ""en""))"),"Description of the financing organization")</f>
        <v>Description of the financing organization</v>
      </c>
      <c r="G27" s="30" t="s">
        <v>1865</v>
      </c>
      <c r="H27" s="30">
        <v>2024.0</v>
      </c>
      <c r="I27" s="30" t="s">
        <v>970</v>
      </c>
      <c r="J27" s="30" t="s">
        <v>973</v>
      </c>
      <c r="K27" s="30">
        <v>201.0</v>
      </c>
      <c r="L27" s="30" t="s">
        <v>978</v>
      </c>
      <c r="M27" s="30">
        <v>1.0</v>
      </c>
      <c r="N27" s="30" t="s">
        <v>983</v>
      </c>
      <c r="O27" s="30">
        <v>9.0</v>
      </c>
      <c r="P27" s="30" t="s">
        <v>988</v>
      </c>
      <c r="Q27" s="30" t="s">
        <v>991</v>
      </c>
      <c r="R27" s="30">
        <v>22.0</v>
      </c>
      <c r="S27" s="30" t="s">
        <v>996</v>
      </c>
      <c r="T27" s="30">
        <v>4.0</v>
      </c>
      <c r="U27" s="30" t="s">
        <v>1820</v>
      </c>
      <c r="V27" s="30">
        <v>4.0</v>
      </c>
      <c r="W27" s="30" t="s">
        <v>1866</v>
      </c>
      <c r="X27" s="30">
        <v>51.0</v>
      </c>
      <c r="Y27" s="30" t="s">
        <v>1867</v>
      </c>
      <c r="Z27" s="30" t="s">
        <v>1868</v>
      </c>
      <c r="AA27" s="30">
        <v>100.0</v>
      </c>
      <c r="AB27" s="30" t="s">
        <v>1019</v>
      </c>
      <c r="AC27" s="30">
        <v>10.0</v>
      </c>
      <c r="AD27" s="30" t="s">
        <v>1024</v>
      </c>
      <c r="AE27" s="30">
        <v>100.0</v>
      </c>
      <c r="AF27" s="30" t="s">
        <v>1024</v>
      </c>
      <c r="AG27" s="30">
        <v>4.0</v>
      </c>
      <c r="AH27" s="30" t="s">
        <v>1033</v>
      </c>
      <c r="AI27" s="131">
        <v>45295.0</v>
      </c>
      <c r="AJ27" s="30" t="s">
        <v>1823</v>
      </c>
      <c r="AK27" s="52">
        <v>37260.0</v>
      </c>
      <c r="AL27" s="30" t="s">
        <v>1512</v>
      </c>
      <c r="AM27" s="30">
        <v>2.0</v>
      </c>
      <c r="AN27" s="30" t="s">
        <v>1048</v>
      </c>
      <c r="AO27" s="131">
        <v>45475.0</v>
      </c>
      <c r="AP27" s="30" t="s">
        <v>1053</v>
      </c>
      <c r="AQ27" s="132">
        <v>37074.0</v>
      </c>
      <c r="AR27" s="30" t="s">
        <v>1058</v>
      </c>
      <c r="AS27" s="30" t="s">
        <v>1824</v>
      </c>
      <c r="AT27" s="30" t="s">
        <v>721</v>
      </c>
      <c r="AU27" s="30" t="s">
        <v>722</v>
      </c>
      <c r="AV27" s="30" t="s">
        <v>721</v>
      </c>
      <c r="AW27" s="30">
        <v>2.0</v>
      </c>
      <c r="AX27" s="30" t="s">
        <v>1048</v>
      </c>
      <c r="AY27" s="131">
        <v>45324.0</v>
      </c>
      <c r="AZ27" s="30" t="s">
        <v>1078</v>
      </c>
      <c r="BA27" s="132">
        <v>37289.0</v>
      </c>
      <c r="BB27" s="30" t="s">
        <v>1083</v>
      </c>
      <c r="BC27" s="30" t="s">
        <v>1086</v>
      </c>
      <c r="BD27" s="30" t="s">
        <v>1089</v>
      </c>
      <c r="BE27" s="30" t="s">
        <v>1825</v>
      </c>
      <c r="BF27" s="30" t="s">
        <v>1826</v>
      </c>
      <c r="BG27" s="30" t="s">
        <v>1097</v>
      </c>
      <c r="BH27" s="30" t="s">
        <v>1097</v>
      </c>
      <c r="BI27" s="30" t="s">
        <v>1097</v>
      </c>
      <c r="BJ27" s="30" t="s">
        <v>1097</v>
      </c>
      <c r="BK27" s="30" t="s">
        <v>1097</v>
      </c>
      <c r="BL27" s="30" t="s">
        <v>1097</v>
      </c>
      <c r="BM27" s="30">
        <v>0.0</v>
      </c>
      <c r="BN27" s="30" t="s">
        <v>1112</v>
      </c>
      <c r="BO27" s="30" t="s">
        <v>66</v>
      </c>
      <c r="BP27" s="30" t="s">
        <v>1117</v>
      </c>
      <c r="BQ27" s="30">
        <v>14785.0</v>
      </c>
      <c r="BR27" s="30" t="s">
        <v>1866</v>
      </c>
      <c r="BS27" s="30" t="s">
        <v>1869</v>
      </c>
      <c r="BT27" s="30">
        <v>1.0</v>
      </c>
      <c r="BU27" s="30" t="s">
        <v>1129</v>
      </c>
      <c r="BV27" s="30" t="s">
        <v>66</v>
      </c>
      <c r="BW27" s="30">
        <v>7.0</v>
      </c>
      <c r="BX27" s="30" t="s">
        <v>1770</v>
      </c>
      <c r="BY27" s="30">
        <v>22.0</v>
      </c>
      <c r="BZ27" s="30" t="s">
        <v>1771</v>
      </c>
      <c r="CA27" s="30">
        <v>6.0</v>
      </c>
      <c r="CB27" s="30" t="s">
        <v>1870</v>
      </c>
      <c r="CC27" s="30" t="s">
        <v>1871</v>
      </c>
      <c r="CD27" s="30" t="s">
        <v>1872</v>
      </c>
      <c r="CE27" s="30" t="s">
        <v>194</v>
      </c>
      <c r="CF27" s="30" t="s">
        <v>1872</v>
      </c>
    </row>
    <row r="28" ht="15.75" customHeight="1">
      <c r="B28" s="30" t="s">
        <v>1021</v>
      </c>
      <c r="C28" s="32">
        <v>10.0</v>
      </c>
      <c r="D28" s="30" t="s">
        <v>1873</v>
      </c>
      <c r="E28" s="31" t="str">
        <f>IFERROR(__xludf.DUMMYFUNCTION("IF(ISBLANK(D28), """", GOOGLETRANSLATE(D28, ""es"", ""en""))"),"Financing Source Code")</f>
        <v>Financing Source Code</v>
      </c>
      <c r="G28" s="30" t="s">
        <v>1874</v>
      </c>
      <c r="H28" s="30">
        <v>2024.0</v>
      </c>
      <c r="I28" s="30" t="s">
        <v>970</v>
      </c>
      <c r="J28" s="30" t="s">
        <v>973</v>
      </c>
      <c r="K28" s="30">
        <v>201.0</v>
      </c>
      <c r="L28" s="30" t="s">
        <v>978</v>
      </c>
      <c r="M28" s="30">
        <v>1.0</v>
      </c>
      <c r="N28" s="30" t="s">
        <v>983</v>
      </c>
      <c r="O28" s="30">
        <v>9.0</v>
      </c>
      <c r="P28" s="30" t="s">
        <v>988</v>
      </c>
      <c r="Q28" s="30" t="s">
        <v>991</v>
      </c>
      <c r="R28" s="30">
        <v>22.0</v>
      </c>
      <c r="S28" s="30" t="s">
        <v>996</v>
      </c>
      <c r="T28" s="30">
        <v>4.0</v>
      </c>
      <c r="U28" s="30" t="s">
        <v>1820</v>
      </c>
      <c r="V28" s="30">
        <v>4.0</v>
      </c>
      <c r="W28" s="30" t="s">
        <v>1866</v>
      </c>
      <c r="X28" s="30">
        <v>52.0</v>
      </c>
      <c r="Y28" s="30" t="s">
        <v>1875</v>
      </c>
      <c r="Z28" s="30" t="s">
        <v>1876</v>
      </c>
      <c r="AA28" s="30">
        <v>100.0</v>
      </c>
      <c r="AB28" s="30" t="s">
        <v>1019</v>
      </c>
      <c r="AC28" s="30">
        <v>10.0</v>
      </c>
      <c r="AD28" s="30" t="s">
        <v>1024</v>
      </c>
      <c r="AE28" s="30">
        <v>100.0</v>
      </c>
      <c r="AF28" s="30" t="s">
        <v>1024</v>
      </c>
      <c r="AG28" s="30">
        <v>4.0</v>
      </c>
      <c r="AH28" s="30" t="s">
        <v>1033</v>
      </c>
      <c r="AI28" s="131">
        <v>45295.0</v>
      </c>
      <c r="AJ28" s="30" t="s">
        <v>1823</v>
      </c>
      <c r="AK28" s="52">
        <v>37260.0</v>
      </c>
      <c r="AL28" s="30" t="s">
        <v>1512</v>
      </c>
      <c r="AM28" s="30">
        <v>2.0</v>
      </c>
      <c r="AN28" s="30" t="s">
        <v>1048</v>
      </c>
      <c r="AO28" s="131">
        <v>45475.0</v>
      </c>
      <c r="AP28" s="30" t="s">
        <v>1053</v>
      </c>
      <c r="AQ28" s="132">
        <v>37074.0</v>
      </c>
      <c r="AR28" s="30" t="s">
        <v>1058</v>
      </c>
      <c r="AS28" s="30" t="s">
        <v>1061</v>
      </c>
      <c r="AT28" s="30" t="s">
        <v>1064</v>
      </c>
      <c r="AU28" s="30" t="s">
        <v>1067</v>
      </c>
      <c r="AV28" s="30" t="s">
        <v>1064</v>
      </c>
      <c r="AW28" s="30">
        <v>2.0</v>
      </c>
      <c r="AX28" s="30" t="s">
        <v>1048</v>
      </c>
      <c r="AY28" s="131">
        <v>45324.0</v>
      </c>
      <c r="AZ28" s="30" t="s">
        <v>1078</v>
      </c>
      <c r="BA28" s="132">
        <v>37289.0</v>
      </c>
      <c r="BB28" s="30" t="s">
        <v>1083</v>
      </c>
      <c r="BC28" s="30" t="s">
        <v>1086</v>
      </c>
      <c r="BD28" s="30" t="s">
        <v>1089</v>
      </c>
      <c r="BE28" s="30" t="s">
        <v>1092</v>
      </c>
      <c r="BF28" s="30" t="s">
        <v>1064</v>
      </c>
      <c r="BG28" s="30" t="s">
        <v>1097</v>
      </c>
      <c r="BH28" s="30" t="s">
        <v>1097</v>
      </c>
      <c r="BI28" s="30" t="s">
        <v>1097</v>
      </c>
      <c r="BJ28" s="30" t="s">
        <v>1097</v>
      </c>
      <c r="BK28" s="30" t="s">
        <v>1097</v>
      </c>
      <c r="BL28" s="30" t="s">
        <v>1097</v>
      </c>
      <c r="BM28" s="30">
        <v>0.0</v>
      </c>
      <c r="BN28" s="30" t="s">
        <v>1112</v>
      </c>
      <c r="BO28" s="30" t="s">
        <v>66</v>
      </c>
      <c r="BP28" s="30" t="s">
        <v>1117</v>
      </c>
      <c r="BQ28" s="30">
        <v>14785.0</v>
      </c>
      <c r="BR28" s="30" t="s">
        <v>1866</v>
      </c>
      <c r="BS28" s="30" t="s">
        <v>1869</v>
      </c>
      <c r="BT28" s="30">
        <v>1.0</v>
      </c>
      <c r="BU28" s="30" t="s">
        <v>1129</v>
      </c>
      <c r="BV28" s="30" t="s">
        <v>66</v>
      </c>
      <c r="BW28" s="30">
        <v>7.0</v>
      </c>
      <c r="BX28" s="30" t="s">
        <v>1770</v>
      </c>
      <c r="BY28" s="30">
        <v>22.0</v>
      </c>
      <c r="BZ28" s="30" t="s">
        <v>1771</v>
      </c>
      <c r="CA28" s="30">
        <v>6.0</v>
      </c>
      <c r="CB28" s="30" t="s">
        <v>1870</v>
      </c>
      <c r="CC28" s="30" t="s">
        <v>1877</v>
      </c>
      <c r="CD28" s="30" t="s">
        <v>1878</v>
      </c>
      <c r="CE28" s="30" t="s">
        <v>194</v>
      </c>
      <c r="CF28" s="30" t="s">
        <v>1878</v>
      </c>
    </row>
    <row r="29" ht="15.75" customHeight="1">
      <c r="B29" s="30" t="s">
        <v>1023</v>
      </c>
      <c r="C29" s="32" t="s">
        <v>1024</v>
      </c>
      <c r="D29" s="30" t="s">
        <v>1879</v>
      </c>
      <c r="E29" s="31" t="str">
        <f>IFERROR(__xludf.DUMMYFUNCTION("IF(ISBLANK(D29), """", GOOGLETRANSLATE(D29, ""es"", ""en""))"),"Name of funding source")</f>
        <v>Name of funding source</v>
      </c>
      <c r="G29" s="30" t="s">
        <v>1880</v>
      </c>
      <c r="H29" s="30">
        <v>2024.0</v>
      </c>
      <c r="I29" s="30" t="s">
        <v>970</v>
      </c>
      <c r="J29" s="30" t="s">
        <v>973</v>
      </c>
      <c r="K29" s="30">
        <v>201.0</v>
      </c>
      <c r="L29" s="30" t="s">
        <v>978</v>
      </c>
      <c r="M29" s="30">
        <v>1.0</v>
      </c>
      <c r="N29" s="30" t="s">
        <v>983</v>
      </c>
      <c r="O29" s="30">
        <v>9.0</v>
      </c>
      <c r="P29" s="30" t="s">
        <v>988</v>
      </c>
      <c r="Q29" s="30" t="s">
        <v>991</v>
      </c>
      <c r="R29" s="30">
        <v>22.0</v>
      </c>
      <c r="S29" s="30" t="s">
        <v>996</v>
      </c>
      <c r="T29" s="30">
        <v>4.0</v>
      </c>
      <c r="U29" s="30" t="s">
        <v>1820</v>
      </c>
      <c r="V29" s="30">
        <v>5.0</v>
      </c>
      <c r="W29" s="30" t="s">
        <v>1881</v>
      </c>
      <c r="X29" s="30">
        <v>51.0</v>
      </c>
      <c r="Y29" s="30" t="s">
        <v>1882</v>
      </c>
      <c r="Z29" s="30" t="s">
        <v>1883</v>
      </c>
      <c r="AA29" s="30">
        <v>100.0</v>
      </c>
      <c r="AB29" s="30" t="s">
        <v>1019</v>
      </c>
      <c r="AC29" s="30">
        <v>10.0</v>
      </c>
      <c r="AD29" s="30" t="s">
        <v>1024</v>
      </c>
      <c r="AE29" s="30">
        <v>100.0</v>
      </c>
      <c r="AF29" s="30" t="s">
        <v>1024</v>
      </c>
      <c r="AG29" s="30">
        <v>4.0</v>
      </c>
      <c r="AH29" s="30" t="s">
        <v>1033</v>
      </c>
      <c r="AI29" s="131">
        <v>45295.0</v>
      </c>
      <c r="AJ29" s="30" t="s">
        <v>1823</v>
      </c>
      <c r="AK29" s="52">
        <v>37260.0</v>
      </c>
      <c r="AL29" s="30" t="s">
        <v>1512</v>
      </c>
      <c r="AM29" s="30">
        <v>2.0</v>
      </c>
      <c r="AN29" s="30" t="s">
        <v>1048</v>
      </c>
      <c r="AO29" s="131">
        <v>45475.0</v>
      </c>
      <c r="AP29" s="30" t="s">
        <v>1053</v>
      </c>
      <c r="AQ29" s="132">
        <v>37074.0</v>
      </c>
      <c r="AR29" s="30" t="s">
        <v>1058</v>
      </c>
      <c r="AS29" s="30" t="s">
        <v>1824</v>
      </c>
      <c r="AT29" s="30" t="s">
        <v>721</v>
      </c>
      <c r="AU29" s="30" t="s">
        <v>722</v>
      </c>
      <c r="AV29" s="30" t="s">
        <v>721</v>
      </c>
      <c r="AW29" s="30">
        <v>2.0</v>
      </c>
      <c r="AX29" s="30" t="s">
        <v>1048</v>
      </c>
      <c r="AY29" s="131">
        <v>45324.0</v>
      </c>
      <c r="AZ29" s="30" t="s">
        <v>1078</v>
      </c>
      <c r="BA29" s="132">
        <v>37289.0</v>
      </c>
      <c r="BB29" s="30" t="s">
        <v>1083</v>
      </c>
      <c r="BC29" s="30" t="s">
        <v>1086</v>
      </c>
      <c r="BD29" s="30" t="s">
        <v>1089</v>
      </c>
      <c r="BE29" s="30" t="s">
        <v>1825</v>
      </c>
      <c r="BF29" s="30" t="s">
        <v>1826</v>
      </c>
      <c r="BG29" s="30" t="s">
        <v>1097</v>
      </c>
      <c r="BH29" s="30" t="s">
        <v>1097</v>
      </c>
      <c r="BI29" s="30" t="s">
        <v>1097</v>
      </c>
      <c r="BJ29" s="30" t="s">
        <v>1097</v>
      </c>
      <c r="BK29" s="30" t="s">
        <v>1097</v>
      </c>
      <c r="BL29" s="30" t="s">
        <v>1097</v>
      </c>
      <c r="BM29" s="30">
        <v>0.0</v>
      </c>
      <c r="BN29" s="30" t="s">
        <v>1112</v>
      </c>
      <c r="BO29" s="30" t="s">
        <v>66</v>
      </c>
      <c r="BP29" s="30" t="s">
        <v>1117</v>
      </c>
      <c r="BQ29" s="30">
        <v>14786.0</v>
      </c>
      <c r="BR29" s="30" t="s">
        <v>1881</v>
      </c>
      <c r="BS29" s="30" t="s">
        <v>1884</v>
      </c>
      <c r="BT29" s="30">
        <v>1.0</v>
      </c>
      <c r="BU29" s="30" t="s">
        <v>1129</v>
      </c>
      <c r="BV29" s="30" t="s">
        <v>66</v>
      </c>
      <c r="BW29" s="30">
        <v>7.0</v>
      </c>
      <c r="BX29" s="30" t="s">
        <v>1770</v>
      </c>
      <c r="BY29" s="30">
        <v>22.0</v>
      </c>
      <c r="BZ29" s="30" t="s">
        <v>1771</v>
      </c>
      <c r="CA29" s="30">
        <v>1.0</v>
      </c>
      <c r="CB29" s="30" t="s">
        <v>1771</v>
      </c>
      <c r="CC29" s="30" t="s">
        <v>1885</v>
      </c>
      <c r="CD29" s="30" t="s">
        <v>1886</v>
      </c>
      <c r="CE29" s="30" t="s">
        <v>194</v>
      </c>
      <c r="CF29" s="30" t="s">
        <v>1886</v>
      </c>
    </row>
    <row r="30" ht="15.75" customHeight="1">
      <c r="B30" s="30" t="s">
        <v>1026</v>
      </c>
      <c r="C30" s="32">
        <v>100.0</v>
      </c>
      <c r="D30" s="30" t="s">
        <v>1887</v>
      </c>
      <c r="E30" s="31" t="str">
        <f>IFERROR(__xludf.DUMMYFUNCTION("IF(ISBLANK(D30), """", GOOGLETRANSLATE(D30, ""es"", ""en""))"),"Specific Source Code")</f>
        <v>Specific Source Code</v>
      </c>
      <c r="G30" s="30" t="s">
        <v>1888</v>
      </c>
      <c r="H30" s="30">
        <v>2024.0</v>
      </c>
      <c r="I30" s="30" t="s">
        <v>970</v>
      </c>
      <c r="J30" s="30" t="s">
        <v>973</v>
      </c>
      <c r="K30" s="30">
        <v>201.0</v>
      </c>
      <c r="L30" s="30" t="s">
        <v>978</v>
      </c>
      <c r="M30" s="30">
        <v>1.0</v>
      </c>
      <c r="N30" s="30" t="s">
        <v>983</v>
      </c>
      <c r="O30" s="30">
        <v>9.0</v>
      </c>
      <c r="P30" s="30" t="s">
        <v>988</v>
      </c>
      <c r="Q30" s="30" t="s">
        <v>991</v>
      </c>
      <c r="R30" s="30">
        <v>22.0</v>
      </c>
      <c r="S30" s="30" t="s">
        <v>996</v>
      </c>
      <c r="T30" s="30">
        <v>4.0</v>
      </c>
      <c r="U30" s="30" t="s">
        <v>1820</v>
      </c>
      <c r="V30" s="30">
        <v>5.0</v>
      </c>
      <c r="W30" s="30" t="s">
        <v>1881</v>
      </c>
      <c r="X30" s="30">
        <v>52.0</v>
      </c>
      <c r="Y30" s="30" t="s">
        <v>1889</v>
      </c>
      <c r="Z30" s="30" t="s">
        <v>1890</v>
      </c>
      <c r="AA30" s="30">
        <v>100.0</v>
      </c>
      <c r="AB30" s="30" t="s">
        <v>1019</v>
      </c>
      <c r="AC30" s="30">
        <v>10.0</v>
      </c>
      <c r="AD30" s="30" t="s">
        <v>1024</v>
      </c>
      <c r="AE30" s="30">
        <v>100.0</v>
      </c>
      <c r="AF30" s="30" t="s">
        <v>1024</v>
      </c>
      <c r="AG30" s="30">
        <v>4.0</v>
      </c>
      <c r="AH30" s="30" t="s">
        <v>1033</v>
      </c>
      <c r="AI30" s="131">
        <v>45295.0</v>
      </c>
      <c r="AJ30" s="30" t="s">
        <v>1823</v>
      </c>
      <c r="AK30" s="52">
        <v>37260.0</v>
      </c>
      <c r="AL30" s="30" t="s">
        <v>1512</v>
      </c>
      <c r="AM30" s="30">
        <v>2.0</v>
      </c>
      <c r="AN30" s="30" t="s">
        <v>1048</v>
      </c>
      <c r="AO30" s="131">
        <v>45475.0</v>
      </c>
      <c r="AP30" s="30" t="s">
        <v>1053</v>
      </c>
      <c r="AQ30" s="132">
        <v>37074.0</v>
      </c>
      <c r="AR30" s="30" t="s">
        <v>1058</v>
      </c>
      <c r="AS30" s="30" t="s">
        <v>1061</v>
      </c>
      <c r="AT30" s="30" t="s">
        <v>1064</v>
      </c>
      <c r="AU30" s="30" t="s">
        <v>1067</v>
      </c>
      <c r="AV30" s="30" t="s">
        <v>1064</v>
      </c>
      <c r="AW30" s="30">
        <v>2.0</v>
      </c>
      <c r="AX30" s="30" t="s">
        <v>1048</v>
      </c>
      <c r="AY30" s="131">
        <v>45324.0</v>
      </c>
      <c r="AZ30" s="30" t="s">
        <v>1078</v>
      </c>
      <c r="BA30" s="132">
        <v>37289.0</v>
      </c>
      <c r="BB30" s="30" t="s">
        <v>1083</v>
      </c>
      <c r="BC30" s="30" t="s">
        <v>1086</v>
      </c>
      <c r="BD30" s="30" t="s">
        <v>1089</v>
      </c>
      <c r="BE30" s="30" t="s">
        <v>1092</v>
      </c>
      <c r="BF30" s="30" t="s">
        <v>1064</v>
      </c>
      <c r="BG30" s="30" t="s">
        <v>1097</v>
      </c>
      <c r="BH30" s="30" t="s">
        <v>1097</v>
      </c>
      <c r="BI30" s="30" t="s">
        <v>1097</v>
      </c>
      <c r="BJ30" s="30" t="s">
        <v>1097</v>
      </c>
      <c r="BK30" s="30" t="s">
        <v>1097</v>
      </c>
      <c r="BL30" s="30" t="s">
        <v>1097</v>
      </c>
      <c r="BM30" s="30">
        <v>0.0</v>
      </c>
      <c r="BN30" s="30" t="s">
        <v>1112</v>
      </c>
      <c r="BO30" s="30" t="s">
        <v>66</v>
      </c>
      <c r="BP30" s="30" t="s">
        <v>1117</v>
      </c>
      <c r="BQ30" s="30">
        <v>14786.0</v>
      </c>
      <c r="BR30" s="30" t="s">
        <v>1881</v>
      </c>
      <c r="BS30" s="30" t="s">
        <v>1884</v>
      </c>
      <c r="BT30" s="30">
        <v>1.0</v>
      </c>
      <c r="BU30" s="30" t="s">
        <v>1129</v>
      </c>
      <c r="BV30" s="30" t="s">
        <v>66</v>
      </c>
      <c r="BW30" s="30">
        <v>7.0</v>
      </c>
      <c r="BX30" s="30" t="s">
        <v>1770</v>
      </c>
      <c r="BY30" s="30">
        <v>22.0</v>
      </c>
      <c r="BZ30" s="30" t="s">
        <v>1771</v>
      </c>
      <c r="CA30" s="30">
        <v>1.0</v>
      </c>
      <c r="CB30" s="30" t="s">
        <v>1771</v>
      </c>
      <c r="CC30" s="30" t="s">
        <v>1891</v>
      </c>
      <c r="CD30" s="30" t="s">
        <v>1892</v>
      </c>
      <c r="CE30" s="30" t="s">
        <v>194</v>
      </c>
      <c r="CF30" s="30" t="s">
        <v>1892</v>
      </c>
    </row>
    <row r="31" ht="15.75" customHeight="1">
      <c r="B31" s="30" t="s">
        <v>1028</v>
      </c>
      <c r="C31" s="32" t="s">
        <v>1024</v>
      </c>
      <c r="D31" s="30" t="s">
        <v>1893</v>
      </c>
      <c r="E31" s="31" t="str">
        <f>IFERROR(__xludf.DUMMYFUNCTION("IF(ISBLANK(D31), """", GOOGLETRANSLATE(D31, ""es"", ""en""))"),"Specific font name")</f>
        <v>Specific font name</v>
      </c>
      <c r="G31" s="30" t="s">
        <v>1894</v>
      </c>
      <c r="H31" s="30">
        <v>2024.0</v>
      </c>
      <c r="I31" s="30" t="s">
        <v>970</v>
      </c>
      <c r="J31" s="30" t="s">
        <v>973</v>
      </c>
      <c r="K31" s="30">
        <v>201.0</v>
      </c>
      <c r="L31" s="30" t="s">
        <v>978</v>
      </c>
      <c r="M31" s="30">
        <v>1.0</v>
      </c>
      <c r="N31" s="30" t="s">
        <v>983</v>
      </c>
      <c r="O31" s="30">
        <v>9.0</v>
      </c>
      <c r="P31" s="30" t="s">
        <v>988</v>
      </c>
      <c r="Q31" s="30" t="s">
        <v>991</v>
      </c>
      <c r="R31" s="30">
        <v>22.0</v>
      </c>
      <c r="S31" s="30" t="s">
        <v>996</v>
      </c>
      <c r="T31" s="30">
        <v>4.0</v>
      </c>
      <c r="U31" s="30" t="s">
        <v>1820</v>
      </c>
      <c r="V31" s="30">
        <v>6.0</v>
      </c>
      <c r="W31" s="30" t="s">
        <v>1895</v>
      </c>
      <c r="X31" s="30">
        <v>51.0</v>
      </c>
      <c r="Y31" s="30" t="s">
        <v>1896</v>
      </c>
      <c r="Z31" s="30" t="s">
        <v>1897</v>
      </c>
      <c r="AA31" s="30">
        <v>100.0</v>
      </c>
      <c r="AB31" s="30" t="s">
        <v>1019</v>
      </c>
      <c r="AC31" s="30">
        <v>10.0</v>
      </c>
      <c r="AD31" s="30" t="s">
        <v>1024</v>
      </c>
      <c r="AE31" s="30">
        <v>100.0</v>
      </c>
      <c r="AF31" s="30" t="s">
        <v>1024</v>
      </c>
      <c r="AG31" s="30">
        <v>4.0</v>
      </c>
      <c r="AH31" s="30" t="s">
        <v>1033</v>
      </c>
      <c r="AI31" s="131">
        <v>45295.0</v>
      </c>
      <c r="AJ31" s="30" t="s">
        <v>1823</v>
      </c>
      <c r="AK31" s="52">
        <v>37260.0</v>
      </c>
      <c r="AL31" s="30" t="s">
        <v>1512</v>
      </c>
      <c r="AM31" s="30">
        <v>2.0</v>
      </c>
      <c r="AN31" s="30" t="s">
        <v>1048</v>
      </c>
      <c r="AO31" s="131">
        <v>45475.0</v>
      </c>
      <c r="AP31" s="30" t="s">
        <v>1053</v>
      </c>
      <c r="AQ31" s="132">
        <v>37074.0</v>
      </c>
      <c r="AR31" s="30" t="s">
        <v>1058</v>
      </c>
      <c r="AS31" s="30" t="s">
        <v>1824</v>
      </c>
      <c r="AT31" s="30" t="s">
        <v>721</v>
      </c>
      <c r="AU31" s="30" t="s">
        <v>722</v>
      </c>
      <c r="AV31" s="30" t="s">
        <v>721</v>
      </c>
      <c r="AW31" s="30">
        <v>2.0</v>
      </c>
      <c r="AX31" s="30" t="s">
        <v>1048</v>
      </c>
      <c r="AY31" s="131">
        <v>45324.0</v>
      </c>
      <c r="AZ31" s="30" t="s">
        <v>1078</v>
      </c>
      <c r="BA31" s="132">
        <v>37289.0</v>
      </c>
      <c r="BB31" s="30" t="s">
        <v>1083</v>
      </c>
      <c r="BC31" s="30" t="s">
        <v>1086</v>
      </c>
      <c r="BD31" s="30" t="s">
        <v>1089</v>
      </c>
      <c r="BE31" s="30" t="s">
        <v>1825</v>
      </c>
      <c r="BF31" s="30" t="s">
        <v>1826</v>
      </c>
      <c r="BG31" s="30" t="s">
        <v>1097</v>
      </c>
      <c r="BH31" s="30" t="s">
        <v>1097</v>
      </c>
      <c r="BI31" s="30" t="s">
        <v>1097</v>
      </c>
      <c r="BJ31" s="30" t="s">
        <v>1097</v>
      </c>
      <c r="BK31" s="30" t="s">
        <v>1097</v>
      </c>
      <c r="BL31" s="30" t="s">
        <v>1097</v>
      </c>
      <c r="BM31" s="30">
        <v>0.0</v>
      </c>
      <c r="BN31" s="30" t="s">
        <v>1112</v>
      </c>
      <c r="BO31" s="30" t="s">
        <v>66</v>
      </c>
      <c r="BP31" s="30" t="s">
        <v>1117</v>
      </c>
      <c r="BQ31" s="30">
        <v>14787.0</v>
      </c>
      <c r="BR31" s="30" t="s">
        <v>1895</v>
      </c>
      <c r="BS31" s="30" t="s">
        <v>1898</v>
      </c>
      <c r="BT31" s="30">
        <v>1.0</v>
      </c>
      <c r="BU31" s="30" t="s">
        <v>1129</v>
      </c>
      <c r="BV31" s="30" t="s">
        <v>66</v>
      </c>
      <c r="BW31" s="30">
        <v>7.0</v>
      </c>
      <c r="BX31" s="30" t="s">
        <v>1770</v>
      </c>
      <c r="BY31" s="30">
        <v>22.0</v>
      </c>
      <c r="BZ31" s="30" t="s">
        <v>1771</v>
      </c>
      <c r="CA31" s="30">
        <v>1.0</v>
      </c>
      <c r="CB31" s="30" t="s">
        <v>1771</v>
      </c>
      <c r="CC31" s="30" t="s">
        <v>1899</v>
      </c>
      <c r="CD31" s="30" t="s">
        <v>1900</v>
      </c>
      <c r="CE31" s="30" t="s">
        <v>194</v>
      </c>
      <c r="CF31" s="30" t="s">
        <v>1900</v>
      </c>
    </row>
    <row r="32" ht="15.75" customHeight="1">
      <c r="B32" s="30" t="s">
        <v>1030</v>
      </c>
      <c r="C32" s="32">
        <v>4.0</v>
      </c>
      <c r="D32" s="30" t="s">
        <v>1901</v>
      </c>
      <c r="E32" s="31" t="str">
        <f>IFERROR(__xludf.DUMMYFUNCTION("IF(ISBLANK(D32), """", GOOGLETRANSLATE(D32, ""es"", ""en""))"),"Purpose Code")</f>
        <v>Purpose Code</v>
      </c>
      <c r="G32" s="30" t="s">
        <v>1902</v>
      </c>
      <c r="H32" s="30">
        <v>2024.0</v>
      </c>
      <c r="I32" s="30" t="s">
        <v>970</v>
      </c>
      <c r="J32" s="30" t="s">
        <v>973</v>
      </c>
      <c r="K32" s="30">
        <v>201.0</v>
      </c>
      <c r="L32" s="30" t="s">
        <v>978</v>
      </c>
      <c r="M32" s="30">
        <v>1.0</v>
      </c>
      <c r="N32" s="30" t="s">
        <v>983</v>
      </c>
      <c r="O32" s="30">
        <v>9.0</v>
      </c>
      <c r="P32" s="30" t="s">
        <v>988</v>
      </c>
      <c r="Q32" s="30" t="s">
        <v>991</v>
      </c>
      <c r="R32" s="30">
        <v>22.0</v>
      </c>
      <c r="S32" s="30" t="s">
        <v>996</v>
      </c>
      <c r="T32" s="30">
        <v>4.0</v>
      </c>
      <c r="U32" s="30" t="s">
        <v>1820</v>
      </c>
      <c r="V32" s="30">
        <v>6.0</v>
      </c>
      <c r="W32" s="30" t="s">
        <v>1895</v>
      </c>
      <c r="X32" s="30">
        <v>52.0</v>
      </c>
      <c r="Y32" s="30" t="s">
        <v>1903</v>
      </c>
      <c r="Z32" s="30" t="s">
        <v>1904</v>
      </c>
      <c r="AA32" s="30">
        <v>100.0</v>
      </c>
      <c r="AB32" s="30" t="s">
        <v>1019</v>
      </c>
      <c r="AC32" s="30">
        <v>10.0</v>
      </c>
      <c r="AD32" s="30" t="s">
        <v>1024</v>
      </c>
      <c r="AE32" s="30">
        <v>100.0</v>
      </c>
      <c r="AF32" s="30" t="s">
        <v>1024</v>
      </c>
      <c r="AG32" s="30">
        <v>4.0</v>
      </c>
      <c r="AH32" s="30" t="s">
        <v>1033</v>
      </c>
      <c r="AI32" s="131">
        <v>45295.0</v>
      </c>
      <c r="AJ32" s="30" t="s">
        <v>1823</v>
      </c>
      <c r="AK32" s="52">
        <v>37260.0</v>
      </c>
      <c r="AL32" s="30" t="s">
        <v>1512</v>
      </c>
      <c r="AM32" s="30">
        <v>2.0</v>
      </c>
      <c r="AN32" s="30" t="s">
        <v>1048</v>
      </c>
      <c r="AO32" s="131">
        <v>45475.0</v>
      </c>
      <c r="AP32" s="30" t="s">
        <v>1053</v>
      </c>
      <c r="AQ32" s="132">
        <v>37074.0</v>
      </c>
      <c r="AR32" s="30" t="s">
        <v>1058</v>
      </c>
      <c r="AS32" s="30" t="s">
        <v>1061</v>
      </c>
      <c r="AT32" s="30" t="s">
        <v>1064</v>
      </c>
      <c r="AU32" s="30" t="s">
        <v>1067</v>
      </c>
      <c r="AV32" s="30" t="s">
        <v>1064</v>
      </c>
      <c r="AW32" s="30">
        <v>2.0</v>
      </c>
      <c r="AX32" s="30" t="s">
        <v>1048</v>
      </c>
      <c r="AY32" s="131">
        <v>45324.0</v>
      </c>
      <c r="AZ32" s="30" t="s">
        <v>1078</v>
      </c>
      <c r="BA32" s="132">
        <v>37289.0</v>
      </c>
      <c r="BB32" s="30" t="s">
        <v>1083</v>
      </c>
      <c r="BC32" s="30" t="s">
        <v>1086</v>
      </c>
      <c r="BD32" s="30" t="s">
        <v>1089</v>
      </c>
      <c r="BE32" s="30" t="s">
        <v>1092</v>
      </c>
      <c r="BF32" s="30" t="s">
        <v>1064</v>
      </c>
      <c r="BG32" s="30" t="s">
        <v>1097</v>
      </c>
      <c r="BH32" s="30" t="s">
        <v>1097</v>
      </c>
      <c r="BI32" s="30" t="s">
        <v>1097</v>
      </c>
      <c r="BJ32" s="30" t="s">
        <v>1097</v>
      </c>
      <c r="BK32" s="30" t="s">
        <v>1097</v>
      </c>
      <c r="BL32" s="30" t="s">
        <v>1097</v>
      </c>
      <c r="BM32" s="30">
        <v>0.0</v>
      </c>
      <c r="BN32" s="30" t="s">
        <v>1112</v>
      </c>
      <c r="BO32" s="30" t="s">
        <v>66</v>
      </c>
      <c r="BP32" s="30" t="s">
        <v>1117</v>
      </c>
      <c r="BQ32" s="30">
        <v>14787.0</v>
      </c>
      <c r="BR32" s="30" t="s">
        <v>1895</v>
      </c>
      <c r="BS32" s="30" t="s">
        <v>1898</v>
      </c>
      <c r="BT32" s="30">
        <v>1.0</v>
      </c>
      <c r="BU32" s="30" t="s">
        <v>1129</v>
      </c>
      <c r="BV32" s="30" t="s">
        <v>66</v>
      </c>
      <c r="BW32" s="30">
        <v>7.0</v>
      </c>
      <c r="BX32" s="30" t="s">
        <v>1770</v>
      </c>
      <c r="BY32" s="30">
        <v>22.0</v>
      </c>
      <c r="BZ32" s="30" t="s">
        <v>1771</v>
      </c>
      <c r="CA32" s="30">
        <v>1.0</v>
      </c>
      <c r="CB32" s="30" t="s">
        <v>1771</v>
      </c>
      <c r="CC32" s="30" t="s">
        <v>1905</v>
      </c>
      <c r="CD32" s="30" t="s">
        <v>1878</v>
      </c>
      <c r="CE32" s="30" t="s">
        <v>194</v>
      </c>
      <c r="CF32" s="30" t="s">
        <v>1878</v>
      </c>
    </row>
    <row r="33" ht="15.75" customHeight="1">
      <c r="B33" s="30" t="s">
        <v>1032</v>
      </c>
      <c r="C33" s="32" t="s">
        <v>1033</v>
      </c>
      <c r="D33" s="30" t="s">
        <v>1906</v>
      </c>
      <c r="E33" s="31" t="str">
        <f>IFERROR(__xludf.DUMMYFUNCTION("IF(ISBLANK(D33), """", GOOGLETRANSLATE(D33, ""es"", ""en""))"),"Purpose Description")</f>
        <v>Purpose Description</v>
      </c>
      <c r="G33" s="30" t="s">
        <v>1907</v>
      </c>
      <c r="H33" s="30">
        <v>2024.0</v>
      </c>
      <c r="I33" s="30" t="s">
        <v>970</v>
      </c>
      <c r="J33" s="30" t="s">
        <v>973</v>
      </c>
      <c r="K33" s="30">
        <v>201.0</v>
      </c>
      <c r="L33" s="30" t="s">
        <v>978</v>
      </c>
      <c r="M33" s="30">
        <v>1.0</v>
      </c>
      <c r="N33" s="30" t="s">
        <v>983</v>
      </c>
      <c r="O33" s="30">
        <v>9.0</v>
      </c>
      <c r="P33" s="30" t="s">
        <v>988</v>
      </c>
      <c r="Q33" s="30" t="s">
        <v>991</v>
      </c>
      <c r="R33" s="30">
        <v>22.0</v>
      </c>
      <c r="S33" s="30" t="s">
        <v>996</v>
      </c>
      <c r="T33" s="30">
        <v>4.0</v>
      </c>
      <c r="U33" s="30" t="s">
        <v>1820</v>
      </c>
      <c r="V33" s="30">
        <v>7.0</v>
      </c>
      <c r="W33" s="30" t="s">
        <v>1908</v>
      </c>
      <c r="X33" s="30">
        <v>51.0</v>
      </c>
      <c r="Y33" s="30" t="s">
        <v>1909</v>
      </c>
      <c r="Z33" s="30" t="s">
        <v>1910</v>
      </c>
      <c r="AA33" s="30">
        <v>100.0</v>
      </c>
      <c r="AB33" s="30" t="s">
        <v>1019</v>
      </c>
      <c r="AC33" s="30">
        <v>10.0</v>
      </c>
      <c r="AD33" s="30" t="s">
        <v>1024</v>
      </c>
      <c r="AE33" s="30">
        <v>100.0</v>
      </c>
      <c r="AF33" s="30" t="s">
        <v>1024</v>
      </c>
      <c r="AG33" s="30">
        <v>4.0</v>
      </c>
      <c r="AH33" s="30" t="s">
        <v>1033</v>
      </c>
      <c r="AI33" s="131">
        <v>45295.0</v>
      </c>
      <c r="AJ33" s="30" t="s">
        <v>1823</v>
      </c>
      <c r="AK33" s="52">
        <v>37260.0</v>
      </c>
      <c r="AL33" s="30" t="s">
        <v>1512</v>
      </c>
      <c r="AM33" s="30">
        <v>2.0</v>
      </c>
      <c r="AN33" s="30" t="s">
        <v>1048</v>
      </c>
      <c r="AO33" s="131">
        <v>45475.0</v>
      </c>
      <c r="AP33" s="30" t="s">
        <v>1053</v>
      </c>
      <c r="AQ33" s="132">
        <v>37074.0</v>
      </c>
      <c r="AR33" s="30" t="s">
        <v>1058</v>
      </c>
      <c r="AS33" s="30" t="s">
        <v>1824</v>
      </c>
      <c r="AT33" s="30" t="s">
        <v>721</v>
      </c>
      <c r="AU33" s="30" t="s">
        <v>722</v>
      </c>
      <c r="AV33" s="30" t="s">
        <v>721</v>
      </c>
      <c r="AW33" s="30">
        <v>2.0</v>
      </c>
      <c r="AX33" s="30" t="s">
        <v>1048</v>
      </c>
      <c r="AY33" s="131">
        <v>45324.0</v>
      </c>
      <c r="AZ33" s="30" t="s">
        <v>1078</v>
      </c>
      <c r="BA33" s="132">
        <v>37289.0</v>
      </c>
      <c r="BB33" s="30" t="s">
        <v>1083</v>
      </c>
      <c r="BC33" s="30" t="s">
        <v>1086</v>
      </c>
      <c r="BD33" s="30" t="s">
        <v>1089</v>
      </c>
      <c r="BE33" s="30" t="s">
        <v>1825</v>
      </c>
      <c r="BF33" s="30" t="s">
        <v>1826</v>
      </c>
      <c r="BG33" s="30" t="s">
        <v>1097</v>
      </c>
      <c r="BH33" s="30" t="s">
        <v>1097</v>
      </c>
      <c r="BI33" s="30" t="s">
        <v>1097</v>
      </c>
      <c r="BJ33" s="30" t="s">
        <v>1097</v>
      </c>
      <c r="BK33" s="30" t="s">
        <v>1097</v>
      </c>
      <c r="BL33" s="30" t="s">
        <v>1097</v>
      </c>
      <c r="BM33" s="30">
        <v>0.0</v>
      </c>
      <c r="BN33" s="30" t="s">
        <v>1112</v>
      </c>
      <c r="BO33" s="30" t="s">
        <v>66</v>
      </c>
      <c r="BP33" s="30" t="s">
        <v>1117</v>
      </c>
      <c r="BQ33" s="30">
        <v>14788.0</v>
      </c>
      <c r="BR33" s="30" t="s">
        <v>1908</v>
      </c>
      <c r="BS33" s="30" t="s">
        <v>1911</v>
      </c>
      <c r="BT33" s="30">
        <v>1.0</v>
      </c>
      <c r="BU33" s="30" t="s">
        <v>1129</v>
      </c>
      <c r="BV33" s="30" t="s">
        <v>66</v>
      </c>
      <c r="BW33" s="30">
        <v>7.0</v>
      </c>
      <c r="BX33" s="30" t="s">
        <v>1770</v>
      </c>
      <c r="BY33" s="30">
        <v>22.0</v>
      </c>
      <c r="BZ33" s="30" t="s">
        <v>1771</v>
      </c>
      <c r="CA33" s="30">
        <v>1.0</v>
      </c>
      <c r="CB33" s="30" t="s">
        <v>1771</v>
      </c>
      <c r="CC33" s="30" t="s">
        <v>1912</v>
      </c>
      <c r="CD33" s="30" t="s">
        <v>1900</v>
      </c>
      <c r="CE33" s="30" t="s">
        <v>1913</v>
      </c>
      <c r="CF33" s="30" t="s">
        <v>1914</v>
      </c>
    </row>
    <row r="34" ht="15.75" customHeight="1">
      <c r="B34" s="30" t="s">
        <v>1035</v>
      </c>
      <c r="C34" s="66">
        <v>45355.0</v>
      </c>
      <c r="D34" s="30" t="s">
        <v>1915</v>
      </c>
      <c r="E34" s="31" t="str">
        <f>IFERROR(__xludf.DUMMYFUNCTION("IF(ISBLANK(D34), """", GOOGLETRANSLATE(D34, ""es"", ""en""))"),"Function Code")</f>
        <v>Function Code</v>
      </c>
      <c r="G34" s="30" t="s">
        <v>1916</v>
      </c>
      <c r="H34" s="30">
        <v>2024.0</v>
      </c>
      <c r="I34" s="30" t="s">
        <v>970</v>
      </c>
      <c r="J34" s="30" t="s">
        <v>973</v>
      </c>
      <c r="K34" s="30">
        <v>201.0</v>
      </c>
      <c r="L34" s="30" t="s">
        <v>978</v>
      </c>
      <c r="M34" s="30">
        <v>1.0</v>
      </c>
      <c r="N34" s="30" t="s">
        <v>983</v>
      </c>
      <c r="O34" s="30">
        <v>9.0</v>
      </c>
      <c r="P34" s="30" t="s">
        <v>988</v>
      </c>
      <c r="Q34" s="30" t="s">
        <v>991</v>
      </c>
      <c r="R34" s="30">
        <v>22.0</v>
      </c>
      <c r="S34" s="30" t="s">
        <v>996</v>
      </c>
      <c r="T34" s="30">
        <v>4.0</v>
      </c>
      <c r="U34" s="30" t="s">
        <v>1820</v>
      </c>
      <c r="V34" s="30">
        <v>7.0</v>
      </c>
      <c r="W34" s="30" t="s">
        <v>1908</v>
      </c>
      <c r="X34" s="30">
        <v>52.0</v>
      </c>
      <c r="Y34" s="30" t="s">
        <v>1917</v>
      </c>
      <c r="Z34" s="30" t="s">
        <v>1918</v>
      </c>
      <c r="AA34" s="30">
        <v>100.0</v>
      </c>
      <c r="AB34" s="30" t="s">
        <v>1019</v>
      </c>
      <c r="AC34" s="30">
        <v>10.0</v>
      </c>
      <c r="AD34" s="30" t="s">
        <v>1024</v>
      </c>
      <c r="AE34" s="30">
        <v>100.0</v>
      </c>
      <c r="AF34" s="30" t="s">
        <v>1024</v>
      </c>
      <c r="AG34" s="30">
        <v>4.0</v>
      </c>
      <c r="AH34" s="30" t="s">
        <v>1033</v>
      </c>
      <c r="AI34" s="131">
        <v>45295.0</v>
      </c>
      <c r="AJ34" s="30" t="s">
        <v>1823</v>
      </c>
      <c r="AK34" s="52">
        <v>37260.0</v>
      </c>
      <c r="AL34" s="30" t="s">
        <v>1512</v>
      </c>
      <c r="AM34" s="30">
        <v>2.0</v>
      </c>
      <c r="AN34" s="30" t="s">
        <v>1048</v>
      </c>
      <c r="AO34" s="131">
        <v>45475.0</v>
      </c>
      <c r="AP34" s="30" t="s">
        <v>1053</v>
      </c>
      <c r="AQ34" s="132">
        <v>37074.0</v>
      </c>
      <c r="AR34" s="30" t="s">
        <v>1058</v>
      </c>
      <c r="AS34" s="30" t="s">
        <v>1061</v>
      </c>
      <c r="AT34" s="30" t="s">
        <v>1064</v>
      </c>
      <c r="AU34" s="30" t="s">
        <v>1067</v>
      </c>
      <c r="AV34" s="30" t="s">
        <v>1064</v>
      </c>
      <c r="AW34" s="30">
        <v>2.0</v>
      </c>
      <c r="AX34" s="30" t="s">
        <v>1048</v>
      </c>
      <c r="AY34" s="131">
        <v>45324.0</v>
      </c>
      <c r="AZ34" s="30" t="s">
        <v>1078</v>
      </c>
      <c r="BA34" s="132">
        <v>37289.0</v>
      </c>
      <c r="BB34" s="30" t="s">
        <v>1083</v>
      </c>
      <c r="BC34" s="30" t="s">
        <v>1086</v>
      </c>
      <c r="BD34" s="30" t="s">
        <v>1089</v>
      </c>
      <c r="BE34" s="30" t="s">
        <v>1092</v>
      </c>
      <c r="BF34" s="30" t="s">
        <v>1064</v>
      </c>
      <c r="BG34" s="30" t="s">
        <v>1097</v>
      </c>
      <c r="BH34" s="30" t="s">
        <v>1097</v>
      </c>
      <c r="BI34" s="30" t="s">
        <v>1097</v>
      </c>
      <c r="BJ34" s="30" t="s">
        <v>1097</v>
      </c>
      <c r="BK34" s="30" t="s">
        <v>1097</v>
      </c>
      <c r="BL34" s="30" t="s">
        <v>1097</v>
      </c>
      <c r="BM34" s="30">
        <v>0.0</v>
      </c>
      <c r="BN34" s="30" t="s">
        <v>1112</v>
      </c>
      <c r="BO34" s="30" t="s">
        <v>66</v>
      </c>
      <c r="BP34" s="30" t="s">
        <v>1117</v>
      </c>
      <c r="BQ34" s="30">
        <v>14788.0</v>
      </c>
      <c r="BR34" s="30" t="s">
        <v>1908</v>
      </c>
      <c r="BS34" s="30" t="s">
        <v>1911</v>
      </c>
      <c r="BT34" s="30">
        <v>1.0</v>
      </c>
      <c r="BU34" s="30" t="s">
        <v>1129</v>
      </c>
      <c r="BV34" s="30" t="s">
        <v>66</v>
      </c>
      <c r="BW34" s="30">
        <v>7.0</v>
      </c>
      <c r="BX34" s="30" t="s">
        <v>1770</v>
      </c>
      <c r="BY34" s="30">
        <v>22.0</v>
      </c>
      <c r="BZ34" s="30" t="s">
        <v>1771</v>
      </c>
      <c r="CA34" s="30">
        <v>1.0</v>
      </c>
      <c r="CB34" s="30" t="s">
        <v>1771</v>
      </c>
      <c r="CC34" s="30" t="s">
        <v>1919</v>
      </c>
      <c r="CD34" s="30" t="s">
        <v>1878</v>
      </c>
      <c r="CE34" s="30" t="s">
        <v>194</v>
      </c>
      <c r="CF34" s="30" t="s">
        <v>1878</v>
      </c>
    </row>
    <row r="35" ht="15.75" customHeight="1">
      <c r="B35" s="30" t="s">
        <v>1037</v>
      </c>
      <c r="C35" s="32" t="s">
        <v>1038</v>
      </c>
      <c r="D35" s="30" t="s">
        <v>1920</v>
      </c>
      <c r="E35" s="31" t="str">
        <f>IFERROR(__xludf.DUMMYFUNCTION("IF(ISBLANK(D35), """", GOOGLETRANSLATE(D35, ""es"", ""en""))"),"Function Description")</f>
        <v>Function Description</v>
      </c>
      <c r="G35" s="30" t="s">
        <v>1921</v>
      </c>
      <c r="H35" s="30">
        <v>2024.0</v>
      </c>
      <c r="I35" s="30" t="s">
        <v>970</v>
      </c>
      <c r="J35" s="30" t="s">
        <v>973</v>
      </c>
      <c r="K35" s="30">
        <v>201.0</v>
      </c>
      <c r="L35" s="30" t="s">
        <v>978</v>
      </c>
      <c r="M35" s="30">
        <v>1.0</v>
      </c>
      <c r="N35" s="30" t="s">
        <v>983</v>
      </c>
      <c r="O35" s="30">
        <v>9.0</v>
      </c>
      <c r="P35" s="30" t="s">
        <v>988</v>
      </c>
      <c r="Q35" s="30" t="s">
        <v>991</v>
      </c>
      <c r="R35" s="30">
        <v>22.0</v>
      </c>
      <c r="S35" s="30" t="s">
        <v>996</v>
      </c>
      <c r="T35" s="30">
        <v>4.0</v>
      </c>
      <c r="U35" s="30" t="s">
        <v>1820</v>
      </c>
      <c r="V35" s="30">
        <v>9.0</v>
      </c>
      <c r="W35" s="30" t="s">
        <v>1922</v>
      </c>
      <c r="X35" s="30">
        <v>51.0</v>
      </c>
      <c r="Y35" s="30" t="s">
        <v>1923</v>
      </c>
      <c r="Z35" s="30" t="s">
        <v>1924</v>
      </c>
      <c r="AA35" s="30">
        <v>100.0</v>
      </c>
      <c r="AB35" s="30" t="s">
        <v>1019</v>
      </c>
      <c r="AC35" s="30">
        <v>10.0</v>
      </c>
      <c r="AD35" s="30" t="s">
        <v>1024</v>
      </c>
      <c r="AE35" s="30">
        <v>100.0</v>
      </c>
      <c r="AF35" s="30" t="s">
        <v>1024</v>
      </c>
      <c r="AG35" s="30">
        <v>4.0</v>
      </c>
      <c r="AH35" s="30" t="s">
        <v>1033</v>
      </c>
      <c r="AI35" s="131">
        <v>45295.0</v>
      </c>
      <c r="AJ35" s="30" t="s">
        <v>1823</v>
      </c>
      <c r="AK35" s="52">
        <v>37260.0</v>
      </c>
      <c r="AL35" s="30" t="s">
        <v>1512</v>
      </c>
      <c r="AM35" s="30">
        <v>2.0</v>
      </c>
      <c r="AN35" s="30" t="s">
        <v>1048</v>
      </c>
      <c r="AO35" s="131">
        <v>45475.0</v>
      </c>
      <c r="AP35" s="30" t="s">
        <v>1053</v>
      </c>
      <c r="AQ35" s="132">
        <v>37074.0</v>
      </c>
      <c r="AR35" s="30" t="s">
        <v>1058</v>
      </c>
      <c r="AS35" s="30" t="s">
        <v>1824</v>
      </c>
      <c r="AT35" s="30" t="s">
        <v>721</v>
      </c>
      <c r="AU35" s="30" t="s">
        <v>722</v>
      </c>
      <c r="AV35" s="30" t="s">
        <v>721</v>
      </c>
      <c r="AW35" s="30">
        <v>2.0</v>
      </c>
      <c r="AX35" s="30" t="s">
        <v>1048</v>
      </c>
      <c r="AY35" s="131">
        <v>45324.0</v>
      </c>
      <c r="AZ35" s="30" t="s">
        <v>1078</v>
      </c>
      <c r="BA35" s="132">
        <v>37289.0</v>
      </c>
      <c r="BB35" s="30" t="s">
        <v>1083</v>
      </c>
      <c r="BC35" s="30" t="s">
        <v>1086</v>
      </c>
      <c r="BD35" s="30" t="s">
        <v>1089</v>
      </c>
      <c r="BE35" s="30" t="s">
        <v>1825</v>
      </c>
      <c r="BF35" s="30" t="s">
        <v>1826</v>
      </c>
      <c r="BG35" s="30" t="s">
        <v>1097</v>
      </c>
      <c r="BH35" s="30" t="s">
        <v>1097</v>
      </c>
      <c r="BI35" s="30" t="s">
        <v>1097</v>
      </c>
      <c r="BJ35" s="30" t="s">
        <v>1097</v>
      </c>
      <c r="BK35" s="30" t="s">
        <v>1097</v>
      </c>
      <c r="BL35" s="30" t="s">
        <v>1097</v>
      </c>
      <c r="BM35" s="30">
        <v>0.0</v>
      </c>
      <c r="BN35" s="30" t="s">
        <v>1112</v>
      </c>
      <c r="BO35" s="30" t="s">
        <v>66</v>
      </c>
      <c r="BP35" s="30" t="s">
        <v>1117</v>
      </c>
      <c r="BQ35" s="30">
        <v>14645.0</v>
      </c>
      <c r="BR35" s="30" t="s">
        <v>1922</v>
      </c>
      <c r="BS35" s="30" t="s">
        <v>1925</v>
      </c>
      <c r="BT35" s="30">
        <v>1.0</v>
      </c>
      <c r="BU35" s="30" t="s">
        <v>1129</v>
      </c>
      <c r="BV35" s="30" t="s">
        <v>66</v>
      </c>
      <c r="BW35" s="30">
        <v>6.0</v>
      </c>
      <c r="BX35" s="30" t="s">
        <v>1845</v>
      </c>
      <c r="BY35" s="30">
        <v>4.0</v>
      </c>
      <c r="BZ35" s="30" t="s">
        <v>915</v>
      </c>
      <c r="CA35" s="30">
        <v>2.0</v>
      </c>
      <c r="CB35" s="30" t="s">
        <v>1926</v>
      </c>
      <c r="CC35" s="30" t="s">
        <v>1927</v>
      </c>
      <c r="CD35" s="30" t="s">
        <v>1928</v>
      </c>
      <c r="CE35" s="30" t="s">
        <v>1929</v>
      </c>
      <c r="CF35" s="30" t="s">
        <v>1930</v>
      </c>
    </row>
    <row r="36" ht="15.75" customHeight="1">
      <c r="B36" s="30" t="s">
        <v>1040</v>
      </c>
      <c r="C36" s="53">
        <v>37319.0</v>
      </c>
      <c r="D36" s="30" t="s">
        <v>1931</v>
      </c>
      <c r="E36" s="31" t="str">
        <f>IFERROR(__xludf.DUMMYFUNCTION("IF(ISBLANK(D36), """", GOOGLETRANSLATE(D36, ""es"", ""en""))"),"Subfunction Code")</f>
        <v>Subfunction Code</v>
      </c>
    </row>
    <row r="37" ht="15.75" customHeight="1">
      <c r="B37" s="30" t="s">
        <v>1042</v>
      </c>
      <c r="C37" s="32" t="s">
        <v>1043</v>
      </c>
      <c r="D37" s="30" t="s">
        <v>1932</v>
      </c>
      <c r="E37" s="31" t="str">
        <f>IFERROR(__xludf.DUMMYFUNCTION("IF(ISBLANK(D37), """", GOOGLETRANSLATE(D37, ""es"", ""en""))"),"Subfunction Description")</f>
        <v>Subfunction Description</v>
      </c>
    </row>
    <row r="38" ht="15.75" customHeight="1">
      <c r="B38" s="30" t="s">
        <v>1045</v>
      </c>
      <c r="C38" s="32">
        <v>2.0</v>
      </c>
      <c r="D38" s="30" t="s">
        <v>1933</v>
      </c>
      <c r="E38" s="31" t="str">
        <f>IFERROR(__xludf.DUMMYFUNCTION("IF(ISBLANK(D38), """", GOOGLETRANSLATE(D38, ""es"", ""en""))"),"Account Type Code")</f>
        <v>Account Type Code</v>
      </c>
    </row>
    <row r="39" ht="15.75" customHeight="1">
      <c r="B39" s="30" t="s">
        <v>1047</v>
      </c>
      <c r="C39" s="32" t="s">
        <v>1048</v>
      </c>
      <c r="D39" s="30" t="s">
        <v>1934</v>
      </c>
      <c r="E39" s="31" t="str">
        <f>IFERROR(__xludf.DUMMYFUNCTION("IF(ISBLANK(D39), """", GOOGLETRANSLATE(D39, ""es"", ""en""))"),"Account Type Description")</f>
        <v>Account Type Description</v>
      </c>
    </row>
    <row r="40" ht="15.75" customHeight="1">
      <c r="B40" s="30" t="s">
        <v>1050</v>
      </c>
      <c r="C40" s="66">
        <v>45475.0</v>
      </c>
      <c r="D40" s="30" t="s">
        <v>1935</v>
      </c>
      <c r="E40" s="31" t="str">
        <f>IFERROR(__xludf.DUMMYFUNCTION("IF(ISBLANK(D40), """", GOOGLETRANSLATE(D40, ""es"", ""en""))"),"Account concept code")</f>
        <v>Account concept code</v>
      </c>
    </row>
    <row r="41" ht="15.75" customHeight="1">
      <c r="B41" s="30" t="s">
        <v>1052</v>
      </c>
      <c r="C41" s="32" t="s">
        <v>1053</v>
      </c>
      <c r="D41" s="30" t="s">
        <v>1936</v>
      </c>
      <c r="E41" s="31" t="str">
        <f>IFERROR(__xludf.DUMMYFUNCTION("IF(ISBLANK(D41), """", GOOGLETRANSLATE(D41, ""es"", ""en""))"),"Description of the account concept")</f>
        <v>Description of the account concept</v>
      </c>
    </row>
    <row r="42" ht="15.75" customHeight="1">
      <c r="B42" s="30" t="s">
        <v>1055</v>
      </c>
      <c r="C42" s="67">
        <v>37074.0</v>
      </c>
      <c r="D42" s="30" t="s">
        <v>1937</v>
      </c>
      <c r="E42" s="31" t="str">
        <f>IFERROR(__xludf.DUMMYFUNCTION("IF(ISBLANK(D42), """", GOOGLETRANSLATE(D42, ""es"", ""en""))"),"Account code")</f>
        <v>Account code</v>
      </c>
    </row>
    <row r="43" ht="15.75" customHeight="1">
      <c r="B43" s="30" t="s">
        <v>1057</v>
      </c>
      <c r="C43" s="32" t="s">
        <v>1058</v>
      </c>
      <c r="D43" s="30" t="s">
        <v>1938</v>
      </c>
      <c r="E43" s="31" t="str">
        <f>IFERROR(__xludf.DUMMYFUNCTION("IF(ISBLANK(D43), """", GOOGLETRANSLATE(D43, ""es"", ""en""))"),"Account Description")</f>
        <v>Account Description</v>
      </c>
    </row>
    <row r="44" ht="15.75" customHeight="1">
      <c r="B44" s="30" t="s">
        <v>1060</v>
      </c>
      <c r="C44" s="32" t="s">
        <v>1061</v>
      </c>
      <c r="D44" s="30" t="s">
        <v>1939</v>
      </c>
      <c r="E44" s="31" t="str">
        <f>IFERROR(__xludf.DUMMYFUNCTION("IF(ISBLANK(D44), """", GOOGLETRANSLATE(D44, ""es"", ""en""))"),"Subaccount Code")</f>
        <v>Subaccount Code</v>
      </c>
    </row>
    <row r="45" ht="15.75" customHeight="1">
      <c r="B45" s="30" t="s">
        <v>1063</v>
      </c>
      <c r="C45" s="32" t="s">
        <v>1064</v>
      </c>
      <c r="D45" s="30" t="s">
        <v>1940</v>
      </c>
      <c r="E45" s="31" t="str">
        <f>IFERROR(__xludf.DUMMYFUNCTION("IF(ISBLANK(D45), """", GOOGLETRANSLATE(D45, ""es"", ""en""))"),"Subaccount Description")</f>
        <v>Subaccount Description</v>
      </c>
    </row>
    <row r="46" ht="15.75" customHeight="1">
      <c r="B46" s="30" t="s">
        <v>1066</v>
      </c>
      <c r="C46" s="32" t="s">
        <v>1067</v>
      </c>
      <c r="D46" s="30" t="s">
        <v>1941</v>
      </c>
      <c r="E46" s="31" t="str">
        <f>IFERROR(__xludf.DUMMYFUNCTION("IF(ISBLANK(D46), """", GOOGLETRANSLATE(D46, ""es"", ""en""))"),"Auxiliary code")</f>
        <v>Auxiliary code</v>
      </c>
    </row>
    <row r="47" ht="15.75" customHeight="1">
      <c r="B47" s="30" t="s">
        <v>1069</v>
      </c>
      <c r="C47" s="32" t="s">
        <v>1064</v>
      </c>
      <c r="D47" s="30" t="s">
        <v>1942</v>
      </c>
      <c r="E47" s="31" t="str">
        <f>IFERROR(__xludf.DUMMYFUNCTION("IF(ISBLANK(D47), """", GOOGLETRANSLATE(D47, ""es"", ""en""))"),"Auxiliary Description")</f>
        <v>Auxiliary Description</v>
      </c>
    </row>
    <row r="48" ht="15.75" customHeight="1">
      <c r="B48" s="30" t="s">
        <v>1071</v>
      </c>
      <c r="C48" s="32">
        <v>2.0</v>
      </c>
      <c r="D48" s="30"/>
      <c r="E48" s="31" t="str">
        <f>IFERROR(__xludf.DUMMYFUNCTION("IF(ISBLANK(D48), """", GOOGLETRANSLATE(D48, ""es"", ""en""))"),"")</f>
        <v/>
      </c>
    </row>
    <row r="49" ht="15.75" customHeight="1">
      <c r="B49" s="30" t="s">
        <v>1073</v>
      </c>
      <c r="C49" s="32" t="s">
        <v>1048</v>
      </c>
      <c r="D49" s="30"/>
      <c r="E49" s="31" t="str">
        <f>IFERROR(__xludf.DUMMYFUNCTION("IF(ISBLANK(D49), """", GOOGLETRANSLATE(D49, ""es"", ""en""))"),"")</f>
        <v/>
      </c>
    </row>
    <row r="50" ht="15.75" customHeight="1">
      <c r="B50" s="30" t="s">
        <v>1075</v>
      </c>
      <c r="C50" s="66">
        <v>45324.0</v>
      </c>
      <c r="D50" s="30"/>
      <c r="E50" s="31" t="str">
        <f>IFERROR(__xludf.DUMMYFUNCTION("IF(ISBLANK(D50), """", GOOGLETRANSLATE(D50, ""es"", ""en""))"),"")</f>
        <v/>
      </c>
    </row>
    <row r="51" ht="15.75" customHeight="1">
      <c r="B51" s="30" t="s">
        <v>1077</v>
      </c>
      <c r="C51" s="32" t="s">
        <v>1078</v>
      </c>
      <c r="D51" s="30"/>
      <c r="E51" s="31" t="str">
        <f>IFERROR(__xludf.DUMMYFUNCTION("IF(ISBLANK(D51), """", GOOGLETRANSLATE(D51, ""es"", ""en""))"),"")</f>
        <v/>
      </c>
    </row>
    <row r="52" ht="15.75" customHeight="1">
      <c r="B52" s="30" t="s">
        <v>1080</v>
      </c>
      <c r="C52" s="67">
        <v>37289.0</v>
      </c>
      <c r="D52" s="30"/>
      <c r="E52" s="31" t="str">
        <f>IFERROR(__xludf.DUMMYFUNCTION("IF(ISBLANK(D52), """", GOOGLETRANSLATE(D52, ""es"", ""en""))"),"")</f>
        <v/>
      </c>
    </row>
    <row r="53" ht="15.75" customHeight="1">
      <c r="B53" s="30" t="s">
        <v>1082</v>
      </c>
      <c r="C53" s="32" t="s">
        <v>1083</v>
      </c>
      <c r="D53" s="30"/>
      <c r="E53" s="31" t="str">
        <f>IFERROR(__xludf.DUMMYFUNCTION("IF(ISBLANK(D53), """", GOOGLETRANSLATE(D53, ""es"", ""en""))"),"")</f>
        <v/>
      </c>
    </row>
    <row r="54" ht="15.75" customHeight="1">
      <c r="B54" s="30" t="s">
        <v>1085</v>
      </c>
      <c r="C54" s="32" t="s">
        <v>1086</v>
      </c>
      <c r="D54" s="30"/>
      <c r="E54" s="31" t="str">
        <f>IFERROR(__xludf.DUMMYFUNCTION("IF(ISBLANK(D54), """", GOOGLETRANSLATE(D54, ""es"", ""en""))"),"")</f>
        <v/>
      </c>
    </row>
    <row r="55" ht="15.75" customHeight="1">
      <c r="B55" s="30" t="s">
        <v>1088</v>
      </c>
      <c r="C55" s="32" t="s">
        <v>1089</v>
      </c>
      <c r="D55" s="30"/>
      <c r="E55" s="31" t="str">
        <f>IFERROR(__xludf.DUMMYFUNCTION("IF(ISBLANK(D55), """", GOOGLETRANSLATE(D55, ""es"", ""en""))"),"")</f>
        <v/>
      </c>
    </row>
    <row r="56" ht="15.75" customHeight="1">
      <c r="B56" s="30" t="s">
        <v>1091</v>
      </c>
      <c r="C56" s="32" t="s">
        <v>1092</v>
      </c>
      <c r="D56" s="30"/>
      <c r="E56" s="31" t="str">
        <f>IFERROR(__xludf.DUMMYFUNCTION("IF(ISBLANK(D56), """", GOOGLETRANSLATE(D56, ""es"", ""en""))"),"")</f>
        <v/>
      </c>
    </row>
    <row r="57" ht="15.75" customHeight="1">
      <c r="B57" s="30" t="s">
        <v>1094</v>
      </c>
      <c r="C57" s="32" t="s">
        <v>1064</v>
      </c>
      <c r="D57" s="30"/>
      <c r="E57" s="31" t="str">
        <f>IFERROR(__xludf.DUMMYFUNCTION("IF(ISBLANK(D57), """", GOOGLETRANSLATE(D57, ""es"", ""en""))"),"")</f>
        <v/>
      </c>
    </row>
    <row r="58" ht="15.75" customHeight="1">
      <c r="B58" s="30" t="s">
        <v>1096</v>
      </c>
      <c r="C58" s="32" t="s">
        <v>1097</v>
      </c>
      <c r="D58" s="30"/>
      <c r="E58" s="31" t="str">
        <f>IFERROR(__xludf.DUMMYFUNCTION("IF(ISBLANK(D58), """", GOOGLETRANSLATE(D58, ""es"", ""en""))"),"")</f>
        <v/>
      </c>
    </row>
    <row r="59" ht="15.75" customHeight="1">
      <c r="B59" s="30" t="s">
        <v>1099</v>
      </c>
      <c r="C59" s="32" t="s">
        <v>1097</v>
      </c>
      <c r="D59" s="30"/>
      <c r="E59" s="31" t="str">
        <f>IFERROR(__xludf.DUMMYFUNCTION("IF(ISBLANK(D59), """", GOOGLETRANSLATE(D59, ""es"", ""en""))"),"")</f>
        <v/>
      </c>
    </row>
    <row r="60" ht="15.75" customHeight="1">
      <c r="B60" s="30" t="s">
        <v>1101</v>
      </c>
      <c r="C60" s="32" t="s">
        <v>1097</v>
      </c>
      <c r="D60" s="30"/>
      <c r="E60" s="31" t="str">
        <f>IFERROR(__xludf.DUMMYFUNCTION("IF(ISBLANK(D60), """", GOOGLETRANSLATE(D60, ""es"", ""en""))"),"")</f>
        <v/>
      </c>
    </row>
    <row r="61" ht="15.75" customHeight="1">
      <c r="B61" s="30" t="s">
        <v>1103</v>
      </c>
      <c r="C61" s="32" t="s">
        <v>1097</v>
      </c>
      <c r="D61" s="30"/>
      <c r="E61" s="31" t="str">
        <f>IFERROR(__xludf.DUMMYFUNCTION("IF(ISBLANK(D61), """", GOOGLETRANSLATE(D61, ""es"", ""en""))"),"")</f>
        <v/>
      </c>
    </row>
    <row r="62" ht="15.75" customHeight="1">
      <c r="B62" s="30" t="s">
        <v>1105</v>
      </c>
      <c r="C62" s="32" t="s">
        <v>1097</v>
      </c>
      <c r="D62" s="30"/>
      <c r="E62" s="31" t="str">
        <f>IFERROR(__xludf.DUMMYFUNCTION("IF(ISBLANK(D62), """", GOOGLETRANSLATE(D62, ""es"", ""en""))"),"")</f>
        <v/>
      </c>
    </row>
    <row r="63" ht="15.75" customHeight="1">
      <c r="B63" s="30" t="s">
        <v>1107</v>
      </c>
      <c r="C63" s="32" t="s">
        <v>1097</v>
      </c>
      <c r="D63" s="30"/>
      <c r="E63" s="31" t="str">
        <f>IFERROR(__xludf.DUMMYFUNCTION("IF(ISBLANK(D63), """", GOOGLETRANSLATE(D63, ""es"", ""en""))"),"")</f>
        <v/>
      </c>
    </row>
    <row r="64" ht="15.75" customHeight="1">
      <c r="B64" s="30" t="s">
        <v>1109</v>
      </c>
      <c r="C64" s="32">
        <v>0.0</v>
      </c>
      <c r="D64" s="30" t="s">
        <v>1943</v>
      </c>
      <c r="E64" s="31" t="str">
        <f>IFERROR(__xludf.DUMMYFUNCTION("IF(ISBLANK(D64), """", GOOGLETRANSLATE(D64, ""es"", ""en""))"),"Receiving Institution Code")</f>
        <v>Receiving Institution Code</v>
      </c>
    </row>
    <row r="65" ht="15.75" customHeight="1">
      <c r="B65" s="30" t="s">
        <v>1111</v>
      </c>
      <c r="C65" s="32" t="s">
        <v>1112</v>
      </c>
      <c r="D65" s="30" t="s">
        <v>1944</v>
      </c>
      <c r="E65" s="31" t="str">
        <f>IFERROR(__xludf.DUMMYFUNCTION("IF(ISBLANK(D65), """", GOOGLETRANSLATE(D65, ""es"", ""en""))"),"Name of the Receiving Institution")</f>
        <v>Name of the Receiving Institution</v>
      </c>
    </row>
    <row r="66" ht="15.75" customHeight="1">
      <c r="B66" s="30" t="s">
        <v>1114</v>
      </c>
      <c r="C66" s="32" t="s">
        <v>66</v>
      </c>
      <c r="D66" s="30" t="s">
        <v>1945</v>
      </c>
      <c r="E66" s="31" t="str">
        <f>IFERROR(__xludf.DUMMYFUNCTION("IF(ISBLANK(D66), """", GOOGLETRANSLATE(D66, ""es"", ""en""))"),"Type Capital Code")</f>
        <v>Type Capital Code</v>
      </c>
    </row>
    <row r="67" ht="15.75" customHeight="1">
      <c r="B67" s="30" t="s">
        <v>1116</v>
      </c>
      <c r="C67" s="32" t="s">
        <v>1117</v>
      </c>
      <c r="D67" s="30"/>
      <c r="E67" s="31" t="str">
        <f>IFERROR(__xludf.DUMMYFUNCTION("IF(ISBLANK(D67), """", GOOGLETRANSLATE(D67, ""es"", ""en""))"),"")</f>
        <v/>
      </c>
    </row>
    <row r="68" ht="15.75" customHeight="1">
      <c r="B68" s="30" t="s">
        <v>1119</v>
      </c>
      <c r="C68" s="32">
        <v>14676.0</v>
      </c>
      <c r="D68" s="30" t="s">
        <v>1946</v>
      </c>
      <c r="E68" s="31" t="str">
        <f>IFERROR(__xludf.DUMMYFUNCTION("IF(ISBLANK(D68), """", GOOGLETRANSLATE(D68, ""es"", ""en""))"),"Investment project code")</f>
        <v>Investment project code</v>
      </c>
    </row>
    <row r="69" ht="15.75" customHeight="1">
      <c r="B69" s="30" t="s">
        <v>1121</v>
      </c>
      <c r="C69" s="32" t="s">
        <v>1006</v>
      </c>
      <c r="D69" s="30" t="s">
        <v>1947</v>
      </c>
      <c r="E69" s="31" t="str">
        <f>IFERROR(__xludf.DUMMYFUNCTION("IF(ISBLANK(D69), """", GOOGLETRANSLATE(D69, ""es"", ""en""))"),"Investment project name")</f>
        <v>Investment project name</v>
      </c>
    </row>
    <row r="70" ht="15.75" customHeight="1">
      <c r="B70" s="30" t="s">
        <v>1123</v>
      </c>
      <c r="C70" s="32" t="s">
        <v>1124</v>
      </c>
      <c r="D70" s="30" t="s">
        <v>1948</v>
      </c>
      <c r="E70" s="31" t="str">
        <f>IFERROR(__xludf.DUMMYFUNCTION("IF(ISBLANK(D70), """", GOOGLETRANSLATE(D70, ""es"", ""en""))"),"Description of the investment project")</f>
        <v>Description of the investment project</v>
      </c>
    </row>
    <row r="71" ht="15.75" customHeight="1">
      <c r="B71" s="30" t="s">
        <v>1126</v>
      </c>
      <c r="C71" s="32">
        <v>1.0</v>
      </c>
      <c r="D71" s="30" t="s">
        <v>1949</v>
      </c>
      <c r="E71" s="31" t="str">
        <f>IFERROR(__xludf.DUMMYFUNCTION("IF(ISBLANK(D71), """", GOOGLETRANSLATE(D71, ""es"", ""en""))"),"Typology Code")</f>
        <v>Typology Code</v>
      </c>
    </row>
    <row r="72" ht="15.75" customHeight="1">
      <c r="B72" s="30" t="s">
        <v>1128</v>
      </c>
      <c r="C72" s="32" t="s">
        <v>1129</v>
      </c>
      <c r="D72" s="30" t="s">
        <v>1950</v>
      </c>
      <c r="E72" s="31" t="str">
        <f>IFERROR(__xludf.DUMMYFUNCTION("IF(ISBLANK(D72), """", GOOGLETRANSLATE(D72, ""es"", ""en""))"),"Description Typology")</f>
        <v>Description Typology</v>
      </c>
    </row>
    <row r="73" ht="15.75" customHeight="1">
      <c r="B73" s="30" t="s">
        <v>1131</v>
      </c>
      <c r="C73" s="32" t="s">
        <v>66</v>
      </c>
      <c r="D73" s="30" t="s">
        <v>1951</v>
      </c>
      <c r="E73" s="31" t="str">
        <f>IFERROR(__xludf.DUMMYFUNCTION("IF(ISBLANK(D73), """", GOOGLETRANSLATE(D73, ""es"", ""en""))"),"Type of Activity Investment")</f>
        <v>Type of Activity Investment</v>
      </c>
    </row>
    <row r="74" ht="15.75" customHeight="1">
      <c r="B74" s="30" t="s">
        <v>1133</v>
      </c>
      <c r="C74" s="32">
        <v>5.0</v>
      </c>
      <c r="D74" s="30" t="s">
        <v>1952</v>
      </c>
      <c r="E74" s="31" t="str">
        <f>IFERROR(__xludf.DUMMYFUNCTION("IF(ISBLANK(D74), """", GOOGLETRANSLATE(D74, ""es"", ""en""))"),"Region Code")</f>
        <v>Region Code</v>
      </c>
    </row>
    <row r="75" ht="15.75" customHeight="1">
      <c r="B75" s="30" t="s">
        <v>1135</v>
      </c>
      <c r="C75" s="32" t="s">
        <v>1136</v>
      </c>
      <c r="D75" s="30" t="s">
        <v>1953</v>
      </c>
      <c r="E75" s="31" t="str">
        <f>IFERROR(__xludf.DUMMYFUNCTION("IF(ISBLANK(D75), """", GOOGLETRANSLATE(D75, ""es"", ""en""))"),"Region Name")</f>
        <v>Region Name</v>
      </c>
    </row>
    <row r="76" ht="15.75" customHeight="1">
      <c r="B76" s="30" t="s">
        <v>1138</v>
      </c>
      <c r="C76" s="32">
        <v>21.0</v>
      </c>
      <c r="D76" s="30" t="s">
        <v>1954</v>
      </c>
      <c r="E76" s="31" t="str">
        <f>IFERROR(__xludf.DUMMYFUNCTION("IF(ISBLANK(D76), """", GOOGLETRANSLATE(D76, ""es"", ""en""))"),"Province Code")</f>
        <v>Province Code</v>
      </c>
    </row>
    <row r="77" ht="15.75" customHeight="1">
      <c r="B77" s="30" t="s">
        <v>1140</v>
      </c>
      <c r="C77" s="32" t="s">
        <v>1141</v>
      </c>
      <c r="D77" s="30" t="s">
        <v>1955</v>
      </c>
      <c r="E77" s="31" t="str">
        <f>IFERROR(__xludf.DUMMYFUNCTION("IF(ISBLANK(D77), """", GOOGLETRANSLATE(D77, ""es"", ""en""))"),"Name of the Province")</f>
        <v>Name of the Province</v>
      </c>
    </row>
    <row r="78" ht="15.75" customHeight="1">
      <c r="B78" s="30" t="s">
        <v>1143</v>
      </c>
      <c r="C78" s="32">
        <v>1.0</v>
      </c>
      <c r="D78" s="30" t="s">
        <v>1956</v>
      </c>
      <c r="E78" s="31" t="str">
        <f>IFERROR(__xludf.DUMMYFUNCTION("IF(ISBLANK(D78), """", GOOGLETRANSLATE(D78, ""es"", ""en""))"),"Municipality Code")</f>
        <v>Municipality Code</v>
      </c>
    </row>
    <row r="79" ht="15.75" customHeight="1">
      <c r="B79" s="30" t="s">
        <v>1145</v>
      </c>
      <c r="C79" s="32" t="s">
        <v>1141</v>
      </c>
      <c r="D79" s="30" t="s">
        <v>1957</v>
      </c>
      <c r="E79" s="31" t="str">
        <f>IFERROR(__xludf.DUMMYFUNCTION("IF(ISBLANK(D79), """", GOOGLETRANSLATE(D79, ""es"", ""en""))"),"Municipality Name")</f>
        <v>Municipality Name</v>
      </c>
    </row>
    <row r="80" ht="15.75" customHeight="1">
      <c r="B80" s="30" t="s">
        <v>1147</v>
      </c>
      <c r="C80" s="32" t="s">
        <v>1148</v>
      </c>
      <c r="D80" s="30" t="s">
        <v>1958</v>
      </c>
      <c r="E80" s="31" t="str">
        <f>IFERROR(__xludf.DUMMYFUNCTION("IF(ISBLANK(D80), """", GOOGLETRANSLATE(D80, ""es"", ""en""))"),"Description of the expense item")</f>
        <v>Description of the expense item</v>
      </c>
    </row>
    <row r="81" ht="15.75" customHeight="1">
      <c r="B81" s="30" t="s">
        <v>1150</v>
      </c>
      <c r="C81" s="32" t="s">
        <v>1151</v>
      </c>
      <c r="D81" s="30" t="s">
        <v>1959</v>
      </c>
      <c r="E81" s="31" t="str">
        <f>IFERROR(__xludf.DUMMYFUNCTION("IF(ISBLANK(D81), """", GOOGLETRANSLATE(D81, ""es"", ""en""))"),"Initial value")</f>
        <v>Initial value</v>
      </c>
    </row>
    <row r="82" ht="15.75" customHeight="1">
      <c r="B82" s="30" t="s">
        <v>1153</v>
      </c>
      <c r="C82" s="32" t="s">
        <v>194</v>
      </c>
      <c r="D82" s="30" t="s">
        <v>1960</v>
      </c>
      <c r="E82" s="31" t="str">
        <f>IFERROR(__xludf.DUMMYFUNCTION("IF(ISBLANK(D82), """", GOOGLETRANSLATE(D82, ""es"", ""en""))"),"Approved Value")</f>
        <v>Approved Value</v>
      </c>
    </row>
    <row r="83" ht="15.75" customHeight="1">
      <c r="B83" s="30" t="s">
        <v>1155</v>
      </c>
      <c r="C83" s="32" t="s">
        <v>1151</v>
      </c>
      <c r="D83" s="30" t="s">
        <v>1961</v>
      </c>
      <c r="E83" s="31" t="str">
        <f>IFERROR(__xludf.DUMMYFUNCTION("IF(ISBLANK(D83), """", GOOGLETRANSLATE(D83, ""es"", ""en""))"),"Current Value")</f>
        <v>Current Value</v>
      </c>
    </row>
    <row r="84" ht="15.75" customHeight="1">
      <c r="C84" s="3"/>
    </row>
    <row r="85" ht="15.75" customHeight="1">
      <c r="C85" s="3"/>
    </row>
    <row r="86" ht="15.75" customHeight="1">
      <c r="C86" s="3"/>
    </row>
    <row r="87" ht="15.75" customHeight="1">
      <c r="C87" s="3"/>
    </row>
    <row r="88" ht="15.75" customHeight="1">
      <c r="C88" s="3"/>
    </row>
    <row r="89" ht="15.75" customHeight="1">
      <c r="C89" s="3"/>
    </row>
    <row r="90" ht="15.75" customHeight="1">
      <c r="C90" s="3"/>
    </row>
    <row r="91" ht="15.75" customHeight="1">
      <c r="C91" s="3"/>
    </row>
    <row r="92" ht="15.75" customHeight="1">
      <c r="C92" s="3"/>
    </row>
    <row r="93" ht="15.75" customHeight="1">
      <c r="C93" s="3"/>
    </row>
    <row r="94" ht="15.75" customHeight="1">
      <c r="C94" s="3"/>
    </row>
    <row r="95" ht="15.75" customHeight="1">
      <c r="C95" s="3"/>
    </row>
    <row r="96" ht="15.75" customHeight="1">
      <c r="C96" s="3"/>
    </row>
    <row r="97" ht="15.75" customHeight="1">
      <c r="C97" s="3"/>
    </row>
    <row r="98" ht="15.75" customHeight="1">
      <c r="C98" s="3"/>
    </row>
    <row r="99" ht="15.75" customHeight="1">
      <c r="C99" s="3"/>
    </row>
    <row r="100" ht="15.75" customHeight="1">
      <c r="C100" s="3"/>
    </row>
    <row r="101" ht="15.75" customHeight="1">
      <c r="C101" s="3"/>
    </row>
    <row r="102" ht="15.75" customHeight="1">
      <c r="C102" s="3"/>
    </row>
    <row r="103" ht="15.75" customHeight="1">
      <c r="C103" s="3"/>
    </row>
    <row r="104" ht="15.75" customHeight="1">
      <c r="C104" s="3"/>
    </row>
    <row r="105" ht="15.75" customHeight="1">
      <c r="C105" s="3"/>
    </row>
    <row r="106" ht="15.75" customHeight="1">
      <c r="C106" s="3"/>
    </row>
    <row r="107" ht="15.75" customHeight="1">
      <c r="C107" s="3"/>
    </row>
    <row r="108" ht="15.75" customHeight="1">
      <c r="C108" s="3"/>
    </row>
    <row r="109" ht="15.75" customHeight="1">
      <c r="C109" s="3"/>
    </row>
    <row r="110" ht="15.75" customHeight="1">
      <c r="C110" s="3"/>
    </row>
    <row r="111" ht="15.75" customHeight="1">
      <c r="C111" s="3"/>
    </row>
    <row r="112" ht="15.75" customHeight="1">
      <c r="C112" s="3"/>
    </row>
    <row r="113" ht="15.75" customHeight="1">
      <c r="C113" s="3"/>
    </row>
    <row r="114" ht="15.75" customHeight="1">
      <c r="C114" s="3"/>
    </row>
    <row r="115" ht="15.75" customHeight="1">
      <c r="C115" s="3"/>
    </row>
    <row r="116" ht="15.75" customHeight="1">
      <c r="C116" s="3"/>
    </row>
    <row r="117" ht="15.75" customHeight="1">
      <c r="C117" s="3"/>
    </row>
    <row r="118" ht="15.75" customHeight="1">
      <c r="C118" s="3"/>
    </row>
    <row r="119" ht="15.75" customHeight="1">
      <c r="C119" s="3"/>
    </row>
    <row r="120" ht="15.75" customHeight="1">
      <c r="C120" s="3"/>
    </row>
    <row r="121" ht="15.75" customHeight="1">
      <c r="C121" s="3"/>
    </row>
    <row r="122" ht="15.75" customHeight="1">
      <c r="C122" s="3"/>
    </row>
    <row r="123" ht="15.75" customHeight="1">
      <c r="C123" s="3"/>
    </row>
    <row r="124" ht="15.75" customHeight="1">
      <c r="C124" s="3"/>
    </row>
    <row r="125" ht="15.75" customHeight="1">
      <c r="C125" s="3"/>
    </row>
    <row r="126" ht="15.75" customHeight="1">
      <c r="C126" s="3"/>
    </row>
    <row r="127" ht="15.75" customHeight="1">
      <c r="C127" s="3"/>
    </row>
    <row r="128" ht="15.75" customHeight="1">
      <c r="C128" s="3"/>
    </row>
    <row r="129" ht="15.75" customHeight="1">
      <c r="C129" s="3"/>
    </row>
    <row r="130" ht="15.75" customHeight="1">
      <c r="C130" s="3"/>
    </row>
    <row r="131" ht="15.75" customHeight="1">
      <c r="C131" s="3"/>
    </row>
    <row r="132" ht="15.75" customHeight="1">
      <c r="C132" s="3"/>
    </row>
    <row r="133" ht="15.75" customHeight="1">
      <c r="C133" s="3"/>
    </row>
    <row r="134" ht="15.75" customHeight="1">
      <c r="C134" s="3"/>
    </row>
    <row r="135" ht="15.75" customHeight="1">
      <c r="C135" s="3"/>
    </row>
    <row r="136" ht="15.75" customHeight="1">
      <c r="C136" s="3"/>
    </row>
    <row r="137" ht="15.75" customHeight="1">
      <c r="C137" s="3"/>
    </row>
    <row r="138" ht="15.75" customHeight="1">
      <c r="C138" s="3"/>
    </row>
    <row r="139" ht="15.75" customHeight="1">
      <c r="C139" s="3"/>
    </row>
    <row r="140" ht="15.75" customHeight="1">
      <c r="C140" s="3"/>
    </row>
    <row r="141" ht="15.75" customHeight="1">
      <c r="C141" s="3"/>
    </row>
    <row r="142" ht="15.75" customHeight="1">
      <c r="C142" s="3"/>
    </row>
    <row r="143" ht="15.75" customHeight="1">
      <c r="C143" s="3"/>
    </row>
    <row r="144" ht="15.75" customHeight="1">
      <c r="C144" s="3"/>
    </row>
    <row r="145" ht="15.75" customHeight="1">
      <c r="C145" s="3"/>
    </row>
    <row r="146" ht="15.75" customHeight="1">
      <c r="C146" s="3"/>
    </row>
    <row r="147" ht="15.75" customHeight="1">
      <c r="C147" s="3"/>
    </row>
    <row r="148" ht="15.75" customHeight="1">
      <c r="C148" s="3"/>
    </row>
    <row r="149" ht="15.75" customHeight="1">
      <c r="C149" s="3"/>
    </row>
    <row r="150" ht="15.75" customHeight="1">
      <c r="C150" s="3"/>
    </row>
    <row r="151" ht="15.75" customHeight="1">
      <c r="C151" s="3"/>
    </row>
    <row r="152" ht="15.75" customHeight="1">
      <c r="C152" s="3"/>
    </row>
    <row r="153" ht="15.75" customHeight="1">
      <c r="C153" s="3"/>
    </row>
    <row r="154" ht="15.75" customHeight="1">
      <c r="C154" s="3"/>
    </row>
    <row r="155" ht="15.75" customHeight="1">
      <c r="C155" s="3"/>
    </row>
    <row r="156" ht="15.75" customHeight="1">
      <c r="C156" s="3"/>
    </row>
    <row r="157" ht="15.75" customHeight="1">
      <c r="C157" s="3"/>
    </row>
    <row r="158" ht="15.75" customHeight="1">
      <c r="C158" s="3"/>
    </row>
    <row r="159" ht="15.75" customHeight="1">
      <c r="C159" s="3"/>
    </row>
    <row r="160" ht="15.75" customHeight="1">
      <c r="C160" s="3"/>
    </row>
    <row r="161" ht="15.75" customHeight="1">
      <c r="C161" s="3"/>
    </row>
    <row r="162" ht="15.75" customHeight="1">
      <c r="C162" s="3"/>
    </row>
    <row r="163" ht="15.75" customHeight="1">
      <c r="C163" s="3"/>
    </row>
    <row r="164" ht="15.75" customHeight="1">
      <c r="C164" s="3"/>
    </row>
    <row r="165" ht="15.75" customHeight="1">
      <c r="C165" s="3"/>
    </row>
    <row r="166" ht="15.75" customHeight="1">
      <c r="C166" s="3"/>
    </row>
    <row r="167" ht="15.75" customHeight="1">
      <c r="C167" s="3"/>
    </row>
    <row r="168" ht="15.75" customHeight="1">
      <c r="C168" s="3"/>
    </row>
    <row r="169" ht="15.75" customHeight="1">
      <c r="C169" s="3"/>
    </row>
    <row r="170" ht="15.75" customHeight="1">
      <c r="C170" s="3"/>
    </row>
    <row r="171" ht="15.75" customHeight="1">
      <c r="C171" s="3"/>
    </row>
    <row r="172" ht="15.75" customHeight="1">
      <c r="C172" s="3"/>
    </row>
    <row r="173" ht="15.75" customHeight="1">
      <c r="C173" s="3"/>
    </row>
    <row r="174" ht="15.75" customHeight="1">
      <c r="C174" s="3"/>
    </row>
    <row r="175" ht="15.75" customHeight="1">
      <c r="C175" s="3"/>
    </row>
    <row r="176" ht="15.75" customHeight="1">
      <c r="C176" s="3"/>
    </row>
    <row r="177" ht="15.75" customHeight="1">
      <c r="C177" s="3"/>
    </row>
    <row r="178" ht="15.75" customHeight="1">
      <c r="C178" s="3"/>
    </row>
    <row r="179" ht="15.75" customHeight="1">
      <c r="C179" s="3"/>
    </row>
    <row r="180" ht="15.75" customHeight="1">
      <c r="C180" s="3"/>
    </row>
    <row r="181" ht="15.75" customHeight="1">
      <c r="C181" s="3"/>
    </row>
    <row r="182" ht="15.75" customHeight="1">
      <c r="C182" s="3"/>
    </row>
    <row r="183" ht="15.75" customHeight="1">
      <c r="C183" s="3"/>
    </row>
    <row r="184" ht="15.75" customHeight="1">
      <c r="C184" s="3"/>
    </row>
    <row r="185" ht="15.75" customHeight="1">
      <c r="C185" s="3"/>
    </row>
    <row r="186" ht="15.75" customHeight="1">
      <c r="C186" s="3"/>
    </row>
    <row r="187" ht="15.75" customHeight="1">
      <c r="C187" s="3"/>
    </row>
    <row r="188" ht="15.75" customHeight="1">
      <c r="C188" s="3"/>
    </row>
    <row r="189" ht="15.75" customHeight="1">
      <c r="C189" s="3"/>
    </row>
    <row r="190" ht="15.75" customHeight="1">
      <c r="C190" s="3"/>
    </row>
    <row r="191" ht="15.75" customHeight="1">
      <c r="C191" s="3"/>
    </row>
    <row r="192" ht="15.75" customHeight="1">
      <c r="C192" s="3"/>
    </row>
    <row r="193" ht="15.75" customHeight="1">
      <c r="C193" s="3"/>
    </row>
    <row r="194" ht="15.75" customHeight="1">
      <c r="C194" s="3"/>
    </row>
    <row r="195" ht="15.75" customHeight="1">
      <c r="C195" s="3"/>
    </row>
    <row r="196" ht="15.75" customHeight="1">
      <c r="C196" s="3"/>
    </row>
    <row r="197" ht="15.75" customHeight="1">
      <c r="C197" s="3"/>
    </row>
    <row r="198" ht="15.75" customHeight="1">
      <c r="C198" s="3"/>
    </row>
    <row r="199" ht="15.75" customHeight="1">
      <c r="C199" s="3"/>
    </row>
    <row r="200" ht="15.75" customHeight="1">
      <c r="C200" s="3"/>
    </row>
    <row r="201" ht="15.75" customHeight="1">
      <c r="C201" s="3"/>
    </row>
    <row r="202" ht="15.75" customHeight="1">
      <c r="C202" s="3"/>
    </row>
    <row r="203" ht="15.75" customHeight="1">
      <c r="C203" s="3"/>
    </row>
    <row r="204" ht="15.75" customHeight="1">
      <c r="C204" s="3"/>
    </row>
    <row r="205" ht="15.75" customHeight="1">
      <c r="C205" s="3"/>
    </row>
    <row r="206" ht="15.75" customHeight="1">
      <c r="C206" s="3"/>
    </row>
    <row r="207" ht="15.75" customHeight="1">
      <c r="C207" s="3"/>
    </row>
    <row r="208" ht="15.75" customHeight="1">
      <c r="C208" s="3"/>
    </row>
    <row r="209" ht="15.75" customHeight="1">
      <c r="C209" s="3"/>
    </row>
    <row r="210" ht="15.75" customHeight="1">
      <c r="C210" s="3"/>
    </row>
    <row r="211" ht="15.75" customHeight="1">
      <c r="C211" s="3"/>
    </row>
    <row r="212" ht="15.75" customHeight="1">
      <c r="C212" s="3"/>
    </row>
    <row r="213" ht="15.75" customHeight="1">
      <c r="C213" s="3"/>
    </row>
    <row r="214" ht="15.75" customHeight="1">
      <c r="C214" s="3"/>
    </row>
    <row r="215" ht="15.75" customHeight="1">
      <c r="C215" s="3"/>
    </row>
    <row r="216" ht="15.75" customHeight="1">
      <c r="C216" s="3"/>
    </row>
    <row r="217" ht="15.75" customHeight="1">
      <c r="C217" s="3"/>
    </row>
    <row r="218" ht="15.75" customHeight="1">
      <c r="C218" s="3"/>
    </row>
    <row r="219" ht="15.75" customHeight="1">
      <c r="C219" s="3"/>
    </row>
    <row r="220" ht="15.75" customHeight="1">
      <c r="C220" s="3"/>
    </row>
    <row r="221" ht="15.75" customHeight="1">
      <c r="C221" s="3"/>
    </row>
    <row r="222" ht="15.75" customHeight="1">
      <c r="C222" s="3"/>
    </row>
    <row r="223" ht="15.75" customHeight="1">
      <c r="C223" s="3"/>
    </row>
    <row r="224" ht="15.75" customHeight="1">
      <c r="C224" s="3"/>
    </row>
    <row r="225" ht="15.75" customHeight="1">
      <c r="C225" s="3"/>
    </row>
    <row r="226" ht="15.75" customHeight="1">
      <c r="C226" s="3"/>
    </row>
    <row r="227" ht="15.75" customHeight="1">
      <c r="C227" s="3"/>
    </row>
    <row r="228" ht="15.75" customHeight="1">
      <c r="C228" s="3"/>
    </row>
    <row r="229" ht="15.75" customHeight="1">
      <c r="C229" s="3"/>
    </row>
    <row r="230" ht="15.75" customHeight="1">
      <c r="C230" s="3"/>
    </row>
    <row r="231" ht="15.75" customHeight="1">
      <c r="C231" s="3"/>
    </row>
    <row r="232" ht="15.75" customHeight="1">
      <c r="C232" s="3"/>
    </row>
    <row r="233" ht="15.75" customHeight="1">
      <c r="C233" s="3"/>
    </row>
    <row r="234" ht="15.75" customHeight="1">
      <c r="C234" s="3"/>
    </row>
    <row r="235" ht="15.75" customHeight="1">
      <c r="C235" s="3"/>
    </row>
    <row r="236" ht="15.75" customHeight="1">
      <c r="C236" s="3"/>
    </row>
    <row r="237" ht="15.75" customHeight="1">
      <c r="C237" s="3"/>
    </row>
    <row r="238" ht="15.75" customHeight="1">
      <c r="C238" s="3"/>
    </row>
    <row r="239" ht="15.75" customHeight="1">
      <c r="C239" s="3"/>
    </row>
    <row r="240" ht="15.75" customHeight="1">
      <c r="C240" s="3"/>
    </row>
    <row r="241" ht="15.75" customHeight="1">
      <c r="C241" s="3"/>
    </row>
    <row r="242" ht="15.75" customHeight="1">
      <c r="C242" s="3"/>
    </row>
    <row r="243" ht="15.75" customHeight="1">
      <c r="C243" s="3"/>
    </row>
    <row r="244" ht="15.75" customHeight="1">
      <c r="C244" s="3"/>
    </row>
    <row r="245" ht="15.75" customHeight="1">
      <c r="C245" s="3"/>
    </row>
    <row r="246" ht="15.75" customHeight="1">
      <c r="C246" s="3"/>
    </row>
    <row r="247" ht="15.75" customHeight="1">
      <c r="C247" s="3"/>
    </row>
    <row r="248" ht="15.75" customHeight="1">
      <c r="C248" s="3"/>
    </row>
    <row r="249" ht="15.75" customHeight="1">
      <c r="C249" s="3"/>
    </row>
    <row r="250" ht="15.75" customHeight="1">
      <c r="C250" s="3"/>
    </row>
    <row r="251" ht="15.75" customHeight="1">
      <c r="C251" s="3"/>
    </row>
    <row r="252" ht="15.75" customHeight="1">
      <c r="C252" s="3"/>
    </row>
    <row r="253" ht="15.75" customHeight="1">
      <c r="C253" s="3"/>
    </row>
    <row r="254" ht="15.75" customHeight="1">
      <c r="C254" s="3"/>
    </row>
    <row r="255" ht="15.75" customHeight="1">
      <c r="C255" s="3"/>
    </row>
    <row r="256" ht="15.75" customHeight="1">
      <c r="C256" s="3"/>
    </row>
    <row r="257" ht="15.75" customHeight="1">
      <c r="C257" s="3"/>
    </row>
    <row r="258" ht="15.75" customHeight="1">
      <c r="C258" s="3"/>
    </row>
    <row r="259" ht="15.75" customHeight="1">
      <c r="C259" s="3"/>
    </row>
    <row r="260" ht="15.75" customHeight="1">
      <c r="C260" s="3"/>
    </row>
    <row r="261" ht="15.75" customHeight="1">
      <c r="C261" s="3"/>
    </row>
    <row r="262" ht="15.75" customHeight="1">
      <c r="C262" s="3"/>
    </row>
    <row r="263" ht="15.75" customHeight="1">
      <c r="C263" s="3"/>
    </row>
    <row r="264" ht="15.75" customHeight="1">
      <c r="C264" s="3"/>
    </row>
    <row r="265" ht="15.75" customHeight="1">
      <c r="C265" s="3"/>
    </row>
    <row r="266" ht="15.75" customHeight="1">
      <c r="C266" s="3"/>
    </row>
    <row r="267" ht="15.75" customHeight="1">
      <c r="C267" s="3"/>
    </row>
    <row r="268" ht="15.75" customHeight="1">
      <c r="C268" s="3"/>
    </row>
    <row r="269" ht="15.75" customHeight="1">
      <c r="C269" s="3"/>
    </row>
    <row r="270" ht="15.75" customHeight="1">
      <c r="C270" s="3"/>
    </row>
    <row r="271" ht="15.75" customHeight="1">
      <c r="C271" s="3"/>
    </row>
    <row r="272" ht="15.75" customHeight="1">
      <c r="C272" s="3"/>
    </row>
    <row r="273" ht="15.75" customHeight="1">
      <c r="C273" s="3"/>
    </row>
    <row r="274" ht="15.75" customHeight="1">
      <c r="C274" s="3"/>
    </row>
    <row r="275" ht="15.75" customHeight="1">
      <c r="C275" s="3"/>
    </row>
    <row r="276" ht="15.75" customHeight="1">
      <c r="C276" s="3"/>
    </row>
    <row r="277" ht="15.75" customHeight="1">
      <c r="C277" s="3"/>
    </row>
    <row r="278" ht="15.75" customHeight="1">
      <c r="C278" s="3"/>
    </row>
    <row r="279" ht="15.75" customHeight="1">
      <c r="C279" s="3"/>
    </row>
    <row r="280" ht="15.75" customHeight="1">
      <c r="C280" s="3"/>
    </row>
    <row r="281" ht="15.75" customHeight="1">
      <c r="C281" s="3"/>
    </row>
    <row r="282" ht="15.75" customHeight="1">
      <c r="C282" s="3"/>
    </row>
    <row r="283" ht="15.75" customHeight="1">
      <c r="C283" s="3"/>
    </row>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0"/>
  <cols>
    <col customWidth="1" min="1" max="1" width="4.38"/>
    <col customWidth="1" min="2" max="2" width="39.0"/>
    <col customWidth="1" min="3" max="3" width="63.5"/>
    <col customWidth="1" min="4" max="5" width="39.38"/>
    <col customWidth="1" min="7" max="58" width="14.63"/>
  </cols>
  <sheetData>
    <row r="1" ht="15.75" customHeight="1"/>
    <row r="2" ht="15.75" customHeight="1">
      <c r="A2" s="129"/>
      <c r="B2" s="133" t="s">
        <v>1962</v>
      </c>
    </row>
    <row r="3" ht="15.75" customHeight="1">
      <c r="B3" s="129" t="s">
        <v>1963</v>
      </c>
      <c r="C3" s="4"/>
    </row>
    <row r="4" ht="15.75" customHeight="1"/>
    <row r="5" ht="15.75" customHeight="1">
      <c r="B5" s="134" t="s">
        <v>1964</v>
      </c>
      <c r="G5" s="128" t="s">
        <v>33</v>
      </c>
    </row>
    <row r="6" ht="33.0" customHeight="1">
      <c r="A6" s="8"/>
      <c r="B6" s="135" t="s">
        <v>1965</v>
      </c>
      <c r="D6" s="136" t="str">
        <f>IFERROR(__xludf.DUMMYFUNCTION("IF(ISBLANK(B6), """", GOOGLETRANSLATE(B6, ""es"", ""en""))"),"Contains information on contractual processes related to the Hurricane Fiona emergency		
")</f>
        <v>Contains information on contractual processes related to the Hurricane Fiona emergency		
</v>
      </c>
    </row>
    <row r="7" ht="15.75" customHeight="1">
      <c r="B7" s="26" t="s">
        <v>1692</v>
      </c>
      <c r="C7" s="26" t="s">
        <v>1693</v>
      </c>
      <c r="D7" s="26" t="s">
        <v>1694</v>
      </c>
      <c r="E7" s="26" t="s">
        <v>1695</v>
      </c>
      <c r="G7" s="137" t="s">
        <v>1966</v>
      </c>
      <c r="H7" s="137" t="s">
        <v>1967</v>
      </c>
      <c r="I7" s="137" t="s">
        <v>1968</v>
      </c>
      <c r="J7" s="137" t="s">
        <v>1969</v>
      </c>
      <c r="K7" s="137" t="s">
        <v>1970</v>
      </c>
      <c r="L7" s="137" t="s">
        <v>1971</v>
      </c>
      <c r="M7" s="137" t="s">
        <v>1972</v>
      </c>
      <c r="N7" s="137" t="s">
        <v>1973</v>
      </c>
      <c r="O7" s="137" t="s">
        <v>1974</v>
      </c>
      <c r="P7" s="137" t="s">
        <v>1975</v>
      </c>
      <c r="Q7" s="137" t="s">
        <v>1976</v>
      </c>
      <c r="R7" s="137" t="s">
        <v>1977</v>
      </c>
      <c r="S7" s="137" t="s">
        <v>1978</v>
      </c>
      <c r="T7" s="137" t="s">
        <v>1979</v>
      </c>
      <c r="U7" s="137" t="s">
        <v>1980</v>
      </c>
      <c r="V7" s="137" t="s">
        <v>1981</v>
      </c>
      <c r="W7" s="137" t="s">
        <v>1982</v>
      </c>
      <c r="X7" s="137" t="s">
        <v>1983</v>
      </c>
      <c r="Y7" s="137" t="s">
        <v>1984</v>
      </c>
      <c r="Z7" s="137" t="s">
        <v>1985</v>
      </c>
      <c r="AA7" s="137" t="s">
        <v>1986</v>
      </c>
      <c r="AB7" s="137" t="s">
        <v>1987</v>
      </c>
      <c r="AC7" s="137" t="s">
        <v>1988</v>
      </c>
      <c r="AD7" s="137" t="s">
        <v>1989</v>
      </c>
      <c r="AE7" s="137" t="s">
        <v>1990</v>
      </c>
      <c r="AF7" s="137" t="s">
        <v>1991</v>
      </c>
      <c r="AG7" s="137" t="s">
        <v>1992</v>
      </c>
      <c r="AH7" s="137" t="s">
        <v>1993</v>
      </c>
      <c r="AI7" s="137" t="s">
        <v>1994</v>
      </c>
      <c r="AJ7" s="137" t="s">
        <v>1995</v>
      </c>
      <c r="AK7" s="137" t="s">
        <v>1996</v>
      </c>
      <c r="AL7" s="137" t="s">
        <v>1997</v>
      </c>
      <c r="AM7" s="137" t="s">
        <v>1998</v>
      </c>
      <c r="AN7" s="137" t="s">
        <v>3</v>
      </c>
      <c r="AO7" s="137" t="s">
        <v>1999</v>
      </c>
      <c r="AP7" s="137" t="s">
        <v>2000</v>
      </c>
      <c r="AQ7" s="137" t="s">
        <v>2001</v>
      </c>
      <c r="AR7" s="137" t="s">
        <v>2002</v>
      </c>
    </row>
    <row r="8" ht="15.75" customHeight="1">
      <c r="A8" s="138"/>
      <c r="B8" s="139" t="s">
        <v>1966</v>
      </c>
      <c r="C8" s="140">
        <v>363219.0</v>
      </c>
      <c r="D8" s="31" t="s">
        <v>2003</v>
      </c>
      <c r="E8" s="31" t="str">
        <f>IFERROR(__xludf.DUMMYFUNCTION("IF(ISBLANK(D8), """", GOOGLETRANSLATE(D8, ""es"", ""en""))"),"Internal record ID")</f>
        <v>Internal record ID</v>
      </c>
      <c r="G8" s="141">
        <v>363219.0</v>
      </c>
      <c r="H8" s="139" t="s">
        <v>2004</v>
      </c>
      <c r="I8" s="141">
        <v>577.0</v>
      </c>
      <c r="J8" s="139" t="s">
        <v>2005</v>
      </c>
      <c r="K8" s="139" t="s">
        <v>2006</v>
      </c>
      <c r="L8" s="139" t="s">
        <v>2007</v>
      </c>
      <c r="M8" s="139" t="s">
        <v>2008</v>
      </c>
      <c r="N8" s="139" t="s">
        <v>2009</v>
      </c>
      <c r="O8" s="139" t="s">
        <v>2009</v>
      </c>
      <c r="P8" s="139" t="s">
        <v>2010</v>
      </c>
      <c r="Q8" s="139" t="s">
        <v>2011</v>
      </c>
      <c r="R8" s="139" t="s">
        <v>1669</v>
      </c>
      <c r="S8" s="141">
        <v>1.3108728E10</v>
      </c>
      <c r="T8" s="141" t="s">
        <v>2012</v>
      </c>
      <c r="U8" s="141" t="s">
        <v>2013</v>
      </c>
      <c r="V8" s="142">
        <v>44600.583333333336</v>
      </c>
      <c r="W8" s="142">
        <v>44600.604166666664</v>
      </c>
      <c r="X8" s="142">
        <v>44903.916666666664</v>
      </c>
      <c r="Y8" s="141" t="s">
        <v>2014</v>
      </c>
      <c r="Z8" s="141" t="s">
        <v>2015</v>
      </c>
      <c r="AA8" s="139" t="s">
        <v>423</v>
      </c>
      <c r="AB8" s="139" t="s">
        <v>423</v>
      </c>
      <c r="AC8" s="139" t="s">
        <v>423</v>
      </c>
      <c r="AD8" s="139" t="s">
        <v>423</v>
      </c>
      <c r="AE8" s="139" t="s">
        <v>2016</v>
      </c>
      <c r="AF8" s="139" t="s">
        <v>2017</v>
      </c>
      <c r="AG8" s="139"/>
      <c r="AH8" s="139" t="s">
        <v>67</v>
      </c>
      <c r="AI8" s="139" t="s">
        <v>423</v>
      </c>
      <c r="AJ8" s="139" t="s">
        <v>423</v>
      </c>
      <c r="AK8" s="139" t="s">
        <v>423</v>
      </c>
      <c r="AL8" s="139" t="s">
        <v>423</v>
      </c>
      <c r="AM8" s="141" t="s">
        <v>2018</v>
      </c>
      <c r="AN8" s="143" t="s">
        <v>2019</v>
      </c>
      <c r="AO8" s="139" t="s">
        <v>2020</v>
      </c>
      <c r="AP8" s="139"/>
      <c r="AQ8" s="139" t="s">
        <v>2021</v>
      </c>
      <c r="AR8" s="144" t="s">
        <v>2022</v>
      </c>
      <c r="AS8" s="138"/>
      <c r="AT8" s="138"/>
      <c r="AU8" s="138"/>
      <c r="AV8" s="138"/>
      <c r="AW8" s="138"/>
      <c r="AX8" s="138"/>
      <c r="AY8" s="138"/>
      <c r="AZ8" s="138"/>
      <c r="BA8" s="138"/>
      <c r="BB8" s="138"/>
      <c r="BC8" s="138"/>
      <c r="BD8" s="138"/>
      <c r="BE8" s="138"/>
      <c r="BF8" s="138"/>
    </row>
    <row r="9" ht="15.75" customHeight="1">
      <c r="A9" s="138"/>
      <c r="B9" s="139" t="s">
        <v>1967</v>
      </c>
      <c r="C9" s="140" t="s">
        <v>2004</v>
      </c>
      <c r="D9" s="31" t="s">
        <v>2023</v>
      </c>
      <c r="E9" s="31" t="str">
        <f>IFERROR(__xludf.DUMMYFUNCTION("IF(ISBLANK(D9), """", GOOGLETRANSLATE(D9, ""es"", ""en""))"),"Post ID")</f>
        <v>Post ID</v>
      </c>
      <c r="G9" s="141">
        <v>378783.0</v>
      </c>
      <c r="H9" s="139" t="s">
        <v>2024</v>
      </c>
      <c r="I9" s="141">
        <v>5.0</v>
      </c>
      <c r="J9" s="139" t="s">
        <v>2025</v>
      </c>
      <c r="K9" s="139" t="s">
        <v>2026</v>
      </c>
      <c r="L9" s="139" t="s">
        <v>2007</v>
      </c>
      <c r="M9" s="139" t="s">
        <v>2008</v>
      </c>
      <c r="N9" s="139" t="s">
        <v>2027</v>
      </c>
      <c r="O9" s="139" t="s">
        <v>2027</v>
      </c>
      <c r="P9" s="139" t="s">
        <v>2028</v>
      </c>
      <c r="Q9" s="139" t="s">
        <v>2011</v>
      </c>
      <c r="R9" s="139" t="s">
        <v>1669</v>
      </c>
      <c r="S9" s="141">
        <v>755700.0</v>
      </c>
      <c r="T9" s="141" t="s">
        <v>2029</v>
      </c>
      <c r="U9" s="142">
        <v>44691.604166666664</v>
      </c>
      <c r="V9" s="142">
        <v>44722.604166666664</v>
      </c>
      <c r="W9" s="142">
        <v>44722.770833333336</v>
      </c>
      <c r="X9" s="141" t="s">
        <v>2030</v>
      </c>
      <c r="Y9" s="141" t="s">
        <v>2031</v>
      </c>
      <c r="Z9" s="141" t="s">
        <v>2032</v>
      </c>
      <c r="AA9" s="139" t="s">
        <v>423</v>
      </c>
      <c r="AB9" s="139" t="s">
        <v>423</v>
      </c>
      <c r="AC9" s="139" t="s">
        <v>423</v>
      </c>
      <c r="AD9" s="139" t="s">
        <v>423</v>
      </c>
      <c r="AE9" s="139" t="s">
        <v>2033</v>
      </c>
      <c r="AF9" s="139" t="s">
        <v>2017</v>
      </c>
      <c r="AG9" s="139"/>
      <c r="AH9" s="139" t="s">
        <v>423</v>
      </c>
      <c r="AI9" s="139" t="s">
        <v>423</v>
      </c>
      <c r="AJ9" s="139" t="s">
        <v>423</v>
      </c>
      <c r="AK9" s="139" t="s">
        <v>423</v>
      </c>
      <c r="AL9" s="139" t="s">
        <v>423</v>
      </c>
      <c r="AM9" s="141" t="s">
        <v>2034</v>
      </c>
      <c r="AN9" s="143" t="s">
        <v>2035</v>
      </c>
      <c r="AO9" s="139" t="s">
        <v>2020</v>
      </c>
      <c r="AP9" s="139"/>
      <c r="AQ9" s="139" t="s">
        <v>2036</v>
      </c>
      <c r="AR9" s="144" t="s">
        <v>2022</v>
      </c>
      <c r="AS9" s="138"/>
      <c r="AT9" s="144"/>
      <c r="AU9" s="144"/>
      <c r="AV9" s="144"/>
      <c r="AW9" s="144"/>
      <c r="AX9" s="144"/>
      <c r="AY9" s="144"/>
      <c r="AZ9" s="144"/>
      <c r="BA9" s="144"/>
      <c r="BB9" s="144"/>
      <c r="BC9" s="144"/>
      <c r="BD9" s="144"/>
      <c r="BE9" s="144"/>
      <c r="BF9" s="144"/>
    </row>
    <row r="10" ht="15.75" customHeight="1">
      <c r="A10" s="138"/>
      <c r="B10" s="139" t="s">
        <v>1968</v>
      </c>
      <c r="C10" s="140">
        <v>577.0</v>
      </c>
      <c r="D10" s="31" t="s">
        <v>2037</v>
      </c>
      <c r="E10" s="31" t="str">
        <f>IFERROR(__xludf.DUMMYFUNCTION("IF(ISBLANK(D10), """", GOOGLETRANSLATE(D10, ""es"", ""en""))"),"Purchasing Unit Code")</f>
        <v>Purchasing Unit Code</v>
      </c>
      <c r="G10" s="141">
        <v>378782.0</v>
      </c>
      <c r="H10" s="139" t="s">
        <v>2038</v>
      </c>
      <c r="I10" s="141">
        <v>5.0</v>
      </c>
      <c r="J10" s="139" t="s">
        <v>2025</v>
      </c>
      <c r="K10" s="139" t="s">
        <v>2039</v>
      </c>
      <c r="L10" s="139" t="s">
        <v>2007</v>
      </c>
      <c r="M10" s="139" t="s">
        <v>2008</v>
      </c>
      <c r="N10" s="139" t="s">
        <v>2040</v>
      </c>
      <c r="O10" s="139" t="s">
        <v>2041</v>
      </c>
      <c r="P10" s="139" t="s">
        <v>1629</v>
      </c>
      <c r="Q10" s="139" t="s">
        <v>2011</v>
      </c>
      <c r="R10" s="139" t="s">
        <v>1669</v>
      </c>
      <c r="S10" s="141" t="s">
        <v>2042</v>
      </c>
      <c r="T10" s="141" t="s">
        <v>2043</v>
      </c>
      <c r="U10" s="142">
        <v>44691.833333333336</v>
      </c>
      <c r="V10" s="142">
        <v>44752.583333333336</v>
      </c>
      <c r="W10" s="142">
        <v>44752.770833333336</v>
      </c>
      <c r="X10" s="141" t="s">
        <v>2044</v>
      </c>
      <c r="Y10" s="141" t="s">
        <v>2045</v>
      </c>
      <c r="Z10" s="141" t="s">
        <v>2046</v>
      </c>
      <c r="AA10" s="139" t="s">
        <v>423</v>
      </c>
      <c r="AB10" s="139" t="s">
        <v>423</v>
      </c>
      <c r="AC10" s="139" t="s">
        <v>423</v>
      </c>
      <c r="AD10" s="139" t="s">
        <v>423</v>
      </c>
      <c r="AE10" s="139" t="s">
        <v>2033</v>
      </c>
      <c r="AF10" s="139" t="s">
        <v>2017</v>
      </c>
      <c r="AG10" s="139"/>
      <c r="AH10" s="139" t="s">
        <v>423</v>
      </c>
      <c r="AI10" s="139" t="s">
        <v>423</v>
      </c>
      <c r="AJ10" s="139" t="s">
        <v>423</v>
      </c>
      <c r="AK10" s="139" t="s">
        <v>423</v>
      </c>
      <c r="AL10" s="139" t="s">
        <v>423</v>
      </c>
      <c r="AM10" s="141" t="s">
        <v>2034</v>
      </c>
      <c r="AN10" s="143" t="s">
        <v>2047</v>
      </c>
      <c r="AO10" s="139" t="s">
        <v>2020</v>
      </c>
      <c r="AP10" s="139"/>
      <c r="AQ10" s="139" t="s">
        <v>2036</v>
      </c>
      <c r="AR10" s="144" t="s">
        <v>2022</v>
      </c>
      <c r="AS10" s="138"/>
      <c r="AT10" s="144"/>
      <c r="AU10" s="144"/>
      <c r="AV10" s="144"/>
      <c r="AW10" s="144"/>
      <c r="AX10" s="144"/>
      <c r="AY10" s="144"/>
      <c r="AZ10" s="144"/>
      <c r="BA10" s="144"/>
      <c r="BB10" s="144"/>
      <c r="BC10" s="144"/>
      <c r="BD10" s="144"/>
      <c r="BE10" s="144"/>
      <c r="BF10" s="144"/>
    </row>
    <row r="11" ht="15.75" customHeight="1">
      <c r="A11" s="138"/>
      <c r="B11" s="139" t="s">
        <v>1969</v>
      </c>
      <c r="C11" s="140" t="s">
        <v>2005</v>
      </c>
      <c r="D11" s="31" t="s">
        <v>2048</v>
      </c>
      <c r="E11" s="31" t="str">
        <f>IFERROR(__xludf.DUMMYFUNCTION("IF(ISBLANK(D11), """", GOOGLETRANSLATE(D11, ""es"", ""en""))"),"Purchasing Unit Name")</f>
        <v>Purchasing Unit Name</v>
      </c>
      <c r="G11" s="141">
        <v>378767.0</v>
      </c>
      <c r="H11" s="139" t="s">
        <v>2049</v>
      </c>
      <c r="I11" s="141">
        <v>134.0</v>
      </c>
      <c r="J11" s="139" t="s">
        <v>2050</v>
      </c>
      <c r="K11" s="139" t="s">
        <v>2051</v>
      </c>
      <c r="L11" s="139" t="s">
        <v>2007</v>
      </c>
      <c r="M11" s="139" t="s">
        <v>2008</v>
      </c>
      <c r="N11" s="139" t="s">
        <v>2052</v>
      </c>
      <c r="O11" s="139" t="s">
        <v>2052</v>
      </c>
      <c r="P11" s="139" t="s">
        <v>1629</v>
      </c>
      <c r="Q11" s="139" t="s">
        <v>2011</v>
      </c>
      <c r="R11" s="139" t="s">
        <v>1669</v>
      </c>
      <c r="S11" s="141">
        <v>5.0242587E7</v>
      </c>
      <c r="T11" s="141" t="s">
        <v>2053</v>
      </c>
      <c r="U11" s="141" t="s">
        <v>2054</v>
      </c>
      <c r="V11" s="141" t="s">
        <v>2055</v>
      </c>
      <c r="W11" s="141" t="s">
        <v>2056</v>
      </c>
      <c r="X11" s="142">
        <v>44631.875</v>
      </c>
      <c r="Y11" s="142">
        <v>44815.875</v>
      </c>
      <c r="Z11" s="142">
        <v>44662.875</v>
      </c>
      <c r="AA11" s="139" t="s">
        <v>423</v>
      </c>
      <c r="AB11" s="139" t="s">
        <v>423</v>
      </c>
      <c r="AC11" s="139" t="s">
        <v>423</v>
      </c>
      <c r="AD11" s="139" t="s">
        <v>423</v>
      </c>
      <c r="AE11" s="139" t="s">
        <v>2033</v>
      </c>
      <c r="AF11" s="139" t="s">
        <v>2017</v>
      </c>
      <c r="AG11" s="139"/>
      <c r="AH11" s="139" t="s">
        <v>423</v>
      </c>
      <c r="AI11" s="139" t="s">
        <v>423</v>
      </c>
      <c r="AJ11" s="139" t="s">
        <v>423</v>
      </c>
      <c r="AK11" s="139" t="s">
        <v>423</v>
      </c>
      <c r="AL11" s="139" t="s">
        <v>423</v>
      </c>
      <c r="AM11" s="141" t="s">
        <v>2034</v>
      </c>
      <c r="AN11" s="143" t="s">
        <v>2057</v>
      </c>
      <c r="AO11" s="139" t="s">
        <v>2020</v>
      </c>
      <c r="AP11" s="139"/>
      <c r="AQ11" s="139" t="s">
        <v>2036</v>
      </c>
      <c r="AR11" s="144" t="s">
        <v>2022</v>
      </c>
    </row>
    <row r="12" ht="15.75" customHeight="1">
      <c r="A12" s="138"/>
      <c r="B12" s="139" t="s">
        <v>1970</v>
      </c>
      <c r="C12" s="140" t="s">
        <v>2006</v>
      </c>
      <c r="D12" s="31" t="s">
        <v>2058</v>
      </c>
      <c r="E12" s="31" t="str">
        <f>IFERROR(__xludf.DUMMYFUNCTION("IF(ISBLANK(D12), """", GOOGLETRANSLATE(D12, ""es"", ""en""))"),"Purchase process code")</f>
        <v>Purchase process code</v>
      </c>
      <c r="G12" s="141">
        <v>379112.0</v>
      </c>
      <c r="H12" s="139" t="s">
        <v>2059</v>
      </c>
      <c r="I12" s="141">
        <v>5.0</v>
      </c>
      <c r="J12" s="139" t="s">
        <v>2025</v>
      </c>
      <c r="K12" s="139" t="s">
        <v>2060</v>
      </c>
      <c r="L12" s="139" t="s">
        <v>2007</v>
      </c>
      <c r="M12" s="139" t="s">
        <v>2008</v>
      </c>
      <c r="N12" s="139" t="s">
        <v>2061</v>
      </c>
      <c r="O12" s="139" t="s">
        <v>2061</v>
      </c>
      <c r="P12" s="139" t="s">
        <v>2062</v>
      </c>
      <c r="Q12" s="139" t="s">
        <v>2011</v>
      </c>
      <c r="R12" s="139" t="s">
        <v>1669</v>
      </c>
      <c r="S12" s="141">
        <v>2.582758312E9</v>
      </c>
      <c r="T12" s="141" t="s">
        <v>2063</v>
      </c>
      <c r="U12" s="142">
        <v>44722.916666666664</v>
      </c>
      <c r="V12" s="142">
        <v>44752.583333333336</v>
      </c>
      <c r="W12" s="142">
        <v>44752.604166666664</v>
      </c>
      <c r="X12" s="141" t="s">
        <v>2064</v>
      </c>
      <c r="Y12" s="141" t="s">
        <v>2031</v>
      </c>
      <c r="Z12" s="141" t="s">
        <v>2065</v>
      </c>
      <c r="AA12" s="139" t="s">
        <v>423</v>
      </c>
      <c r="AB12" s="139" t="s">
        <v>423</v>
      </c>
      <c r="AC12" s="139" t="s">
        <v>67</v>
      </c>
      <c r="AD12" s="139" t="s">
        <v>423</v>
      </c>
      <c r="AE12" s="139" t="s">
        <v>2066</v>
      </c>
      <c r="AF12" s="139" t="s">
        <v>2067</v>
      </c>
      <c r="AG12" s="139"/>
      <c r="AH12" s="139" t="s">
        <v>423</v>
      </c>
      <c r="AI12" s="139" t="s">
        <v>423</v>
      </c>
      <c r="AJ12" s="139" t="s">
        <v>423</v>
      </c>
      <c r="AK12" s="139" t="s">
        <v>423</v>
      </c>
      <c r="AL12" s="139" t="s">
        <v>423</v>
      </c>
      <c r="AM12" s="141" t="s">
        <v>2034</v>
      </c>
      <c r="AN12" s="143" t="s">
        <v>2068</v>
      </c>
      <c r="AO12" s="139" t="s">
        <v>2020</v>
      </c>
      <c r="AP12" s="139"/>
      <c r="AQ12" s="139" t="s">
        <v>2036</v>
      </c>
      <c r="AR12" s="144" t="s">
        <v>2022</v>
      </c>
    </row>
    <row r="13" ht="15.75" customHeight="1">
      <c r="A13" s="138"/>
      <c r="B13" s="139" t="s">
        <v>1971</v>
      </c>
      <c r="C13" s="140" t="s">
        <v>2007</v>
      </c>
      <c r="D13" s="31" t="s">
        <v>2069</v>
      </c>
      <c r="E13" s="31" t="str">
        <f>IFERROR(__xludf.DUMMYFUNCTION("IF(ISBLANK(D13), """", GOOGLETRANSLATE(D13, ""es"", ""en""))"),"Modality of the purchasing process")</f>
        <v>Modality of the purchasing process</v>
      </c>
      <c r="G13" s="141">
        <v>381389.0</v>
      </c>
      <c r="H13" s="139" t="s">
        <v>2070</v>
      </c>
      <c r="I13" s="141">
        <v>1154.0</v>
      </c>
      <c r="J13" s="139" t="s">
        <v>2071</v>
      </c>
      <c r="K13" s="139" t="s">
        <v>2072</v>
      </c>
      <c r="L13" s="139" t="s">
        <v>2007</v>
      </c>
      <c r="M13" s="139" t="s">
        <v>2008</v>
      </c>
      <c r="N13" s="139" t="s">
        <v>2073</v>
      </c>
      <c r="O13" s="139" t="s">
        <v>2073</v>
      </c>
      <c r="P13" s="139" t="s">
        <v>1629</v>
      </c>
      <c r="Q13" s="139" t="s">
        <v>2011</v>
      </c>
      <c r="R13" s="139" t="s">
        <v>1669</v>
      </c>
      <c r="S13" s="141" t="s">
        <v>2074</v>
      </c>
      <c r="T13" s="141" t="s">
        <v>2075</v>
      </c>
      <c r="U13" s="141" t="s">
        <v>2076</v>
      </c>
      <c r="V13" s="141" t="s">
        <v>2077</v>
      </c>
      <c r="W13" s="141" t="s">
        <v>2078</v>
      </c>
      <c r="X13" s="142">
        <v>44753.915972222225</v>
      </c>
      <c r="Y13" s="142">
        <v>44815.915972222225</v>
      </c>
      <c r="Z13" s="142">
        <v>44753.916666666664</v>
      </c>
      <c r="AA13" s="139" t="s">
        <v>423</v>
      </c>
      <c r="AB13" s="139" t="s">
        <v>423</v>
      </c>
      <c r="AC13" s="139" t="s">
        <v>67</v>
      </c>
      <c r="AD13" s="139" t="s">
        <v>423</v>
      </c>
      <c r="AE13" s="139" t="s">
        <v>2079</v>
      </c>
      <c r="AF13" s="139" t="s">
        <v>2067</v>
      </c>
      <c r="AG13" s="139"/>
      <c r="AH13" s="139" t="s">
        <v>67</v>
      </c>
      <c r="AI13" s="139" t="s">
        <v>423</v>
      </c>
      <c r="AJ13" s="139" t="s">
        <v>423</v>
      </c>
      <c r="AK13" s="139" t="s">
        <v>423</v>
      </c>
      <c r="AL13" s="139" t="s">
        <v>423</v>
      </c>
      <c r="AM13" s="141" t="s">
        <v>2034</v>
      </c>
      <c r="AN13" s="143" t="s">
        <v>2080</v>
      </c>
      <c r="AO13" s="139" t="s">
        <v>2020</v>
      </c>
      <c r="AP13" s="139"/>
      <c r="AQ13" s="139" t="s">
        <v>2036</v>
      </c>
      <c r="AR13" s="144" t="s">
        <v>2022</v>
      </c>
    </row>
    <row r="14" ht="15.75" customHeight="1">
      <c r="A14" s="138"/>
      <c r="B14" s="139" t="s">
        <v>1972</v>
      </c>
      <c r="C14" s="140" t="s">
        <v>2008</v>
      </c>
      <c r="D14" s="31" t="s">
        <v>2081</v>
      </c>
      <c r="E14" s="31" t="str">
        <f>IFERROR(__xludf.DUMMYFUNCTION("IF(ISBLANK(D14), """", GOOGLETRANSLATE(D14, ""es"", ""en""))"),"Type of Exception (In this case they are all of the ""emergency"" type)")</f>
        <v>Type of Exception (In this case they are all of the "emergency" type)</v>
      </c>
      <c r="G14" s="141">
        <v>381429.0</v>
      </c>
      <c r="H14" s="139" t="s">
        <v>2082</v>
      </c>
      <c r="I14" s="141">
        <v>5.0</v>
      </c>
      <c r="J14" s="139" t="s">
        <v>2025</v>
      </c>
      <c r="K14" s="139" t="s">
        <v>2083</v>
      </c>
      <c r="L14" s="139" t="s">
        <v>2007</v>
      </c>
      <c r="M14" s="139" t="s">
        <v>2008</v>
      </c>
      <c r="N14" s="139" t="s">
        <v>2084</v>
      </c>
      <c r="O14" s="139" t="s">
        <v>2085</v>
      </c>
      <c r="P14" s="139" t="s">
        <v>1629</v>
      </c>
      <c r="Q14" s="139" t="s">
        <v>2011</v>
      </c>
      <c r="R14" s="139" t="s">
        <v>1669</v>
      </c>
      <c r="S14" s="141">
        <v>4500000.0</v>
      </c>
      <c r="T14" s="141" t="s">
        <v>2086</v>
      </c>
      <c r="U14" s="141" t="s">
        <v>2087</v>
      </c>
      <c r="V14" s="141" t="s">
        <v>2088</v>
      </c>
      <c r="W14" s="141" t="s">
        <v>2089</v>
      </c>
      <c r="X14" s="141" t="s">
        <v>2090</v>
      </c>
      <c r="Y14" s="142">
        <v>44631.833333333336</v>
      </c>
      <c r="Z14" s="141" t="s">
        <v>2045</v>
      </c>
      <c r="AA14" s="139" t="s">
        <v>423</v>
      </c>
      <c r="AB14" s="139" t="s">
        <v>423</v>
      </c>
      <c r="AC14" s="139" t="s">
        <v>423</v>
      </c>
      <c r="AD14" s="139" t="s">
        <v>423</v>
      </c>
      <c r="AE14" s="139" t="s">
        <v>2091</v>
      </c>
      <c r="AF14" s="139" t="s">
        <v>2017</v>
      </c>
      <c r="AG14" s="139"/>
      <c r="AH14" s="139" t="s">
        <v>423</v>
      </c>
      <c r="AI14" s="139" t="s">
        <v>423</v>
      </c>
      <c r="AJ14" s="139" t="s">
        <v>423</v>
      </c>
      <c r="AK14" s="139" t="s">
        <v>423</v>
      </c>
      <c r="AL14" s="139" t="s">
        <v>423</v>
      </c>
      <c r="AM14" s="141" t="s">
        <v>2034</v>
      </c>
      <c r="AN14" s="143" t="s">
        <v>2092</v>
      </c>
      <c r="AO14" s="139" t="s">
        <v>2020</v>
      </c>
      <c r="AP14" s="139"/>
      <c r="AQ14" s="139" t="s">
        <v>2036</v>
      </c>
      <c r="AR14" s="144" t="s">
        <v>2022</v>
      </c>
    </row>
    <row r="15" ht="15.75" customHeight="1">
      <c r="A15" s="138"/>
      <c r="B15" s="139" t="s">
        <v>1973</v>
      </c>
      <c r="C15" s="140" t="s">
        <v>2009</v>
      </c>
      <c r="D15" s="31" t="s">
        <v>2093</v>
      </c>
      <c r="E15" s="31" t="str">
        <f>IFERROR(__xludf.DUMMYFUNCTION("IF(ISBLANK(D15), """", GOOGLETRANSLATE(D15, ""es"", ""en""))"),"Cover of the purchasing process")</f>
        <v>Cover of the purchasing process</v>
      </c>
      <c r="G15" s="141">
        <v>381763.0</v>
      </c>
      <c r="H15" s="139" t="s">
        <v>2094</v>
      </c>
      <c r="I15" s="141">
        <v>5.0</v>
      </c>
      <c r="J15" s="139" t="s">
        <v>2025</v>
      </c>
      <c r="K15" s="139" t="s">
        <v>2095</v>
      </c>
      <c r="L15" s="139" t="s">
        <v>2007</v>
      </c>
      <c r="M15" s="139" t="s">
        <v>2008</v>
      </c>
      <c r="N15" s="139" t="s">
        <v>2096</v>
      </c>
      <c r="O15" s="139" t="s">
        <v>2097</v>
      </c>
      <c r="P15" s="139" t="s">
        <v>1629</v>
      </c>
      <c r="Q15" s="139" t="s">
        <v>2011</v>
      </c>
      <c r="R15" s="139" t="s">
        <v>1669</v>
      </c>
      <c r="S15" s="141">
        <v>1.391E8</v>
      </c>
      <c r="T15" s="141" t="s">
        <v>2098</v>
      </c>
      <c r="U15" s="141" t="s">
        <v>2099</v>
      </c>
      <c r="V15" s="141" t="s">
        <v>2100</v>
      </c>
      <c r="W15" s="141" t="s">
        <v>2101</v>
      </c>
      <c r="X15" s="142">
        <v>44572.833333333336</v>
      </c>
      <c r="Y15" s="142">
        <v>44784.833333333336</v>
      </c>
      <c r="Z15" s="142">
        <v>44603.833333333336</v>
      </c>
      <c r="AA15" s="139" t="s">
        <v>423</v>
      </c>
      <c r="AB15" s="139" t="s">
        <v>423</v>
      </c>
      <c r="AC15" s="139" t="s">
        <v>423</v>
      </c>
      <c r="AD15" s="139" t="s">
        <v>423</v>
      </c>
      <c r="AE15" s="139" t="s">
        <v>2091</v>
      </c>
      <c r="AF15" s="139" t="s">
        <v>2017</v>
      </c>
      <c r="AG15" s="139"/>
      <c r="AH15" s="139" t="s">
        <v>423</v>
      </c>
      <c r="AI15" s="139" t="s">
        <v>423</v>
      </c>
      <c r="AJ15" s="139" t="s">
        <v>423</v>
      </c>
      <c r="AK15" s="139" t="s">
        <v>423</v>
      </c>
      <c r="AL15" s="139" t="s">
        <v>423</v>
      </c>
      <c r="AM15" s="141" t="s">
        <v>2034</v>
      </c>
      <c r="AN15" s="143" t="s">
        <v>2102</v>
      </c>
      <c r="AO15" s="139" t="s">
        <v>2020</v>
      </c>
      <c r="AP15" s="139"/>
      <c r="AQ15" s="139" t="s">
        <v>2036</v>
      </c>
      <c r="AR15" s="144" t="s">
        <v>2022</v>
      </c>
    </row>
    <row r="16" ht="15.75" customHeight="1">
      <c r="A16" s="138"/>
      <c r="B16" s="139" t="s">
        <v>1974</v>
      </c>
      <c r="C16" s="140" t="s">
        <v>2009</v>
      </c>
      <c r="D16" s="31" t="s">
        <v>2103</v>
      </c>
      <c r="E16" s="31" t="str">
        <f>IFERROR(__xludf.DUMMYFUNCTION("IF(ISBLANK(D16), """", GOOGLETRANSLATE(D16, ""es"", ""en""))"),"Description of the purchasing process")</f>
        <v>Description of the purchasing process</v>
      </c>
      <c r="G16" s="141">
        <v>381717.0</v>
      </c>
      <c r="H16" s="139" t="s">
        <v>2104</v>
      </c>
      <c r="I16" s="141">
        <v>904.0</v>
      </c>
      <c r="J16" s="139" t="s">
        <v>2105</v>
      </c>
      <c r="K16" s="139" t="s">
        <v>2106</v>
      </c>
      <c r="L16" s="139" t="s">
        <v>2007</v>
      </c>
      <c r="M16" s="139" t="s">
        <v>2008</v>
      </c>
      <c r="N16" s="139" t="s">
        <v>2107</v>
      </c>
      <c r="O16" s="139" t="s">
        <v>2107</v>
      </c>
      <c r="P16" s="139" t="s">
        <v>2028</v>
      </c>
      <c r="Q16" s="139" t="s">
        <v>2011</v>
      </c>
      <c r="R16" s="139" t="s">
        <v>1669</v>
      </c>
      <c r="S16" s="141">
        <v>3294000.0</v>
      </c>
      <c r="T16" s="141" t="s">
        <v>2108</v>
      </c>
      <c r="U16" s="141" t="s">
        <v>2109</v>
      </c>
      <c r="V16" s="141" t="s">
        <v>2110</v>
      </c>
      <c r="W16" s="141" t="s">
        <v>2111</v>
      </c>
      <c r="X16" s="141" t="s">
        <v>2112</v>
      </c>
      <c r="Y16" s="141" t="s">
        <v>2113</v>
      </c>
      <c r="Z16" s="141" t="s">
        <v>2114</v>
      </c>
      <c r="AA16" s="139" t="s">
        <v>423</v>
      </c>
      <c r="AB16" s="139" t="s">
        <v>423</v>
      </c>
      <c r="AC16" s="139" t="s">
        <v>423</v>
      </c>
      <c r="AD16" s="139" t="s">
        <v>423</v>
      </c>
      <c r="AE16" s="139" t="s">
        <v>2115</v>
      </c>
      <c r="AF16" s="139" t="s">
        <v>2017</v>
      </c>
      <c r="AG16" s="139"/>
      <c r="AH16" s="139" t="s">
        <v>423</v>
      </c>
      <c r="AI16" s="139" t="s">
        <v>423</v>
      </c>
      <c r="AJ16" s="139" t="s">
        <v>423</v>
      </c>
      <c r="AK16" s="139" t="s">
        <v>423</v>
      </c>
      <c r="AL16" s="139" t="s">
        <v>423</v>
      </c>
      <c r="AM16" s="141" t="s">
        <v>2034</v>
      </c>
      <c r="AN16" s="143" t="s">
        <v>2116</v>
      </c>
      <c r="AO16" s="139" t="s">
        <v>2020</v>
      </c>
      <c r="AP16" s="139"/>
      <c r="AQ16" s="139" t="s">
        <v>2036</v>
      </c>
      <c r="AR16" s="144" t="s">
        <v>2022</v>
      </c>
    </row>
    <row r="17" ht="15.75" customHeight="1">
      <c r="A17" s="138"/>
      <c r="B17" s="139" t="s">
        <v>1975</v>
      </c>
      <c r="C17" s="140" t="s">
        <v>2010</v>
      </c>
      <c r="D17" s="31" t="s">
        <v>2117</v>
      </c>
      <c r="E17" s="31" t="str">
        <f>IFERROR(__xludf.DUMMYFUNCTION("IF(ISBLANK(D17), """", GOOGLETRANSLATE(D17, ""es"", ""en""))"),"Purchase process status")</f>
        <v>Purchase process status</v>
      </c>
      <c r="G17" s="141">
        <v>381760.0</v>
      </c>
      <c r="H17" s="139" t="s">
        <v>2118</v>
      </c>
      <c r="I17" s="141">
        <v>5.0</v>
      </c>
      <c r="J17" s="139" t="s">
        <v>2025</v>
      </c>
      <c r="K17" s="139" t="s">
        <v>2119</v>
      </c>
      <c r="L17" s="139" t="s">
        <v>2007</v>
      </c>
      <c r="M17" s="139" t="s">
        <v>2008</v>
      </c>
      <c r="N17" s="139" t="s">
        <v>2120</v>
      </c>
      <c r="O17" s="139" t="s">
        <v>2121</v>
      </c>
      <c r="P17" s="139" t="s">
        <v>1629</v>
      </c>
      <c r="Q17" s="139" t="s">
        <v>2011</v>
      </c>
      <c r="R17" s="139" t="s">
        <v>1669</v>
      </c>
      <c r="S17" s="141">
        <v>7005825.0</v>
      </c>
      <c r="T17" s="141" t="s">
        <v>2122</v>
      </c>
      <c r="U17" s="141" t="s">
        <v>2032</v>
      </c>
      <c r="V17" s="141" t="s">
        <v>2100</v>
      </c>
      <c r="W17" s="141" t="s">
        <v>2123</v>
      </c>
      <c r="X17" s="141" t="s">
        <v>2124</v>
      </c>
      <c r="Y17" s="142">
        <v>44753.833333333336</v>
      </c>
      <c r="Z17" s="142">
        <v>44572.833333333336</v>
      </c>
      <c r="AA17" s="139" t="s">
        <v>423</v>
      </c>
      <c r="AB17" s="139" t="s">
        <v>423</v>
      </c>
      <c r="AC17" s="139" t="s">
        <v>423</v>
      </c>
      <c r="AD17" s="139" t="s">
        <v>423</v>
      </c>
      <c r="AE17" s="139" t="s">
        <v>2066</v>
      </c>
      <c r="AF17" s="139" t="s">
        <v>2017</v>
      </c>
      <c r="AG17" s="139"/>
      <c r="AH17" s="139" t="s">
        <v>423</v>
      </c>
      <c r="AI17" s="139" t="s">
        <v>423</v>
      </c>
      <c r="AJ17" s="139" t="s">
        <v>423</v>
      </c>
      <c r="AK17" s="139" t="s">
        <v>423</v>
      </c>
      <c r="AL17" s="139" t="s">
        <v>423</v>
      </c>
      <c r="AM17" s="141" t="s">
        <v>2034</v>
      </c>
      <c r="AN17" s="143" t="s">
        <v>2125</v>
      </c>
      <c r="AO17" s="139" t="s">
        <v>2020</v>
      </c>
      <c r="AP17" s="139"/>
      <c r="AQ17" s="139" t="s">
        <v>2036</v>
      </c>
      <c r="AR17" s="144" t="s">
        <v>2022</v>
      </c>
    </row>
    <row r="18" ht="15.75" customHeight="1">
      <c r="A18" s="138"/>
      <c r="B18" s="139" t="s">
        <v>1976</v>
      </c>
      <c r="C18" s="140" t="s">
        <v>2011</v>
      </c>
      <c r="D18" s="31" t="s">
        <v>2126</v>
      </c>
      <c r="E18" s="31" t="str">
        <f>IFERROR(__xludf.DUMMYFUNCTION("IF(ISBLANK(D18), """", GOOGLETRANSLATE(D18, ""es"", ""en""))"),"Purchase process phase")</f>
        <v>Purchase process phase</v>
      </c>
      <c r="G18" s="141">
        <v>376851.0</v>
      </c>
      <c r="H18" s="139" t="s">
        <v>2127</v>
      </c>
      <c r="I18" s="141">
        <v>718.0</v>
      </c>
      <c r="J18" s="139" t="s">
        <v>2128</v>
      </c>
      <c r="K18" s="139" t="s">
        <v>2129</v>
      </c>
      <c r="L18" s="139" t="s">
        <v>2007</v>
      </c>
      <c r="M18" s="139" t="s">
        <v>2008</v>
      </c>
      <c r="N18" s="139" t="s">
        <v>2130</v>
      </c>
      <c r="O18" s="139" t="s">
        <v>2130</v>
      </c>
      <c r="P18" s="139" t="s">
        <v>1629</v>
      </c>
      <c r="Q18" s="139" t="s">
        <v>2011</v>
      </c>
      <c r="R18" s="139" t="s">
        <v>1669</v>
      </c>
      <c r="S18" s="141">
        <v>1.83234893E8</v>
      </c>
      <c r="T18" s="141" t="s">
        <v>2131</v>
      </c>
      <c r="U18" s="141" t="s">
        <v>2132</v>
      </c>
      <c r="V18" s="141" t="s">
        <v>2133</v>
      </c>
      <c r="W18" s="141" t="s">
        <v>2134</v>
      </c>
      <c r="X18" s="142">
        <v>44724.875</v>
      </c>
      <c r="Y18" s="141" t="s">
        <v>2135</v>
      </c>
      <c r="Z18" s="142">
        <v>44754.916666666664</v>
      </c>
      <c r="AA18" s="139" t="s">
        <v>423</v>
      </c>
      <c r="AB18" s="139" t="s">
        <v>423</v>
      </c>
      <c r="AC18" s="139" t="s">
        <v>423</v>
      </c>
      <c r="AD18" s="139" t="s">
        <v>423</v>
      </c>
      <c r="AE18" s="139" t="s">
        <v>2136</v>
      </c>
      <c r="AF18" s="139" t="s">
        <v>2017</v>
      </c>
      <c r="AG18" s="139"/>
      <c r="AH18" s="139" t="s">
        <v>67</v>
      </c>
      <c r="AI18" s="139" t="s">
        <v>423</v>
      </c>
      <c r="AJ18" s="139" t="s">
        <v>423</v>
      </c>
      <c r="AK18" s="139" t="s">
        <v>423</v>
      </c>
      <c r="AL18" s="139" t="s">
        <v>423</v>
      </c>
      <c r="AM18" s="141" t="s">
        <v>2137</v>
      </c>
      <c r="AN18" s="143" t="s">
        <v>2138</v>
      </c>
      <c r="AO18" s="139" t="s">
        <v>2020</v>
      </c>
      <c r="AP18" s="139"/>
      <c r="AQ18" s="139" t="s">
        <v>2036</v>
      </c>
      <c r="AR18" s="144" t="s">
        <v>2022</v>
      </c>
    </row>
    <row r="19" ht="15.75" customHeight="1">
      <c r="A19" s="138"/>
      <c r="B19" s="139" t="s">
        <v>1977</v>
      </c>
      <c r="C19" s="140" t="s">
        <v>1669</v>
      </c>
      <c r="D19" s="31" t="s">
        <v>2139</v>
      </c>
      <c r="E19" s="31" t="str">
        <f>IFERROR(__xludf.DUMMYFUNCTION("IF(ISBLANK(D19), """", GOOGLETRANSLATE(D19, ""es"", ""en""))"),"Checkout Currency")</f>
        <v>Checkout Currency</v>
      </c>
      <c r="G19" s="141">
        <v>381801.0</v>
      </c>
      <c r="H19" s="139" t="s">
        <v>2140</v>
      </c>
      <c r="I19" s="141">
        <v>240.0</v>
      </c>
      <c r="J19" s="139" t="s">
        <v>2141</v>
      </c>
      <c r="K19" s="139" t="s">
        <v>2142</v>
      </c>
      <c r="L19" s="139" t="s">
        <v>2007</v>
      </c>
      <c r="M19" s="139" t="s">
        <v>2008</v>
      </c>
      <c r="N19" s="139" t="s">
        <v>2143</v>
      </c>
      <c r="O19" s="139" t="s">
        <v>2144</v>
      </c>
      <c r="P19" s="139" t="s">
        <v>2028</v>
      </c>
      <c r="Q19" s="139" t="s">
        <v>2011</v>
      </c>
      <c r="R19" s="139" t="s">
        <v>1669</v>
      </c>
      <c r="S19" s="141">
        <v>1.9602E7</v>
      </c>
      <c r="T19" s="141" t="s">
        <v>2145</v>
      </c>
      <c r="U19" s="141" t="s">
        <v>2044</v>
      </c>
      <c r="V19" s="141" t="s">
        <v>2077</v>
      </c>
      <c r="W19" s="141" t="s">
        <v>2078</v>
      </c>
      <c r="X19" s="142">
        <v>44603.833333333336</v>
      </c>
      <c r="Y19" s="142">
        <v>44753.833333333336</v>
      </c>
      <c r="Z19" s="142">
        <v>44603.875</v>
      </c>
      <c r="AA19" s="139" t="s">
        <v>423</v>
      </c>
      <c r="AB19" s="139" t="s">
        <v>423</v>
      </c>
      <c r="AC19" s="139" t="s">
        <v>423</v>
      </c>
      <c r="AD19" s="139" t="s">
        <v>423</v>
      </c>
      <c r="AE19" s="139" t="s">
        <v>2146</v>
      </c>
      <c r="AF19" s="139" t="s">
        <v>2017</v>
      </c>
      <c r="AG19" s="139"/>
      <c r="AH19" s="139" t="s">
        <v>67</v>
      </c>
      <c r="AI19" s="139" t="s">
        <v>423</v>
      </c>
      <c r="AJ19" s="139" t="s">
        <v>423</v>
      </c>
      <c r="AK19" s="139" t="s">
        <v>423</v>
      </c>
      <c r="AL19" s="139" t="s">
        <v>423</v>
      </c>
      <c r="AM19" s="141" t="s">
        <v>2034</v>
      </c>
      <c r="AN19" s="143" t="s">
        <v>2147</v>
      </c>
      <c r="AO19" s="139" t="s">
        <v>2020</v>
      </c>
      <c r="AP19" s="139"/>
      <c r="AQ19" s="139" t="s">
        <v>2036</v>
      </c>
      <c r="AR19" s="144" t="s">
        <v>2022</v>
      </c>
    </row>
    <row r="20" ht="15.75" customHeight="1">
      <c r="A20" s="138"/>
      <c r="B20" s="139" t="s">
        <v>1978</v>
      </c>
      <c r="C20" s="140">
        <v>1.3108728E10</v>
      </c>
      <c r="D20" s="31" t="s">
        <v>2148</v>
      </c>
      <c r="E20" s="31" t="str">
        <f>IFERROR(__xludf.DUMMYFUNCTION("IF(ISBLANK(D20), """", GOOGLETRANSLATE(D20, ""es"", ""en""))"),"Purchase process amount")</f>
        <v>Purchase process amount</v>
      </c>
      <c r="G20" s="141">
        <v>381522.0</v>
      </c>
      <c r="H20" s="139" t="s">
        <v>2149</v>
      </c>
      <c r="I20" s="141">
        <v>640.0</v>
      </c>
      <c r="J20" s="139" t="s">
        <v>2150</v>
      </c>
      <c r="K20" s="139" t="s">
        <v>2151</v>
      </c>
      <c r="L20" s="139" t="s">
        <v>2007</v>
      </c>
      <c r="M20" s="139" t="s">
        <v>2008</v>
      </c>
      <c r="N20" s="139" t="s">
        <v>2152</v>
      </c>
      <c r="O20" s="139" t="s">
        <v>2152</v>
      </c>
      <c r="P20" s="139" t="s">
        <v>1629</v>
      </c>
      <c r="Q20" s="139" t="s">
        <v>2011</v>
      </c>
      <c r="R20" s="139" t="s">
        <v>1669</v>
      </c>
      <c r="S20" s="141" t="s">
        <v>2153</v>
      </c>
      <c r="T20" s="141" t="s">
        <v>2154</v>
      </c>
      <c r="U20" s="141" t="s">
        <v>2155</v>
      </c>
      <c r="V20" s="141" t="s">
        <v>2156</v>
      </c>
      <c r="W20" s="141" t="s">
        <v>2157</v>
      </c>
      <c r="X20" s="141" t="s">
        <v>2158</v>
      </c>
      <c r="Y20" s="141" t="s">
        <v>2159</v>
      </c>
      <c r="Z20" s="141" t="s">
        <v>2160</v>
      </c>
      <c r="AA20" s="139" t="s">
        <v>423</v>
      </c>
      <c r="AB20" s="139" t="s">
        <v>423</v>
      </c>
      <c r="AC20" s="139" t="s">
        <v>67</v>
      </c>
      <c r="AD20" s="139" t="s">
        <v>423</v>
      </c>
      <c r="AE20" s="139" t="s">
        <v>2161</v>
      </c>
      <c r="AF20" s="139" t="s">
        <v>2067</v>
      </c>
      <c r="AG20" s="139"/>
      <c r="AH20" s="139" t="s">
        <v>67</v>
      </c>
      <c r="AI20" s="139" t="s">
        <v>423</v>
      </c>
      <c r="AJ20" s="139" t="s">
        <v>423</v>
      </c>
      <c r="AK20" s="139" t="s">
        <v>423</v>
      </c>
      <c r="AL20" s="139" t="s">
        <v>423</v>
      </c>
      <c r="AM20" s="141" t="s">
        <v>2034</v>
      </c>
      <c r="AN20" s="143" t="s">
        <v>2162</v>
      </c>
      <c r="AO20" s="139" t="s">
        <v>2020</v>
      </c>
      <c r="AP20" s="139"/>
      <c r="AQ20" s="139" t="s">
        <v>2036</v>
      </c>
      <c r="AR20" s="144" t="s">
        <v>2022</v>
      </c>
    </row>
    <row r="21" ht="15.75" customHeight="1">
      <c r="A21" s="138"/>
      <c r="B21" s="139" t="s">
        <v>1979</v>
      </c>
      <c r="C21" s="140" t="s">
        <v>2012</v>
      </c>
      <c r="D21" s="31" t="s">
        <v>2163</v>
      </c>
      <c r="E21" s="31" t="str">
        <f>IFERROR(__xludf.DUMMYFUNCTION("IF(ISBLANK(D21), """", GOOGLETRANSLATE(D21, ""es"", ""en""))"),"Publication date")</f>
        <v>Publication date</v>
      </c>
      <c r="G21" s="141">
        <v>379445.0</v>
      </c>
      <c r="H21" s="139" t="s">
        <v>2164</v>
      </c>
      <c r="I21" s="141">
        <v>5.0</v>
      </c>
      <c r="J21" s="139" t="s">
        <v>2025</v>
      </c>
      <c r="K21" s="139" t="s">
        <v>2165</v>
      </c>
      <c r="L21" s="139" t="s">
        <v>2007</v>
      </c>
      <c r="M21" s="139" t="s">
        <v>2008</v>
      </c>
      <c r="N21" s="139" t="s">
        <v>2166</v>
      </c>
      <c r="O21" s="139" t="s">
        <v>2167</v>
      </c>
      <c r="P21" s="139" t="s">
        <v>1629</v>
      </c>
      <c r="Q21" s="139" t="s">
        <v>2011</v>
      </c>
      <c r="R21" s="139" t="s">
        <v>1669</v>
      </c>
      <c r="S21" s="141">
        <v>1.6318E8</v>
      </c>
      <c r="T21" s="141" t="s">
        <v>2168</v>
      </c>
      <c r="U21" s="142">
        <v>44722.833333333336</v>
      </c>
      <c r="V21" s="142">
        <v>44844.625</v>
      </c>
      <c r="W21" s="142">
        <v>44844.645833333336</v>
      </c>
      <c r="X21" s="141" t="s">
        <v>2169</v>
      </c>
      <c r="Y21" s="141" t="s">
        <v>2170</v>
      </c>
      <c r="Z21" s="141" t="s">
        <v>2171</v>
      </c>
      <c r="AA21" s="139" t="s">
        <v>423</v>
      </c>
      <c r="AB21" s="139" t="s">
        <v>423</v>
      </c>
      <c r="AC21" s="139" t="s">
        <v>423</v>
      </c>
      <c r="AD21" s="139" t="s">
        <v>423</v>
      </c>
      <c r="AE21" s="139" t="s">
        <v>2091</v>
      </c>
      <c r="AF21" s="139" t="s">
        <v>2017</v>
      </c>
      <c r="AG21" s="139"/>
      <c r="AH21" s="139" t="s">
        <v>423</v>
      </c>
      <c r="AI21" s="139" t="s">
        <v>423</v>
      </c>
      <c r="AJ21" s="139" t="s">
        <v>423</v>
      </c>
      <c r="AK21" s="139" t="s">
        <v>423</v>
      </c>
      <c r="AL21" s="139" t="s">
        <v>423</v>
      </c>
      <c r="AM21" s="141" t="s">
        <v>2034</v>
      </c>
      <c r="AN21" s="143" t="s">
        <v>2172</v>
      </c>
      <c r="AO21" s="139" t="s">
        <v>2020</v>
      </c>
      <c r="AP21" s="139"/>
      <c r="AQ21" s="139" t="s">
        <v>2036</v>
      </c>
      <c r="AR21" s="144" t="s">
        <v>2022</v>
      </c>
    </row>
    <row r="22" ht="15.75" customHeight="1">
      <c r="A22" s="138"/>
      <c r="B22" s="139" t="s">
        <v>1980</v>
      </c>
      <c r="C22" s="140" t="s">
        <v>2013</v>
      </c>
      <c r="D22" s="31" t="s">
        <v>2173</v>
      </c>
      <c r="E22" s="31" t="str">
        <f>IFERROR(__xludf.DUMMYFUNCTION("IF(ISBLANK(D22), """", GOOGLETRANSLATE(D22, ""es"", ""en""))"),"Amendment Date")</f>
        <v>Amendment Date</v>
      </c>
      <c r="G22" s="141">
        <v>379360.0</v>
      </c>
      <c r="H22" s="139" t="s">
        <v>2174</v>
      </c>
      <c r="I22" s="141">
        <v>1154.0</v>
      </c>
      <c r="J22" s="139" t="s">
        <v>2071</v>
      </c>
      <c r="K22" s="139" t="s">
        <v>2175</v>
      </c>
      <c r="L22" s="139" t="s">
        <v>2007</v>
      </c>
      <c r="M22" s="139" t="s">
        <v>2008</v>
      </c>
      <c r="N22" s="139" t="s">
        <v>2176</v>
      </c>
      <c r="O22" s="139" t="s">
        <v>2176</v>
      </c>
      <c r="P22" s="139" t="s">
        <v>1629</v>
      </c>
      <c r="Q22" s="139" t="s">
        <v>2011</v>
      </c>
      <c r="R22" s="139" t="s">
        <v>1669</v>
      </c>
      <c r="S22" s="141">
        <v>5697505.0</v>
      </c>
      <c r="T22" s="141" t="s">
        <v>2177</v>
      </c>
      <c r="U22" s="142">
        <v>44844.916666666664</v>
      </c>
      <c r="V22" s="142">
        <v>44875.666666666664</v>
      </c>
      <c r="W22" s="142">
        <v>44875.708333333336</v>
      </c>
      <c r="X22" s="141" t="s">
        <v>2178</v>
      </c>
      <c r="Y22" s="141" t="s">
        <v>2179</v>
      </c>
      <c r="Z22" s="141" t="s">
        <v>2180</v>
      </c>
      <c r="AA22" s="139" t="s">
        <v>423</v>
      </c>
      <c r="AB22" s="139" t="s">
        <v>423</v>
      </c>
      <c r="AC22" s="139" t="s">
        <v>423</v>
      </c>
      <c r="AD22" s="139" t="s">
        <v>423</v>
      </c>
      <c r="AE22" s="139" t="s">
        <v>2079</v>
      </c>
      <c r="AF22" s="139" t="s">
        <v>2181</v>
      </c>
      <c r="AG22" s="139" t="s">
        <v>2181</v>
      </c>
      <c r="AH22" s="139" t="s">
        <v>67</v>
      </c>
      <c r="AI22" s="139" t="s">
        <v>423</v>
      </c>
      <c r="AJ22" s="139" t="s">
        <v>423</v>
      </c>
      <c r="AK22" s="139" t="s">
        <v>423</v>
      </c>
      <c r="AL22" s="139" t="s">
        <v>423</v>
      </c>
      <c r="AM22" s="141" t="s">
        <v>2034</v>
      </c>
      <c r="AN22" s="143" t="s">
        <v>2182</v>
      </c>
      <c r="AO22" s="139" t="s">
        <v>2020</v>
      </c>
      <c r="AP22" s="139"/>
      <c r="AQ22" s="139" t="s">
        <v>2036</v>
      </c>
      <c r="AR22" s="144" t="s">
        <v>2022</v>
      </c>
    </row>
    <row r="23" ht="15.75" customHeight="1">
      <c r="A23" s="138"/>
      <c r="B23" s="139" t="s">
        <v>1981</v>
      </c>
      <c r="C23" s="145">
        <v>44600.583333333336</v>
      </c>
      <c r="D23" s="31" t="s">
        <v>2183</v>
      </c>
      <c r="E23" s="31" t="str">
        <f>IFERROR(__xludf.DUMMYFUNCTION("IF(ISBLANK(D23), """", GOOGLETRANSLATE(D23, ""es"", ""en""))"),"End Date of Reception of Offers")</f>
        <v>End Date of Reception of Offers</v>
      </c>
      <c r="G23" s="141">
        <v>377015.0</v>
      </c>
      <c r="H23" s="139" t="s">
        <v>2184</v>
      </c>
      <c r="I23" s="141">
        <v>1154.0</v>
      </c>
      <c r="J23" s="139" t="s">
        <v>2071</v>
      </c>
      <c r="K23" s="139" t="s">
        <v>2185</v>
      </c>
      <c r="L23" s="139" t="s">
        <v>2007</v>
      </c>
      <c r="M23" s="139" t="s">
        <v>2008</v>
      </c>
      <c r="N23" s="139" t="s">
        <v>2186</v>
      </c>
      <c r="O23" s="139" t="s">
        <v>2186</v>
      </c>
      <c r="P23" s="139" t="s">
        <v>1629</v>
      </c>
      <c r="Q23" s="139" t="s">
        <v>2011</v>
      </c>
      <c r="R23" s="139" t="s">
        <v>1669</v>
      </c>
      <c r="S23" s="141">
        <v>1.371232303E9</v>
      </c>
      <c r="T23" s="141" t="s">
        <v>2187</v>
      </c>
      <c r="U23" s="141" t="s">
        <v>2188</v>
      </c>
      <c r="V23" s="141" t="s">
        <v>2189</v>
      </c>
      <c r="W23" s="141" t="s">
        <v>2190</v>
      </c>
      <c r="X23" s="142">
        <v>44691.915972222225</v>
      </c>
      <c r="Y23" s="142">
        <v>44752.915972222225</v>
      </c>
      <c r="Z23" s="142">
        <v>44691.916666666664</v>
      </c>
      <c r="AA23" s="139" t="s">
        <v>423</v>
      </c>
      <c r="AB23" s="139" t="s">
        <v>423</v>
      </c>
      <c r="AC23" s="139" t="s">
        <v>67</v>
      </c>
      <c r="AD23" s="139" t="s">
        <v>423</v>
      </c>
      <c r="AE23" s="139" t="s">
        <v>2079</v>
      </c>
      <c r="AF23" s="139" t="s">
        <v>2067</v>
      </c>
      <c r="AG23" s="139"/>
      <c r="AH23" s="139" t="s">
        <v>67</v>
      </c>
      <c r="AI23" s="139" t="s">
        <v>423</v>
      </c>
      <c r="AJ23" s="139" t="s">
        <v>423</v>
      </c>
      <c r="AK23" s="139" t="s">
        <v>423</v>
      </c>
      <c r="AL23" s="139" t="s">
        <v>423</v>
      </c>
      <c r="AM23" s="141" t="s">
        <v>2034</v>
      </c>
      <c r="AN23" s="143" t="s">
        <v>2191</v>
      </c>
      <c r="AO23" s="139" t="s">
        <v>2020</v>
      </c>
      <c r="AP23" s="139"/>
      <c r="AQ23" s="139" t="s">
        <v>2036</v>
      </c>
      <c r="AR23" s="144" t="s">
        <v>2022</v>
      </c>
    </row>
    <row r="24" ht="15.75" customHeight="1">
      <c r="A24" s="138"/>
      <c r="B24" s="139" t="s">
        <v>1982</v>
      </c>
      <c r="C24" s="145">
        <v>44600.604166666664</v>
      </c>
      <c r="D24" s="31" t="s">
        <v>2192</v>
      </c>
      <c r="E24" s="31" t="str">
        <f>IFERROR(__xludf.DUMMYFUNCTION("IF(ISBLANK(D24), """", GOOGLETRANSLATE(D24, ""es"", ""en""))"),"Bid Opening Date")</f>
        <v>Bid Opening Date</v>
      </c>
      <c r="G24" s="141">
        <v>381870.0</v>
      </c>
      <c r="H24" s="139" t="s">
        <v>2193</v>
      </c>
      <c r="I24" s="141">
        <v>5.0</v>
      </c>
      <c r="J24" s="139" t="s">
        <v>2025</v>
      </c>
      <c r="K24" s="139" t="s">
        <v>2194</v>
      </c>
      <c r="L24" s="139" t="s">
        <v>2007</v>
      </c>
      <c r="M24" s="139" t="s">
        <v>2008</v>
      </c>
      <c r="N24" s="139" t="s">
        <v>2195</v>
      </c>
      <c r="O24" s="139" t="s">
        <v>2196</v>
      </c>
      <c r="P24" s="139" t="s">
        <v>1629</v>
      </c>
      <c r="Q24" s="139" t="s">
        <v>2011</v>
      </c>
      <c r="R24" s="139" t="s">
        <v>1669</v>
      </c>
      <c r="S24" s="141">
        <v>3.0E7</v>
      </c>
      <c r="T24" s="141" t="s">
        <v>2197</v>
      </c>
      <c r="U24" s="141" t="s">
        <v>2198</v>
      </c>
      <c r="V24" s="141" t="s">
        <v>2199</v>
      </c>
      <c r="W24" s="141" t="s">
        <v>2077</v>
      </c>
      <c r="X24" s="142">
        <v>44603.875</v>
      </c>
      <c r="Y24" s="142">
        <v>44784.833333333336</v>
      </c>
      <c r="Z24" s="142">
        <v>44631.875</v>
      </c>
      <c r="AA24" s="139" t="s">
        <v>423</v>
      </c>
      <c r="AB24" s="139" t="s">
        <v>423</v>
      </c>
      <c r="AC24" s="139" t="s">
        <v>423</v>
      </c>
      <c r="AD24" s="139" t="s">
        <v>423</v>
      </c>
      <c r="AE24" s="139" t="s">
        <v>2091</v>
      </c>
      <c r="AF24" s="139" t="s">
        <v>2017</v>
      </c>
      <c r="AG24" s="139"/>
      <c r="AH24" s="139" t="s">
        <v>423</v>
      </c>
      <c r="AI24" s="139" t="s">
        <v>423</v>
      </c>
      <c r="AJ24" s="139" t="s">
        <v>423</v>
      </c>
      <c r="AK24" s="139" t="s">
        <v>423</v>
      </c>
      <c r="AL24" s="139" t="s">
        <v>423</v>
      </c>
      <c r="AM24" s="141" t="s">
        <v>2034</v>
      </c>
      <c r="AN24" s="143" t="s">
        <v>2200</v>
      </c>
      <c r="AO24" s="139" t="s">
        <v>2020</v>
      </c>
      <c r="AP24" s="139"/>
      <c r="AQ24" s="139" t="s">
        <v>2036</v>
      </c>
      <c r="AR24" s="144" t="s">
        <v>2022</v>
      </c>
    </row>
    <row r="25" ht="15.75" customHeight="1">
      <c r="A25" s="138"/>
      <c r="B25" s="139" t="s">
        <v>1983</v>
      </c>
      <c r="C25" s="145">
        <v>44903.916666666664</v>
      </c>
      <c r="D25" s="31" t="s">
        <v>2201</v>
      </c>
      <c r="E25" s="31" t="str">
        <f>IFERROR(__xludf.DUMMYFUNCTION("IF(ISBLANK(D25), """", GOOGLETRANSLATE(D25, ""es"", ""en""))"),"Estimated Award Date")</f>
        <v>Estimated Award Date</v>
      </c>
      <c r="G25" s="141">
        <v>382111.0</v>
      </c>
      <c r="H25" s="139" t="s">
        <v>2202</v>
      </c>
      <c r="I25" s="141">
        <v>904.0</v>
      </c>
      <c r="J25" s="139" t="s">
        <v>2105</v>
      </c>
      <c r="K25" s="139" t="s">
        <v>2203</v>
      </c>
      <c r="L25" s="139" t="s">
        <v>2007</v>
      </c>
      <c r="M25" s="139" t="s">
        <v>2008</v>
      </c>
      <c r="N25" s="139" t="s">
        <v>2204</v>
      </c>
      <c r="O25" s="139" t="s">
        <v>2205</v>
      </c>
      <c r="P25" s="139" t="s">
        <v>1629</v>
      </c>
      <c r="Q25" s="139" t="s">
        <v>2011</v>
      </c>
      <c r="R25" s="139" t="s">
        <v>1669</v>
      </c>
      <c r="S25" s="141" t="s">
        <v>2206</v>
      </c>
      <c r="T25" s="141" t="s">
        <v>2207</v>
      </c>
      <c r="U25" s="141" t="s">
        <v>2208</v>
      </c>
      <c r="V25" s="141" t="s">
        <v>2209</v>
      </c>
      <c r="W25" s="141" t="s">
        <v>2078</v>
      </c>
      <c r="X25" s="141" t="s">
        <v>2210</v>
      </c>
      <c r="Y25" s="141" t="s">
        <v>2211</v>
      </c>
      <c r="Z25" s="141" t="s">
        <v>2212</v>
      </c>
      <c r="AA25" s="139" t="s">
        <v>423</v>
      </c>
      <c r="AB25" s="139" t="s">
        <v>423</v>
      </c>
      <c r="AC25" s="139" t="s">
        <v>423</v>
      </c>
      <c r="AD25" s="139" t="s">
        <v>423</v>
      </c>
      <c r="AE25" s="139" t="s">
        <v>2115</v>
      </c>
      <c r="AF25" s="139" t="s">
        <v>2017</v>
      </c>
      <c r="AG25" s="139"/>
      <c r="AH25" s="139" t="s">
        <v>423</v>
      </c>
      <c r="AI25" s="139" t="s">
        <v>423</v>
      </c>
      <c r="AJ25" s="139" t="s">
        <v>423</v>
      </c>
      <c r="AK25" s="139" t="s">
        <v>423</v>
      </c>
      <c r="AL25" s="139" t="s">
        <v>423</v>
      </c>
      <c r="AM25" s="141" t="s">
        <v>2034</v>
      </c>
      <c r="AN25" s="143" t="s">
        <v>2213</v>
      </c>
      <c r="AO25" s="139" t="s">
        <v>2020</v>
      </c>
      <c r="AP25" s="139"/>
      <c r="AQ25" s="139" t="s">
        <v>2036</v>
      </c>
      <c r="AR25" s="144" t="s">
        <v>2022</v>
      </c>
    </row>
    <row r="26" ht="15.75" customHeight="1">
      <c r="A26" s="138"/>
      <c r="B26" s="139" t="s">
        <v>1984</v>
      </c>
      <c r="C26" s="140" t="s">
        <v>2014</v>
      </c>
      <c r="D26" s="31" t="s">
        <v>2214</v>
      </c>
      <c r="E26" s="31" t="str">
        <f>IFERROR(__xludf.DUMMYFUNCTION("IF(ISBLANK(D26), """", GOOGLETRANSLATE(D26, ""es"", ""en""))"),"Subscription Date")</f>
        <v>Subscription Date</v>
      </c>
      <c r="G26" s="141">
        <v>382132.0</v>
      </c>
      <c r="H26" s="139" t="s">
        <v>2215</v>
      </c>
      <c r="I26" s="141">
        <v>887.0</v>
      </c>
      <c r="J26" s="139" t="s">
        <v>2216</v>
      </c>
      <c r="K26" s="139" t="s">
        <v>2217</v>
      </c>
      <c r="L26" s="139" t="s">
        <v>2007</v>
      </c>
      <c r="M26" s="139" t="s">
        <v>2008</v>
      </c>
      <c r="N26" s="139" t="s">
        <v>2218</v>
      </c>
      <c r="O26" s="139" t="s">
        <v>2219</v>
      </c>
      <c r="P26" s="139" t="s">
        <v>1629</v>
      </c>
      <c r="Q26" s="139" t="s">
        <v>2011</v>
      </c>
      <c r="R26" s="139" t="s">
        <v>1669</v>
      </c>
      <c r="S26" s="141">
        <v>2.4754785E7</v>
      </c>
      <c r="T26" s="141" t="s">
        <v>2220</v>
      </c>
      <c r="U26" s="141" t="s">
        <v>2031</v>
      </c>
      <c r="V26" s="141" t="s">
        <v>2221</v>
      </c>
      <c r="W26" s="141" t="s">
        <v>2222</v>
      </c>
      <c r="X26" s="142">
        <v>44603.875</v>
      </c>
      <c r="Y26" s="142">
        <v>44662.875</v>
      </c>
      <c r="Z26" s="142">
        <v>44631.875</v>
      </c>
      <c r="AA26" s="139" t="s">
        <v>423</v>
      </c>
      <c r="AB26" s="139" t="s">
        <v>423</v>
      </c>
      <c r="AC26" s="139" t="s">
        <v>423</v>
      </c>
      <c r="AD26" s="139" t="s">
        <v>423</v>
      </c>
      <c r="AE26" s="139" t="s">
        <v>2223</v>
      </c>
      <c r="AF26" s="139" t="s">
        <v>2017</v>
      </c>
      <c r="AG26" s="139"/>
      <c r="AH26" s="139" t="s">
        <v>423</v>
      </c>
      <c r="AI26" s="139" t="s">
        <v>423</v>
      </c>
      <c r="AJ26" s="139" t="s">
        <v>423</v>
      </c>
      <c r="AK26" s="139" t="s">
        <v>423</v>
      </c>
      <c r="AL26" s="139" t="s">
        <v>423</v>
      </c>
      <c r="AM26" s="141" t="s">
        <v>2034</v>
      </c>
      <c r="AN26" s="143" t="s">
        <v>2224</v>
      </c>
      <c r="AO26" s="139" t="s">
        <v>2020</v>
      </c>
      <c r="AP26" s="139"/>
      <c r="AQ26" s="139" t="s">
        <v>2036</v>
      </c>
      <c r="AR26" s="144" t="s">
        <v>2022</v>
      </c>
    </row>
    <row r="27" ht="15.75" customHeight="1">
      <c r="A27" s="138"/>
      <c r="B27" s="139" t="s">
        <v>1985</v>
      </c>
      <c r="C27" s="140" t="s">
        <v>2015</v>
      </c>
      <c r="D27" s="31" t="s">
        <v>2225</v>
      </c>
      <c r="E27" s="31" t="str">
        <f>IFERROR(__xludf.DUMMYFUNCTION("IF(ISBLANK(D27), """", GOOGLETRANSLATE(D27, ""es"", ""en""))"),"Bidder Qualification Date")</f>
        <v>Bidder Qualification Date</v>
      </c>
      <c r="G27" s="141">
        <v>377047.0</v>
      </c>
      <c r="H27" s="139" t="s">
        <v>2226</v>
      </c>
      <c r="I27" s="141">
        <v>582.0</v>
      </c>
      <c r="J27" s="139" t="s">
        <v>2227</v>
      </c>
      <c r="K27" s="139" t="s">
        <v>2228</v>
      </c>
      <c r="L27" s="139" t="s">
        <v>2007</v>
      </c>
      <c r="M27" s="139" t="s">
        <v>2008</v>
      </c>
      <c r="N27" s="139" t="s">
        <v>2229</v>
      </c>
      <c r="O27" s="139" t="s">
        <v>2229</v>
      </c>
      <c r="P27" s="139" t="s">
        <v>1629</v>
      </c>
      <c r="Q27" s="139" t="s">
        <v>2011</v>
      </c>
      <c r="R27" s="139" t="s">
        <v>1669</v>
      </c>
      <c r="S27" s="141">
        <v>5.86738446E8</v>
      </c>
      <c r="T27" s="141" t="s">
        <v>2230</v>
      </c>
      <c r="U27" s="142">
        <v>44691.75</v>
      </c>
      <c r="V27" s="142">
        <v>44752.583333333336</v>
      </c>
      <c r="W27" s="142">
        <v>44752.586805555555</v>
      </c>
      <c r="X27" s="141" t="s">
        <v>2032</v>
      </c>
      <c r="Y27" s="141" t="s">
        <v>2231</v>
      </c>
      <c r="Z27" s="141" t="s">
        <v>2232</v>
      </c>
      <c r="AA27" s="139" t="s">
        <v>423</v>
      </c>
      <c r="AB27" s="139" t="s">
        <v>423</v>
      </c>
      <c r="AC27" s="139" t="s">
        <v>423</v>
      </c>
      <c r="AD27" s="139" t="s">
        <v>423</v>
      </c>
      <c r="AE27" s="139" t="s">
        <v>2233</v>
      </c>
      <c r="AF27" s="139" t="s">
        <v>2017</v>
      </c>
      <c r="AG27" s="139"/>
      <c r="AH27" s="139" t="s">
        <v>67</v>
      </c>
      <c r="AI27" s="139" t="s">
        <v>423</v>
      </c>
      <c r="AJ27" s="139" t="s">
        <v>423</v>
      </c>
      <c r="AK27" s="139" t="s">
        <v>423</v>
      </c>
      <c r="AL27" s="139" t="s">
        <v>423</v>
      </c>
      <c r="AM27" s="141" t="s">
        <v>2034</v>
      </c>
      <c r="AN27" s="143" t="s">
        <v>2234</v>
      </c>
      <c r="AO27" s="139" t="s">
        <v>2020</v>
      </c>
      <c r="AP27" s="139"/>
      <c r="AQ27" s="139" t="s">
        <v>2036</v>
      </c>
      <c r="AR27" s="144" t="s">
        <v>2022</v>
      </c>
    </row>
    <row r="28" ht="15.75" customHeight="1">
      <c r="A28" s="138"/>
      <c r="B28" s="139" t="s">
        <v>1986</v>
      </c>
      <c r="C28" s="140" t="s">
        <v>423</v>
      </c>
      <c r="D28" s="31" t="s">
        <v>2235</v>
      </c>
      <c r="E28" s="31" t="str">
        <f>IFERROR(__xludf.DUMMYFUNCTION("IF(ISBLANK(D28), """", GOOGLETRANSLATE(D28, ""es"", ""en""))"),"Aimed at Micro, Small and Medium Enterprises (YES / NO)")</f>
        <v>Aimed at Micro, Small and Medium Enterprises (YES / NO)</v>
      </c>
      <c r="G28" s="141">
        <v>382131.0</v>
      </c>
      <c r="H28" s="139" t="s">
        <v>2236</v>
      </c>
      <c r="I28" s="141">
        <v>887.0</v>
      </c>
      <c r="J28" s="139" t="s">
        <v>2216</v>
      </c>
      <c r="K28" s="139" t="s">
        <v>2237</v>
      </c>
      <c r="L28" s="139" t="s">
        <v>2007</v>
      </c>
      <c r="M28" s="139" t="s">
        <v>2008</v>
      </c>
      <c r="N28" s="139" t="s">
        <v>2238</v>
      </c>
      <c r="O28" s="139" t="s">
        <v>2239</v>
      </c>
      <c r="P28" s="139" t="s">
        <v>1629</v>
      </c>
      <c r="Q28" s="139" t="s">
        <v>2011</v>
      </c>
      <c r="R28" s="139" t="s">
        <v>1669</v>
      </c>
      <c r="S28" s="141" t="s">
        <v>2240</v>
      </c>
      <c r="T28" s="141" t="s">
        <v>2241</v>
      </c>
      <c r="U28" s="141" t="s">
        <v>2031</v>
      </c>
      <c r="V28" s="141" t="s">
        <v>2221</v>
      </c>
      <c r="W28" s="141" t="s">
        <v>2222</v>
      </c>
      <c r="X28" s="142">
        <v>44603.875</v>
      </c>
      <c r="Y28" s="142">
        <v>44662.875</v>
      </c>
      <c r="Z28" s="142">
        <v>44631.875</v>
      </c>
      <c r="AA28" s="139" t="s">
        <v>423</v>
      </c>
      <c r="AB28" s="139" t="s">
        <v>423</v>
      </c>
      <c r="AC28" s="139" t="s">
        <v>423</v>
      </c>
      <c r="AD28" s="139" t="s">
        <v>423</v>
      </c>
      <c r="AE28" s="139" t="s">
        <v>2242</v>
      </c>
      <c r="AF28" s="139" t="s">
        <v>2017</v>
      </c>
      <c r="AG28" s="139"/>
      <c r="AH28" s="139" t="s">
        <v>67</v>
      </c>
      <c r="AI28" s="139" t="s">
        <v>423</v>
      </c>
      <c r="AJ28" s="139" t="s">
        <v>423</v>
      </c>
      <c r="AK28" s="139" t="s">
        <v>423</v>
      </c>
      <c r="AL28" s="139" t="s">
        <v>423</v>
      </c>
      <c r="AM28" s="141" t="s">
        <v>2243</v>
      </c>
      <c r="AN28" s="143" t="s">
        <v>2244</v>
      </c>
      <c r="AO28" s="139" t="s">
        <v>2020</v>
      </c>
      <c r="AP28" s="139"/>
      <c r="AQ28" s="139" t="s">
        <v>2036</v>
      </c>
      <c r="AR28" s="144" t="s">
        <v>2022</v>
      </c>
    </row>
    <row r="29" ht="15.75" customHeight="1">
      <c r="A29" s="138"/>
      <c r="B29" s="139" t="s">
        <v>1987</v>
      </c>
      <c r="C29" s="140" t="s">
        <v>423</v>
      </c>
      <c r="D29" s="31" t="s">
        <v>2245</v>
      </c>
      <c r="E29" s="31" t="str">
        <f>IFERROR(__xludf.DUMMYFUNCTION("IF(ISBLANK(D29), """", GOOGLETRANSLATE(D29, ""es"", ""en""))"),"Aimed at Micro, Small and Medium Enterprises for women (YES / NO)")</f>
        <v>Aimed at Micro, Small and Medium Enterprises for women (YES / NO)</v>
      </c>
      <c r="G29" s="141">
        <v>381914.0</v>
      </c>
      <c r="H29" s="139" t="s">
        <v>2246</v>
      </c>
      <c r="I29" s="141">
        <v>612.0</v>
      </c>
      <c r="J29" s="139" t="s">
        <v>2247</v>
      </c>
      <c r="K29" s="139" t="s">
        <v>2248</v>
      </c>
      <c r="L29" s="139" t="s">
        <v>2007</v>
      </c>
      <c r="M29" s="139" t="s">
        <v>2008</v>
      </c>
      <c r="N29" s="139" t="s">
        <v>2249</v>
      </c>
      <c r="O29" s="139" t="s">
        <v>2249</v>
      </c>
      <c r="P29" s="139" t="s">
        <v>1629</v>
      </c>
      <c r="Q29" s="139" t="s">
        <v>2011</v>
      </c>
      <c r="R29" s="139" t="s">
        <v>1669</v>
      </c>
      <c r="S29" s="141">
        <v>3.8631048E7</v>
      </c>
      <c r="T29" s="141" t="s">
        <v>2250</v>
      </c>
      <c r="U29" s="141" t="s">
        <v>2251</v>
      </c>
      <c r="V29" s="141" t="s">
        <v>2155</v>
      </c>
      <c r="W29" s="141" t="s">
        <v>2156</v>
      </c>
      <c r="X29" s="142">
        <v>44603.666666666664</v>
      </c>
      <c r="Y29" s="142">
        <v>44784.833333333336</v>
      </c>
      <c r="Z29" s="142">
        <v>44631.833333333336</v>
      </c>
      <c r="AA29" s="139" t="s">
        <v>423</v>
      </c>
      <c r="AB29" s="139" t="s">
        <v>423</v>
      </c>
      <c r="AC29" s="139" t="s">
        <v>423</v>
      </c>
      <c r="AD29" s="139" t="s">
        <v>423</v>
      </c>
      <c r="AE29" s="139" t="s">
        <v>2252</v>
      </c>
      <c r="AF29" s="139" t="s">
        <v>2017</v>
      </c>
      <c r="AG29" s="139"/>
      <c r="AH29" s="139" t="s">
        <v>67</v>
      </c>
      <c r="AI29" s="139" t="s">
        <v>423</v>
      </c>
      <c r="AJ29" s="139" t="s">
        <v>423</v>
      </c>
      <c r="AK29" s="139" t="s">
        <v>423</v>
      </c>
      <c r="AL29" s="139" t="s">
        <v>423</v>
      </c>
      <c r="AM29" s="141" t="s">
        <v>2253</v>
      </c>
      <c r="AN29" s="143" t="s">
        <v>2254</v>
      </c>
      <c r="AO29" s="139" t="s">
        <v>2020</v>
      </c>
      <c r="AP29" s="139"/>
      <c r="AQ29" s="139" t="s">
        <v>2036</v>
      </c>
      <c r="AR29" s="144" t="s">
        <v>2022</v>
      </c>
    </row>
    <row r="30" ht="15.75" customHeight="1">
      <c r="A30" s="138"/>
      <c r="B30" s="139" t="s">
        <v>1988</v>
      </c>
      <c r="C30" s="140" t="s">
        <v>423</v>
      </c>
      <c r="D30" s="31" t="s">
        <v>2255</v>
      </c>
      <c r="E30" s="31" t="str">
        <f>IFERROR(__xludf.DUMMYFUNCTION("IF(ISBLANK(D30), """", GOOGLETRANSLATE(D30, ""es"", ""en""))"),"Batch process (YES / NO)")</f>
        <v>Batch process (YES / NO)</v>
      </c>
      <c r="G30" s="141">
        <v>377028.0</v>
      </c>
      <c r="H30" s="139" t="s">
        <v>2256</v>
      </c>
      <c r="I30" s="141">
        <v>209.0</v>
      </c>
      <c r="J30" s="139" t="s">
        <v>2257</v>
      </c>
      <c r="K30" s="139" t="s">
        <v>2258</v>
      </c>
      <c r="L30" s="139" t="s">
        <v>2007</v>
      </c>
      <c r="M30" s="139" t="s">
        <v>2008</v>
      </c>
      <c r="N30" s="139" t="s">
        <v>2259</v>
      </c>
      <c r="O30" s="139" t="s">
        <v>2259</v>
      </c>
      <c r="P30" s="139" t="s">
        <v>1629</v>
      </c>
      <c r="Q30" s="139" t="s">
        <v>2011</v>
      </c>
      <c r="R30" s="139" t="s">
        <v>1669</v>
      </c>
      <c r="S30" s="141">
        <v>1.59184125E8</v>
      </c>
      <c r="T30" s="141" t="s">
        <v>2260</v>
      </c>
      <c r="U30" s="141" t="s">
        <v>2261</v>
      </c>
      <c r="V30" s="141" t="s">
        <v>2262</v>
      </c>
      <c r="W30" s="141" t="s">
        <v>2263</v>
      </c>
      <c r="X30" s="142">
        <v>44630.583333333336</v>
      </c>
      <c r="Y30" s="142">
        <v>44630.75</v>
      </c>
      <c r="Z30" s="142">
        <v>44630.708333333336</v>
      </c>
      <c r="AA30" s="139" t="s">
        <v>423</v>
      </c>
      <c r="AB30" s="139" t="s">
        <v>423</v>
      </c>
      <c r="AC30" s="139" t="s">
        <v>67</v>
      </c>
      <c r="AD30" s="139" t="s">
        <v>423</v>
      </c>
      <c r="AE30" s="139" t="s">
        <v>2264</v>
      </c>
      <c r="AF30" s="139" t="s">
        <v>2017</v>
      </c>
      <c r="AG30" s="139"/>
      <c r="AH30" s="139" t="s">
        <v>67</v>
      </c>
      <c r="AI30" s="139" t="s">
        <v>423</v>
      </c>
      <c r="AJ30" s="139" t="s">
        <v>423</v>
      </c>
      <c r="AK30" s="139" t="s">
        <v>423</v>
      </c>
      <c r="AL30" s="139" t="s">
        <v>423</v>
      </c>
      <c r="AM30" s="141" t="s">
        <v>2034</v>
      </c>
      <c r="AN30" s="143" t="s">
        <v>2265</v>
      </c>
      <c r="AO30" s="139" t="s">
        <v>2020</v>
      </c>
      <c r="AP30" s="139"/>
      <c r="AQ30" s="139" t="s">
        <v>2036</v>
      </c>
      <c r="AR30" s="144" t="s">
        <v>2022</v>
      </c>
    </row>
    <row r="31" ht="15.75" customHeight="1">
      <c r="A31" s="138"/>
      <c r="B31" s="139" t="s">
        <v>1989</v>
      </c>
      <c r="C31" s="140" t="s">
        <v>423</v>
      </c>
      <c r="D31" s="31" t="s">
        <v>2266</v>
      </c>
      <c r="E31" s="31" t="str">
        <f>IFERROR(__xludf.DUMMYFUNCTION("IF(ISBLANK(D31), """", GOOGLETRANSLATE(D31, ""es"", ""en""))"),"Planned acquisition (YES / NO)")</f>
        <v>Planned acquisition (YES / NO)</v>
      </c>
      <c r="G31" s="141">
        <v>382130.0</v>
      </c>
      <c r="H31" s="139" t="s">
        <v>2267</v>
      </c>
      <c r="I31" s="141">
        <v>134.0</v>
      </c>
      <c r="J31" s="139" t="s">
        <v>2050</v>
      </c>
      <c r="K31" s="139" t="s">
        <v>2268</v>
      </c>
      <c r="L31" s="139" t="s">
        <v>2007</v>
      </c>
      <c r="M31" s="139" t="s">
        <v>2008</v>
      </c>
      <c r="N31" s="139" t="s">
        <v>2269</v>
      </c>
      <c r="O31" s="139" t="s">
        <v>2269</v>
      </c>
      <c r="P31" s="139" t="s">
        <v>1629</v>
      </c>
      <c r="Q31" s="139" t="s">
        <v>2011</v>
      </c>
      <c r="R31" s="139" t="s">
        <v>1669</v>
      </c>
      <c r="S31" s="141">
        <v>1.0056E8</v>
      </c>
      <c r="T31" s="141" t="s">
        <v>2270</v>
      </c>
      <c r="U31" s="141" t="s">
        <v>2054</v>
      </c>
      <c r="V31" s="141" t="s">
        <v>2271</v>
      </c>
      <c r="W31" s="141" t="s">
        <v>2272</v>
      </c>
      <c r="X31" s="142">
        <v>44845.583333333336</v>
      </c>
      <c r="Y31" s="141" t="s">
        <v>2273</v>
      </c>
      <c r="Z31" s="142">
        <v>44845.875</v>
      </c>
      <c r="AA31" s="139" t="s">
        <v>423</v>
      </c>
      <c r="AB31" s="139" t="s">
        <v>423</v>
      </c>
      <c r="AC31" s="139" t="s">
        <v>67</v>
      </c>
      <c r="AD31" s="139" t="s">
        <v>423</v>
      </c>
      <c r="AE31" s="139" t="s">
        <v>2033</v>
      </c>
      <c r="AF31" s="139" t="s">
        <v>2017</v>
      </c>
      <c r="AG31" s="139"/>
      <c r="AH31" s="139" t="s">
        <v>423</v>
      </c>
      <c r="AI31" s="139" t="s">
        <v>423</v>
      </c>
      <c r="AJ31" s="139" t="s">
        <v>423</v>
      </c>
      <c r="AK31" s="139" t="s">
        <v>423</v>
      </c>
      <c r="AL31" s="139" t="s">
        <v>423</v>
      </c>
      <c r="AM31" s="141" t="s">
        <v>2034</v>
      </c>
      <c r="AN31" s="143" t="s">
        <v>2274</v>
      </c>
      <c r="AO31" s="139" t="s">
        <v>2020</v>
      </c>
      <c r="AP31" s="139"/>
      <c r="AQ31" s="139" t="s">
        <v>2036</v>
      </c>
      <c r="AR31" s="144" t="s">
        <v>2022</v>
      </c>
    </row>
    <row r="32" ht="15.75" customHeight="1">
      <c r="A32" s="138"/>
      <c r="B32" s="139" t="s">
        <v>1990</v>
      </c>
      <c r="C32" s="140" t="s">
        <v>2016</v>
      </c>
      <c r="D32" s="31"/>
      <c r="E32" s="31" t="str">
        <f>IFERROR(__xludf.DUMMYFUNCTION("IF(ISBLANK(D32), """", GOOGLETRANSLATE(D32, ""es"", ""en""))"),"")</f>
        <v/>
      </c>
      <c r="G32" s="141">
        <v>382080.0</v>
      </c>
      <c r="H32" s="139" t="s">
        <v>2275</v>
      </c>
      <c r="I32" s="141">
        <v>904.0</v>
      </c>
      <c r="J32" s="139" t="s">
        <v>2105</v>
      </c>
      <c r="K32" s="139" t="s">
        <v>2276</v>
      </c>
      <c r="L32" s="139" t="s">
        <v>2007</v>
      </c>
      <c r="M32" s="139" t="s">
        <v>2008</v>
      </c>
      <c r="N32" s="139" t="s">
        <v>2277</v>
      </c>
      <c r="O32" s="139" t="s">
        <v>2277</v>
      </c>
      <c r="P32" s="139" t="s">
        <v>1629</v>
      </c>
      <c r="Q32" s="139" t="s">
        <v>2011</v>
      </c>
      <c r="R32" s="139" t="s">
        <v>1669</v>
      </c>
      <c r="S32" s="141">
        <v>3381974.0</v>
      </c>
      <c r="T32" s="141" t="s">
        <v>2278</v>
      </c>
      <c r="U32" s="141" t="s">
        <v>2279</v>
      </c>
      <c r="V32" s="141" t="s">
        <v>2280</v>
      </c>
      <c r="W32" s="141" t="s">
        <v>2077</v>
      </c>
      <c r="X32" s="141" t="s">
        <v>2281</v>
      </c>
      <c r="Y32" s="141" t="s">
        <v>2282</v>
      </c>
      <c r="Z32" s="141" t="s">
        <v>2283</v>
      </c>
      <c r="AA32" s="139" t="s">
        <v>423</v>
      </c>
      <c r="AB32" s="139" t="s">
        <v>423</v>
      </c>
      <c r="AC32" s="139" t="s">
        <v>423</v>
      </c>
      <c r="AD32" s="139" t="s">
        <v>423</v>
      </c>
      <c r="AE32" s="139" t="s">
        <v>2115</v>
      </c>
      <c r="AF32" s="139" t="s">
        <v>2017</v>
      </c>
      <c r="AG32" s="139"/>
      <c r="AH32" s="139" t="s">
        <v>423</v>
      </c>
      <c r="AI32" s="139" t="s">
        <v>423</v>
      </c>
      <c r="AJ32" s="139" t="s">
        <v>423</v>
      </c>
      <c r="AK32" s="139" t="s">
        <v>423</v>
      </c>
      <c r="AL32" s="139" t="s">
        <v>423</v>
      </c>
      <c r="AM32" s="141" t="s">
        <v>2034</v>
      </c>
      <c r="AN32" s="143" t="s">
        <v>2284</v>
      </c>
      <c r="AO32" s="139" t="s">
        <v>2020</v>
      </c>
      <c r="AP32" s="139"/>
      <c r="AQ32" s="139" t="s">
        <v>2036</v>
      </c>
      <c r="AR32" s="144" t="s">
        <v>2022</v>
      </c>
    </row>
    <row r="33" ht="15.75" customHeight="1">
      <c r="A33" s="138"/>
      <c r="B33" s="139" t="s">
        <v>1991</v>
      </c>
      <c r="C33" s="140" t="s">
        <v>2017</v>
      </c>
      <c r="D33" s="31" t="s">
        <v>2285</v>
      </c>
      <c r="E33" s="31" t="str">
        <f>IFERROR(__xludf.DUMMYFUNCTION("IF(ISBLANK(D33), """", GOOGLETRANSLATE(D33, ""es"", ""en""))"),"Purpose of the process")</f>
        <v>Purpose of the process</v>
      </c>
    </row>
    <row r="34" ht="15.75" customHeight="1">
      <c r="A34" s="138"/>
      <c r="B34" s="139" t="s">
        <v>1992</v>
      </c>
      <c r="C34" s="140"/>
      <c r="D34" s="31" t="s">
        <v>2286</v>
      </c>
      <c r="E34" s="31" t="str">
        <f>IFERROR(__xludf.DUMMYFUNCTION("IF(ISBLANK(D34), """", GOOGLETRANSLATE(D34, ""es"", ""en""))"),"SubObject of the process")</f>
        <v>SubObject of the process</v>
      </c>
    </row>
    <row r="35" ht="15.75" customHeight="1">
      <c r="A35" s="138"/>
      <c r="B35" s="139" t="s">
        <v>1993</v>
      </c>
      <c r="C35" s="140" t="s">
        <v>67</v>
      </c>
      <c r="D35" s="31" t="s">
        <v>2287</v>
      </c>
      <c r="E35" s="31" t="str">
        <f>IFERROR(__xludf.DUMMYFUNCTION("IF(ISBLANK(D35), """", GOOGLETRANSLATE(D35, ""es"", ""en""))"),"Presidential Decree (YES / NO)")</f>
        <v>Presidential Decree (YES / NO)</v>
      </c>
    </row>
    <row r="36" ht="15.75" customHeight="1">
      <c r="A36" s="138"/>
      <c r="B36" s="139" t="s">
        <v>1994</v>
      </c>
      <c r="C36" s="140" t="s">
        <v>423</v>
      </c>
      <c r="D36" s="31"/>
      <c r="E36" s="31" t="str">
        <f>IFERROR(__xludf.DUMMYFUNCTION("IF(ISBLANK(D36), """", GOOGLETRANSLATE(D36, ""es"", ""en""))"),"")</f>
        <v/>
      </c>
    </row>
    <row r="37" ht="15.75" customHeight="1">
      <c r="A37" s="138"/>
      <c r="B37" s="139" t="s">
        <v>1995</v>
      </c>
      <c r="C37" s="140" t="s">
        <v>423</v>
      </c>
      <c r="D37" s="31"/>
      <c r="E37" s="31" t="str">
        <f>IFERROR(__xludf.DUMMYFUNCTION("IF(ISBLANK(D37), """", GOOGLETRANSLATE(D37, ""es"", ""en""))"),"")</f>
        <v/>
      </c>
    </row>
    <row r="38" ht="15.75" customHeight="1">
      <c r="A38" s="138"/>
      <c r="B38" s="139" t="s">
        <v>1996</v>
      </c>
      <c r="C38" s="140" t="s">
        <v>423</v>
      </c>
      <c r="D38" s="31"/>
      <c r="E38" s="31" t="str">
        <f>IFERROR(__xludf.DUMMYFUNCTION("IF(ISBLANK(D38), """", GOOGLETRANSLATE(D38, ""es"", ""en""))"),"")</f>
        <v/>
      </c>
    </row>
    <row r="39" ht="15.75" customHeight="1">
      <c r="A39" s="138"/>
      <c r="B39" s="139" t="s">
        <v>1997</v>
      </c>
      <c r="C39" s="140" t="s">
        <v>423</v>
      </c>
      <c r="D39" s="31"/>
      <c r="E39" s="31" t="str">
        <f>IFERROR(__xludf.DUMMYFUNCTION("IF(ISBLANK(D39), """", GOOGLETRANSLATE(D39, ""es"", ""en""))"),"")</f>
        <v/>
      </c>
    </row>
    <row r="40" ht="15.75" customHeight="1">
      <c r="A40" s="138"/>
      <c r="B40" s="139" t="s">
        <v>1998</v>
      </c>
      <c r="C40" s="140" t="s">
        <v>2018</v>
      </c>
      <c r="D40" s="31" t="s">
        <v>2288</v>
      </c>
      <c r="E40" s="31" t="str">
        <f>IFERROR(__xludf.DUMMYFUNCTION("IF(ISBLANK(D40), """", GOOGLETRANSLATE(D40, ""es"", ""en""))"),"Last Modification Date")</f>
        <v>Last Modification Date</v>
      </c>
    </row>
    <row r="41" ht="15.75" customHeight="1">
      <c r="A41" s="138"/>
      <c r="B41" s="139" t="s">
        <v>3</v>
      </c>
      <c r="C41" s="146" t="s">
        <v>2019</v>
      </c>
      <c r="D41" s="31" t="s">
        <v>2289</v>
      </c>
      <c r="E41" s="31" t="str">
        <f>IFERROR(__xludf.DUMMYFUNCTION("IF(ISBLANK(D41), """", GOOGLETRANSLATE(D41, ""es"", ""en""))"),"Process URL")</f>
        <v>Process URL</v>
      </c>
    </row>
    <row r="42" ht="15.75" customHeight="1">
      <c r="A42" s="138"/>
      <c r="B42" s="139" t="s">
        <v>1999</v>
      </c>
      <c r="C42" s="140" t="s">
        <v>2020</v>
      </c>
      <c r="D42" s="31" t="s">
        <v>2290</v>
      </c>
      <c r="E42" s="31" t="str">
        <f>IFERROR(__xludf.DUMMYFUNCTION("IF(ISBLANK(D42), """", GOOGLETRANSLATE(D42, ""es"", ""en""))"),"Modality Code")</f>
        <v>Modality Code</v>
      </c>
    </row>
    <row r="43" ht="15.75" customHeight="1">
      <c r="A43" s="138"/>
      <c r="B43" s="139" t="s">
        <v>2000</v>
      </c>
      <c r="C43" s="140"/>
      <c r="D43" s="31" t="s">
        <v>2291</v>
      </c>
      <c r="E43" s="31" t="str">
        <f>IFERROR(__xludf.DUMMYFUNCTION("IF(ISBLANK(D43), """", GOOGLETRANSLATE(D43, ""es"", ""en""))"),"Cancellation comment")</f>
        <v>Cancellation comment</v>
      </c>
    </row>
    <row r="44" ht="15.75" customHeight="1">
      <c r="A44" s="138"/>
      <c r="B44" s="139" t="s">
        <v>2001</v>
      </c>
      <c r="C44" s="140" t="s">
        <v>2021</v>
      </c>
      <c r="D44" s="31" t="s">
        <v>2292</v>
      </c>
      <c r="E44" s="31" t="str">
        <f>IFERROR(__xludf.DUMMYFUNCTION("IF(ISBLANK(D44), """", GOOGLETRANSLATE(D44, ""es"", ""en""))"),"Decree Code")</f>
        <v>Decree Code</v>
      </c>
    </row>
    <row r="45" ht="15.75" customHeight="1">
      <c r="A45" s="138"/>
      <c r="B45" s="139" t="s">
        <v>2002</v>
      </c>
      <c r="C45" s="147" t="s">
        <v>2022</v>
      </c>
      <c r="D45" s="31" t="s">
        <v>2293</v>
      </c>
      <c r="E45" s="31" t="str">
        <f>IFERROR(__xludf.DUMMYFUNCTION("IF(ISBLANK(D45), """", GOOGLETRANSLATE(D45, ""es"", ""en""))"),"Update date")</f>
        <v>Update date</v>
      </c>
    </row>
    <row r="46" ht="15.75" customHeight="1"/>
    <row r="47" ht="15.75" customHeight="1"/>
    <row r="48" ht="15.75" customHeight="1"/>
    <row r="49" ht="15.75" customHeight="1">
      <c r="B49" s="148" t="s">
        <v>2294</v>
      </c>
      <c r="G49" s="128" t="s">
        <v>33</v>
      </c>
    </row>
    <row r="50" ht="15.75" customHeight="1">
      <c r="B50" s="135" t="s">
        <v>2295</v>
      </c>
      <c r="D50" s="135" t="str">
        <f>IFERROR(__xludf.DUMMYFUNCTION("IF(ISBLANK(B50), """", GOOGLETRANSLATE(B50, ""es"", ""en""))"),"Contains information on contracts related to the Hurricane Fiona Emergency		
")</f>
        <v>Contains information on contracts related to the Hurricane Fiona Emergency		
</v>
      </c>
    </row>
    <row r="51" ht="15.75" customHeight="1">
      <c r="B51" s="26" t="s">
        <v>1692</v>
      </c>
      <c r="C51" s="26" t="s">
        <v>1693</v>
      </c>
      <c r="D51" s="26" t="s">
        <v>1694</v>
      </c>
      <c r="E51" s="26" t="s">
        <v>1695</v>
      </c>
      <c r="G51" s="137" t="s">
        <v>1968</v>
      </c>
      <c r="H51" s="137" t="s">
        <v>1969</v>
      </c>
      <c r="I51" s="137" t="s">
        <v>1970</v>
      </c>
      <c r="J51" s="137" t="s">
        <v>2296</v>
      </c>
      <c r="K51" s="137" t="s">
        <v>2297</v>
      </c>
      <c r="L51" s="137" t="s">
        <v>2298</v>
      </c>
      <c r="M51" s="137" t="s">
        <v>2299</v>
      </c>
      <c r="N51" s="137" t="s">
        <v>1674</v>
      </c>
      <c r="O51" s="137" t="s">
        <v>2300</v>
      </c>
      <c r="P51" s="137" t="s">
        <v>2301</v>
      </c>
      <c r="Q51" s="137" t="s">
        <v>1973</v>
      </c>
      <c r="R51" s="137" t="s">
        <v>2302</v>
      </c>
      <c r="S51" s="137" t="s">
        <v>2303</v>
      </c>
      <c r="T51" s="137" t="s">
        <v>2304</v>
      </c>
      <c r="U51" s="137" t="s">
        <v>2305</v>
      </c>
      <c r="V51" s="137" t="s">
        <v>2306</v>
      </c>
      <c r="W51" s="137" t="s">
        <v>2307</v>
      </c>
      <c r="X51" s="137" t="s">
        <v>2308</v>
      </c>
      <c r="Y51" s="137" t="s">
        <v>2309</v>
      </c>
      <c r="Z51" s="137" t="s">
        <v>2310</v>
      </c>
      <c r="AA51" s="137" t="s">
        <v>2311</v>
      </c>
      <c r="AB51" s="137" t="s">
        <v>2312</v>
      </c>
      <c r="AC51" s="137" t="s">
        <v>1977</v>
      </c>
      <c r="AD51" s="137" t="s">
        <v>2313</v>
      </c>
      <c r="AE51" s="137" t="s">
        <v>2314</v>
      </c>
      <c r="AF51" s="137" t="s">
        <v>2315</v>
      </c>
      <c r="AG51" s="137" t="s">
        <v>1998</v>
      </c>
      <c r="AH51" s="137" t="s">
        <v>2316</v>
      </c>
      <c r="AI51" s="137" t="s">
        <v>1975</v>
      </c>
      <c r="AJ51" s="137" t="s">
        <v>1999</v>
      </c>
      <c r="AK51" s="137" t="s">
        <v>1971</v>
      </c>
      <c r="AL51" s="137" t="s">
        <v>1972</v>
      </c>
      <c r="AM51" s="137" t="s">
        <v>3</v>
      </c>
      <c r="AN51" s="137" t="s">
        <v>2317</v>
      </c>
      <c r="AO51" s="137" t="s">
        <v>2318</v>
      </c>
      <c r="AP51" s="137" t="s">
        <v>2319</v>
      </c>
      <c r="AQ51" s="137" t="s">
        <v>2320</v>
      </c>
      <c r="AR51" s="137" t="s">
        <v>2321</v>
      </c>
      <c r="AS51" s="137" t="s">
        <v>2322</v>
      </c>
      <c r="AT51" s="137" t="s">
        <v>2323</v>
      </c>
      <c r="AU51" s="137" t="s">
        <v>2324</v>
      </c>
      <c r="AV51" s="137" t="s">
        <v>2325</v>
      </c>
      <c r="AW51" s="137" t="s">
        <v>2326</v>
      </c>
      <c r="AX51" s="137" t="s">
        <v>2327</v>
      </c>
      <c r="AY51" s="137" t="s">
        <v>2328</v>
      </c>
      <c r="AZ51" s="137" t="s">
        <v>2329</v>
      </c>
      <c r="BA51" s="137" t="s">
        <v>2330</v>
      </c>
      <c r="BB51" s="137" t="s">
        <v>2331</v>
      </c>
      <c r="BC51" s="137" t="s">
        <v>2332</v>
      </c>
      <c r="BD51" s="137" t="s">
        <v>2333</v>
      </c>
      <c r="BE51" s="137" t="s">
        <v>2334</v>
      </c>
      <c r="BF51" s="137" t="s">
        <v>2002</v>
      </c>
    </row>
    <row r="52" ht="15.75" customHeight="1">
      <c r="B52" s="139" t="s">
        <v>1968</v>
      </c>
      <c r="C52" s="140">
        <v>203.0</v>
      </c>
      <c r="D52" s="32" t="s">
        <v>2335</v>
      </c>
      <c r="E52" s="32" t="str">
        <f>IFERROR(__xludf.DUMMYFUNCTION("IF(ISBLANK(D52), """", GOOGLETRANSLATE(D52, ""es"", ""en""))"),"Purchasing unit identification code")</f>
        <v>Purchasing unit identification code</v>
      </c>
      <c r="G52" s="141">
        <v>203.0</v>
      </c>
      <c r="H52" s="139" t="s">
        <v>2336</v>
      </c>
      <c r="I52" s="139" t="s">
        <v>2337</v>
      </c>
      <c r="J52" s="139" t="s">
        <v>2338</v>
      </c>
      <c r="K52" s="139" t="s">
        <v>2339</v>
      </c>
      <c r="L52" s="139" t="s">
        <v>2340</v>
      </c>
      <c r="M52" s="139" t="s">
        <v>2341</v>
      </c>
      <c r="N52" s="141">
        <v>11161.0</v>
      </c>
      <c r="O52" s="139" t="s">
        <v>2342</v>
      </c>
      <c r="P52" s="139" t="s">
        <v>2017</v>
      </c>
      <c r="Q52" s="139" t="s">
        <v>2343</v>
      </c>
      <c r="R52" s="139" t="s">
        <v>2344</v>
      </c>
      <c r="S52" s="139" t="s">
        <v>1666</v>
      </c>
      <c r="T52" s="141" t="s">
        <v>2345</v>
      </c>
      <c r="U52" s="141" t="s">
        <v>2346</v>
      </c>
      <c r="V52" s="139"/>
      <c r="W52" s="141" t="s">
        <v>2347</v>
      </c>
      <c r="X52" s="141" t="s">
        <v>2347</v>
      </c>
      <c r="Y52" s="141" t="s">
        <v>2348</v>
      </c>
      <c r="Z52" s="141" t="s">
        <v>2349</v>
      </c>
      <c r="AA52" s="141" t="s">
        <v>2348</v>
      </c>
      <c r="AB52" s="141" t="s">
        <v>2349</v>
      </c>
      <c r="AC52" s="139" t="s">
        <v>1669</v>
      </c>
      <c r="AD52" s="141">
        <v>1.087326E7</v>
      </c>
      <c r="AE52" s="139" t="s">
        <v>2350</v>
      </c>
      <c r="AF52" s="139" t="s">
        <v>2351</v>
      </c>
      <c r="AG52" s="141" t="s">
        <v>2352</v>
      </c>
      <c r="AH52" s="143" t="s">
        <v>2353</v>
      </c>
      <c r="AI52" s="139" t="s">
        <v>1629</v>
      </c>
      <c r="AJ52" s="139" t="s">
        <v>2020</v>
      </c>
      <c r="AK52" s="139" t="s">
        <v>2007</v>
      </c>
      <c r="AL52" s="139" t="s">
        <v>2008</v>
      </c>
      <c r="AM52" s="143" t="s">
        <v>2354</v>
      </c>
      <c r="AN52" s="139" t="s">
        <v>2342</v>
      </c>
      <c r="AO52" s="141">
        <v>1.30266662E8</v>
      </c>
      <c r="AP52" s="139" t="s">
        <v>2355</v>
      </c>
      <c r="AQ52" s="139" t="s">
        <v>2356</v>
      </c>
      <c r="AR52" s="139" t="s">
        <v>2357</v>
      </c>
      <c r="AS52" s="139" t="s">
        <v>2358</v>
      </c>
      <c r="AT52" s="139" t="s">
        <v>423</v>
      </c>
      <c r="AU52" s="139" t="s">
        <v>423</v>
      </c>
      <c r="AV52" s="139" t="s">
        <v>2359</v>
      </c>
      <c r="AW52" s="139" t="s">
        <v>2360</v>
      </c>
      <c r="AX52" s="139" t="s">
        <v>932</v>
      </c>
      <c r="AY52" s="139" t="s">
        <v>932</v>
      </c>
      <c r="AZ52" s="139" t="s">
        <v>920</v>
      </c>
      <c r="BA52" s="139" t="s">
        <v>2361</v>
      </c>
      <c r="BB52" s="139" t="s">
        <v>2362</v>
      </c>
      <c r="BC52" s="139"/>
      <c r="BD52" s="139" t="s">
        <v>2008</v>
      </c>
      <c r="BE52" s="149" t="b">
        <v>0</v>
      </c>
      <c r="BF52" s="141" t="s">
        <v>2022</v>
      </c>
    </row>
    <row r="53" ht="15.75" customHeight="1">
      <c r="B53" s="139" t="s">
        <v>1969</v>
      </c>
      <c r="C53" s="140" t="s">
        <v>2336</v>
      </c>
      <c r="D53" s="32" t="s">
        <v>2363</v>
      </c>
      <c r="E53" s="32" t="str">
        <f>IFERROR(__xludf.DUMMYFUNCTION("IF(ISBLANK(D53), """", GOOGLETRANSLATE(D53, ""es"", ""en""))"),"Name of the Institution or Purchasing Unit")</f>
        <v>Name of the Institution or Purchasing Unit</v>
      </c>
      <c r="G53" s="141">
        <v>203.0</v>
      </c>
      <c r="H53" s="139" t="s">
        <v>2336</v>
      </c>
      <c r="I53" s="139" t="s">
        <v>2337</v>
      </c>
      <c r="J53" s="139" t="s">
        <v>2338</v>
      </c>
      <c r="K53" s="139" t="s">
        <v>2364</v>
      </c>
      <c r="L53" s="139" t="s">
        <v>2365</v>
      </c>
      <c r="M53" s="139" t="s">
        <v>2366</v>
      </c>
      <c r="N53" s="141">
        <v>54054.0</v>
      </c>
      <c r="O53" s="139" t="s">
        <v>2367</v>
      </c>
      <c r="P53" s="139" t="s">
        <v>2017</v>
      </c>
      <c r="Q53" s="139" t="s">
        <v>2343</v>
      </c>
      <c r="R53" s="139" t="s">
        <v>2344</v>
      </c>
      <c r="S53" s="139" t="s">
        <v>2368</v>
      </c>
      <c r="T53" s="141" t="s">
        <v>2345</v>
      </c>
      <c r="U53" s="141" t="s">
        <v>2346</v>
      </c>
      <c r="V53" s="139"/>
      <c r="W53" s="141" t="s">
        <v>2369</v>
      </c>
      <c r="X53" s="141" t="s">
        <v>2369</v>
      </c>
      <c r="Y53" s="141" t="s">
        <v>2370</v>
      </c>
      <c r="Z53" s="141" t="s">
        <v>2349</v>
      </c>
      <c r="AA53" s="141" t="s">
        <v>2370</v>
      </c>
      <c r="AB53" s="141" t="s">
        <v>2349</v>
      </c>
      <c r="AC53" s="139" t="s">
        <v>1669</v>
      </c>
      <c r="AD53" s="141">
        <v>7284645.0</v>
      </c>
      <c r="AE53" s="139" t="s">
        <v>2350</v>
      </c>
      <c r="AF53" s="139" t="s">
        <v>2351</v>
      </c>
      <c r="AG53" s="141" t="s">
        <v>2371</v>
      </c>
      <c r="AH53" s="143" t="s">
        <v>2372</v>
      </c>
      <c r="AI53" s="139" t="s">
        <v>1629</v>
      </c>
      <c r="AJ53" s="139" t="s">
        <v>2020</v>
      </c>
      <c r="AK53" s="139" t="s">
        <v>2007</v>
      </c>
      <c r="AL53" s="139" t="s">
        <v>2008</v>
      </c>
      <c r="AM53" s="143" t="s">
        <v>2354</v>
      </c>
      <c r="AN53" s="139" t="s">
        <v>2367</v>
      </c>
      <c r="AO53" s="141">
        <v>1.30545741E8</v>
      </c>
      <c r="AP53" s="139" t="s">
        <v>2355</v>
      </c>
      <c r="AQ53" s="139" t="s">
        <v>2356</v>
      </c>
      <c r="AR53" s="139" t="s">
        <v>2357</v>
      </c>
      <c r="AS53" s="139" t="s">
        <v>2358</v>
      </c>
      <c r="AT53" s="139" t="s">
        <v>67</v>
      </c>
      <c r="AU53" s="139" t="s">
        <v>67</v>
      </c>
      <c r="AV53" s="139" t="s">
        <v>2373</v>
      </c>
      <c r="AW53" s="139" t="s">
        <v>2374</v>
      </c>
      <c r="AX53" s="139" t="s">
        <v>932</v>
      </c>
      <c r="AY53" s="139" t="s">
        <v>932</v>
      </c>
      <c r="AZ53" s="139" t="s">
        <v>920</v>
      </c>
      <c r="BA53" s="139" t="s">
        <v>2361</v>
      </c>
      <c r="BB53" s="139" t="s">
        <v>2362</v>
      </c>
      <c r="BC53" s="139" t="s">
        <v>2375</v>
      </c>
      <c r="BD53" s="139" t="s">
        <v>2008</v>
      </c>
      <c r="BE53" s="149" t="b">
        <v>1</v>
      </c>
      <c r="BF53" s="141" t="s">
        <v>2022</v>
      </c>
    </row>
    <row r="54" ht="15.75" customHeight="1">
      <c r="B54" s="139" t="s">
        <v>1970</v>
      </c>
      <c r="C54" s="140" t="s">
        <v>2337</v>
      </c>
      <c r="D54" s="32" t="s">
        <v>2376</v>
      </c>
      <c r="E54" s="32" t="str">
        <f>IFERROR(__xludf.DUMMYFUNCTION("IF(ISBLANK(D54), """", GOOGLETRANSLATE(D54, ""es"", ""en""))"),"Hiring process identifier code")</f>
        <v>Hiring process identifier code</v>
      </c>
      <c r="G54" s="141">
        <v>203.0</v>
      </c>
      <c r="H54" s="139" t="s">
        <v>2336</v>
      </c>
      <c r="I54" s="139" t="s">
        <v>2337</v>
      </c>
      <c r="J54" s="139" t="s">
        <v>2338</v>
      </c>
      <c r="K54" s="139" t="s">
        <v>2377</v>
      </c>
      <c r="L54" s="139" t="s">
        <v>2378</v>
      </c>
      <c r="M54" s="139" t="s">
        <v>2379</v>
      </c>
      <c r="N54" s="141">
        <v>87969.0</v>
      </c>
      <c r="O54" s="139" t="s">
        <v>2380</v>
      </c>
      <c r="P54" s="139" t="s">
        <v>2017</v>
      </c>
      <c r="Q54" s="139" t="s">
        <v>2343</v>
      </c>
      <c r="R54" s="139" t="s">
        <v>2344</v>
      </c>
      <c r="S54" s="139" t="s">
        <v>1666</v>
      </c>
      <c r="T54" s="141" t="s">
        <v>2345</v>
      </c>
      <c r="U54" s="141" t="s">
        <v>2346</v>
      </c>
      <c r="V54" s="139"/>
      <c r="W54" s="141" t="s">
        <v>2381</v>
      </c>
      <c r="X54" s="141" t="s">
        <v>2382</v>
      </c>
      <c r="Y54" s="141" t="s">
        <v>2383</v>
      </c>
      <c r="Z54" s="141" t="s">
        <v>2349</v>
      </c>
      <c r="AA54" s="141" t="s">
        <v>2383</v>
      </c>
      <c r="AB54" s="141" t="s">
        <v>2384</v>
      </c>
      <c r="AC54" s="139" t="s">
        <v>1669</v>
      </c>
      <c r="AD54" s="141">
        <v>3700627.0</v>
      </c>
      <c r="AE54" s="139" t="s">
        <v>2350</v>
      </c>
      <c r="AF54" s="139" t="s">
        <v>2351</v>
      </c>
      <c r="AG54" s="141" t="s">
        <v>2385</v>
      </c>
      <c r="AH54" s="143" t="s">
        <v>2386</v>
      </c>
      <c r="AI54" s="139" t="s">
        <v>1629</v>
      </c>
      <c r="AJ54" s="139" t="s">
        <v>2020</v>
      </c>
      <c r="AK54" s="139" t="s">
        <v>2007</v>
      </c>
      <c r="AL54" s="139" t="s">
        <v>2008</v>
      </c>
      <c r="AM54" s="143" t="s">
        <v>2354</v>
      </c>
      <c r="AN54" s="139" t="s">
        <v>2380</v>
      </c>
      <c r="AO54" s="141">
        <v>1.31846351E8</v>
      </c>
      <c r="AP54" s="139" t="s">
        <v>2355</v>
      </c>
      <c r="AQ54" s="139" t="s">
        <v>2356</v>
      </c>
      <c r="AR54" s="139" t="s">
        <v>2357</v>
      </c>
      <c r="AS54" s="139" t="s">
        <v>2358</v>
      </c>
      <c r="AT54" s="139" t="s">
        <v>67</v>
      </c>
      <c r="AU54" s="139" t="s">
        <v>67</v>
      </c>
      <c r="AV54" s="139" t="s">
        <v>2373</v>
      </c>
      <c r="AW54" s="139" t="s">
        <v>2374</v>
      </c>
      <c r="AX54" s="139"/>
      <c r="AY54" s="139" t="s">
        <v>2387</v>
      </c>
      <c r="AZ54" s="139" t="s">
        <v>2387</v>
      </c>
      <c r="BA54" s="139" t="s">
        <v>2387</v>
      </c>
      <c r="BB54" s="139"/>
      <c r="BC54" s="139" t="s">
        <v>2375</v>
      </c>
      <c r="BD54" s="139" t="s">
        <v>2008</v>
      </c>
      <c r="BE54" s="149" t="b">
        <v>1</v>
      </c>
      <c r="BF54" s="141" t="s">
        <v>2022</v>
      </c>
    </row>
    <row r="55" ht="15.75" customHeight="1">
      <c r="B55" s="139" t="s">
        <v>2296</v>
      </c>
      <c r="C55" s="140" t="s">
        <v>2338</v>
      </c>
      <c r="D55" s="32"/>
      <c r="E55" s="32" t="str">
        <f>IFERROR(__xludf.DUMMYFUNCTION("IF(ISBLANK(D55), """", GOOGLETRANSLATE(D55, ""es"", ""en""))"),"")</f>
        <v/>
      </c>
      <c r="G55" s="141">
        <v>203.0</v>
      </c>
      <c r="H55" s="139" t="s">
        <v>2336</v>
      </c>
      <c r="I55" s="139" t="s">
        <v>2337</v>
      </c>
      <c r="J55" s="139" t="s">
        <v>2338</v>
      </c>
      <c r="K55" s="139" t="s">
        <v>2388</v>
      </c>
      <c r="L55" s="139" t="s">
        <v>2389</v>
      </c>
      <c r="M55" s="139" t="s">
        <v>2390</v>
      </c>
      <c r="N55" s="141">
        <v>78415.0</v>
      </c>
      <c r="O55" s="139" t="s">
        <v>2391</v>
      </c>
      <c r="P55" s="139" t="s">
        <v>2017</v>
      </c>
      <c r="Q55" s="139" t="s">
        <v>2392</v>
      </c>
      <c r="R55" s="139" t="s">
        <v>2344</v>
      </c>
      <c r="S55" s="139" t="s">
        <v>1666</v>
      </c>
      <c r="T55" s="141" t="s">
        <v>2345</v>
      </c>
      <c r="U55" s="141" t="s">
        <v>2346</v>
      </c>
      <c r="V55" s="139"/>
      <c r="W55" s="141" t="s">
        <v>2393</v>
      </c>
      <c r="X55" s="141" t="s">
        <v>2393</v>
      </c>
      <c r="Y55" s="141" t="s">
        <v>2394</v>
      </c>
      <c r="Z55" s="141" t="s">
        <v>2395</v>
      </c>
      <c r="AA55" s="141" t="s">
        <v>2396</v>
      </c>
      <c r="AB55" s="141" t="s">
        <v>2349</v>
      </c>
      <c r="AC55" s="139" t="s">
        <v>1669</v>
      </c>
      <c r="AD55" s="141">
        <v>1148808.0</v>
      </c>
      <c r="AE55" s="139" t="s">
        <v>2350</v>
      </c>
      <c r="AF55" s="139" t="s">
        <v>2397</v>
      </c>
      <c r="AG55" s="141" t="s">
        <v>2398</v>
      </c>
      <c r="AH55" s="143" t="s">
        <v>2399</v>
      </c>
      <c r="AI55" s="139" t="s">
        <v>1629</v>
      </c>
      <c r="AJ55" s="139" t="s">
        <v>2020</v>
      </c>
      <c r="AK55" s="139" t="s">
        <v>2007</v>
      </c>
      <c r="AL55" s="139" t="s">
        <v>2008</v>
      </c>
      <c r="AM55" s="143" t="s">
        <v>2354</v>
      </c>
      <c r="AN55" s="139" t="s">
        <v>2391</v>
      </c>
      <c r="AO55" s="141">
        <v>1.31832695E8</v>
      </c>
      <c r="AP55" s="139" t="s">
        <v>2355</v>
      </c>
      <c r="AQ55" s="139" t="s">
        <v>2400</v>
      </c>
      <c r="AR55" s="139" t="s">
        <v>2357</v>
      </c>
      <c r="AS55" s="139" t="s">
        <v>2358</v>
      </c>
      <c r="AT55" s="139" t="s">
        <v>67</v>
      </c>
      <c r="AU55" s="139" t="s">
        <v>67</v>
      </c>
      <c r="AV55" s="139" t="s">
        <v>2373</v>
      </c>
      <c r="AW55" s="139" t="s">
        <v>2374</v>
      </c>
      <c r="AX55" s="139"/>
      <c r="AY55" s="139" t="s">
        <v>2387</v>
      </c>
      <c r="AZ55" s="139" t="s">
        <v>2387</v>
      </c>
      <c r="BA55" s="139" t="s">
        <v>2387</v>
      </c>
      <c r="BB55" s="139"/>
      <c r="BC55" s="139" t="s">
        <v>2375</v>
      </c>
      <c r="BD55" s="139" t="s">
        <v>2008</v>
      </c>
      <c r="BE55" s="149" t="b">
        <v>1</v>
      </c>
      <c r="BF55" s="141" t="s">
        <v>2022</v>
      </c>
    </row>
    <row r="56" ht="15.75" customHeight="1">
      <c r="B56" s="139" t="s">
        <v>2297</v>
      </c>
      <c r="C56" s="140" t="s">
        <v>2339</v>
      </c>
      <c r="D56" s="32"/>
      <c r="E56" s="32" t="str">
        <f>IFERROR(__xludf.DUMMYFUNCTION("IF(ISBLANK(D56), """", GOOGLETRANSLATE(D56, ""es"", ""en""))"),"")</f>
        <v/>
      </c>
      <c r="G56" s="141">
        <v>203.0</v>
      </c>
      <c r="H56" s="139" t="s">
        <v>2336</v>
      </c>
      <c r="I56" s="139" t="s">
        <v>2337</v>
      </c>
      <c r="J56" s="139" t="s">
        <v>2338</v>
      </c>
      <c r="K56" s="139" t="s">
        <v>2401</v>
      </c>
      <c r="L56" s="139" t="s">
        <v>2402</v>
      </c>
      <c r="M56" s="139" t="s">
        <v>2403</v>
      </c>
      <c r="N56" s="141">
        <v>10891.0</v>
      </c>
      <c r="O56" s="139" t="s">
        <v>2404</v>
      </c>
      <c r="P56" s="139" t="s">
        <v>2017</v>
      </c>
      <c r="Q56" s="139" t="s">
        <v>2343</v>
      </c>
      <c r="R56" s="139" t="s">
        <v>2344</v>
      </c>
      <c r="S56" s="139" t="s">
        <v>1666</v>
      </c>
      <c r="T56" s="141" t="s">
        <v>2345</v>
      </c>
      <c r="U56" s="141" t="s">
        <v>2346</v>
      </c>
      <c r="V56" s="139"/>
      <c r="W56" s="141" t="s">
        <v>2405</v>
      </c>
      <c r="X56" s="141" t="s">
        <v>2405</v>
      </c>
      <c r="Y56" s="141" t="s">
        <v>2370</v>
      </c>
      <c r="Z56" s="141" t="s">
        <v>2349</v>
      </c>
      <c r="AA56" s="141" t="s">
        <v>2370</v>
      </c>
      <c r="AB56" s="141" t="s">
        <v>2349</v>
      </c>
      <c r="AC56" s="139" t="s">
        <v>1669</v>
      </c>
      <c r="AD56" s="141">
        <v>5.2460398E7</v>
      </c>
      <c r="AE56" s="139" t="s">
        <v>2350</v>
      </c>
      <c r="AF56" s="139" t="s">
        <v>2351</v>
      </c>
      <c r="AG56" s="141" t="s">
        <v>2406</v>
      </c>
      <c r="AH56" s="143" t="s">
        <v>2407</v>
      </c>
      <c r="AI56" s="139" t="s">
        <v>1629</v>
      </c>
      <c r="AJ56" s="139" t="s">
        <v>2020</v>
      </c>
      <c r="AK56" s="139" t="s">
        <v>2007</v>
      </c>
      <c r="AL56" s="139" t="s">
        <v>2008</v>
      </c>
      <c r="AM56" s="143" t="s">
        <v>2354</v>
      </c>
      <c r="AN56" s="139" t="s">
        <v>2404</v>
      </c>
      <c r="AO56" s="141">
        <v>1.01191511E8</v>
      </c>
      <c r="AP56" s="139" t="s">
        <v>2355</v>
      </c>
      <c r="AQ56" s="139" t="s">
        <v>2356</v>
      </c>
      <c r="AR56" s="139" t="s">
        <v>2357</v>
      </c>
      <c r="AS56" s="139" t="s">
        <v>2358</v>
      </c>
      <c r="AT56" s="139" t="s">
        <v>423</v>
      </c>
      <c r="AU56" s="139" t="s">
        <v>423</v>
      </c>
      <c r="AV56" s="139" t="s">
        <v>2359</v>
      </c>
      <c r="AW56" s="139" t="s">
        <v>2360</v>
      </c>
      <c r="AX56" s="139" t="s">
        <v>2408</v>
      </c>
      <c r="AY56" s="139" t="s">
        <v>921</v>
      </c>
      <c r="AZ56" s="139" t="s">
        <v>920</v>
      </c>
      <c r="BA56" s="139" t="s">
        <v>2361</v>
      </c>
      <c r="BB56" s="139" t="s">
        <v>2362</v>
      </c>
      <c r="BC56" s="139" t="s">
        <v>2359</v>
      </c>
      <c r="BD56" s="139" t="s">
        <v>2008</v>
      </c>
      <c r="BE56" s="149" t="b">
        <v>0</v>
      </c>
      <c r="BF56" s="141" t="s">
        <v>2022</v>
      </c>
    </row>
    <row r="57" ht="15.75" customHeight="1">
      <c r="B57" s="139" t="s">
        <v>2298</v>
      </c>
      <c r="C57" s="140" t="s">
        <v>2340</v>
      </c>
      <c r="D57" s="32"/>
      <c r="E57" s="32" t="str">
        <f>IFERROR(__xludf.DUMMYFUNCTION("IF(ISBLANK(D57), """", GOOGLETRANSLATE(D57, ""es"", ""en""))"),"")</f>
        <v/>
      </c>
      <c r="F57" s="138"/>
      <c r="G57" s="141">
        <v>203.0</v>
      </c>
      <c r="H57" s="139" t="s">
        <v>2336</v>
      </c>
      <c r="I57" s="139" t="s">
        <v>2337</v>
      </c>
      <c r="J57" s="139" t="s">
        <v>2338</v>
      </c>
      <c r="K57" s="139" t="s">
        <v>2409</v>
      </c>
      <c r="L57" s="139" t="s">
        <v>2410</v>
      </c>
      <c r="M57" s="139" t="s">
        <v>2411</v>
      </c>
      <c r="N57" s="141">
        <v>5852.0</v>
      </c>
      <c r="O57" s="139" t="s">
        <v>2412</v>
      </c>
      <c r="P57" s="139" t="s">
        <v>2017</v>
      </c>
      <c r="Q57" s="139" t="s">
        <v>2343</v>
      </c>
      <c r="R57" s="139" t="s">
        <v>2344</v>
      </c>
      <c r="S57" s="139" t="s">
        <v>1666</v>
      </c>
      <c r="T57" s="141" t="s">
        <v>2345</v>
      </c>
      <c r="U57" s="141" t="s">
        <v>2346</v>
      </c>
      <c r="V57" s="139"/>
      <c r="W57" s="141" t="s">
        <v>2413</v>
      </c>
      <c r="X57" s="141" t="s">
        <v>2414</v>
      </c>
      <c r="Y57" s="141" t="s">
        <v>2415</v>
      </c>
      <c r="Z57" s="141" t="s">
        <v>2349</v>
      </c>
      <c r="AA57" s="141" t="s">
        <v>2415</v>
      </c>
      <c r="AB57" s="141" t="s">
        <v>2349</v>
      </c>
      <c r="AC57" s="139" t="s">
        <v>1669</v>
      </c>
      <c r="AD57" s="141">
        <v>2.89E7</v>
      </c>
      <c r="AE57" s="139" t="s">
        <v>2350</v>
      </c>
      <c r="AF57" s="139" t="s">
        <v>2351</v>
      </c>
      <c r="AG57" s="141" t="s">
        <v>2416</v>
      </c>
      <c r="AH57" s="143" t="s">
        <v>2417</v>
      </c>
      <c r="AI57" s="139" t="s">
        <v>1629</v>
      </c>
      <c r="AJ57" s="139" t="s">
        <v>2020</v>
      </c>
      <c r="AK57" s="139" t="s">
        <v>2007</v>
      </c>
      <c r="AL57" s="139" t="s">
        <v>2008</v>
      </c>
      <c r="AM57" s="143" t="s">
        <v>2354</v>
      </c>
      <c r="AN57" s="139" t="s">
        <v>2412</v>
      </c>
      <c r="AO57" s="141">
        <v>1.30185166E8</v>
      </c>
      <c r="AP57" s="139" t="s">
        <v>2355</v>
      </c>
      <c r="AQ57" s="139" t="s">
        <v>2356</v>
      </c>
      <c r="AR57" s="139" t="s">
        <v>2357</v>
      </c>
      <c r="AS57" s="139" t="s">
        <v>2358</v>
      </c>
      <c r="AT57" s="139" t="s">
        <v>423</v>
      </c>
      <c r="AU57" s="139" t="s">
        <v>423</v>
      </c>
      <c r="AV57" s="139" t="s">
        <v>2418</v>
      </c>
      <c r="AW57" s="139" t="s">
        <v>2418</v>
      </c>
      <c r="AX57" s="139" t="s">
        <v>2419</v>
      </c>
      <c r="AY57" s="139" t="s">
        <v>2420</v>
      </c>
      <c r="AZ57" s="139" t="s">
        <v>935</v>
      </c>
      <c r="BA57" s="139" t="s">
        <v>2387</v>
      </c>
      <c r="BB57" s="139" t="s">
        <v>2362</v>
      </c>
      <c r="BC57" s="139" t="s">
        <v>2418</v>
      </c>
      <c r="BD57" s="139" t="s">
        <v>2008</v>
      </c>
      <c r="BE57" s="149" t="b">
        <v>0</v>
      </c>
      <c r="BF57" s="141" t="s">
        <v>2022</v>
      </c>
    </row>
    <row r="58" ht="15.75" customHeight="1">
      <c r="B58" s="139" t="s">
        <v>2299</v>
      </c>
      <c r="C58" s="140" t="s">
        <v>2341</v>
      </c>
      <c r="D58" s="32" t="s">
        <v>2421</v>
      </c>
      <c r="E58" s="32" t="str">
        <f>IFERROR(__xludf.DUMMYFUNCTION("IF(ISBLANK(D58), """", GOOGLETRANSLATE(D58, ""es"", ""en""))"),"Contract identifier code")</f>
        <v>Contract identifier code</v>
      </c>
      <c r="F58" s="138"/>
      <c r="G58" s="141">
        <v>203.0</v>
      </c>
      <c r="H58" s="139" t="s">
        <v>2336</v>
      </c>
      <c r="I58" s="139" t="s">
        <v>2337</v>
      </c>
      <c r="J58" s="139" t="s">
        <v>2338</v>
      </c>
      <c r="K58" s="139" t="s">
        <v>2422</v>
      </c>
      <c r="L58" s="139" t="s">
        <v>2423</v>
      </c>
      <c r="M58" s="139" t="s">
        <v>2424</v>
      </c>
      <c r="N58" s="141">
        <v>68955.0</v>
      </c>
      <c r="O58" s="139" t="s">
        <v>2425</v>
      </c>
      <c r="P58" s="139" t="s">
        <v>2017</v>
      </c>
      <c r="Q58" s="139" t="s">
        <v>2343</v>
      </c>
      <c r="R58" s="139" t="s">
        <v>2344</v>
      </c>
      <c r="S58" s="139" t="s">
        <v>1666</v>
      </c>
      <c r="T58" s="141" t="s">
        <v>2345</v>
      </c>
      <c r="U58" s="141" t="s">
        <v>2346</v>
      </c>
      <c r="V58" s="139"/>
      <c r="W58" s="141" t="s">
        <v>2426</v>
      </c>
      <c r="X58" s="141" t="s">
        <v>2427</v>
      </c>
      <c r="Y58" s="141" t="s">
        <v>2383</v>
      </c>
      <c r="Z58" s="141" t="s">
        <v>2349</v>
      </c>
      <c r="AA58" s="141" t="s">
        <v>2383</v>
      </c>
      <c r="AB58" s="141" t="s">
        <v>2349</v>
      </c>
      <c r="AC58" s="139" t="s">
        <v>1669</v>
      </c>
      <c r="AD58" s="141">
        <v>6921615.0</v>
      </c>
      <c r="AE58" s="139" t="s">
        <v>2350</v>
      </c>
      <c r="AF58" s="139" t="s">
        <v>2351</v>
      </c>
      <c r="AG58" s="141" t="s">
        <v>2428</v>
      </c>
      <c r="AH58" s="143" t="s">
        <v>2429</v>
      </c>
      <c r="AI58" s="139" t="s">
        <v>1629</v>
      </c>
      <c r="AJ58" s="139" t="s">
        <v>2020</v>
      </c>
      <c r="AK58" s="139" t="s">
        <v>2007</v>
      </c>
      <c r="AL58" s="139" t="s">
        <v>2008</v>
      </c>
      <c r="AM58" s="143" t="s">
        <v>2354</v>
      </c>
      <c r="AN58" s="139" t="s">
        <v>2425</v>
      </c>
      <c r="AO58" s="141">
        <v>1.31518621E8</v>
      </c>
      <c r="AP58" s="139" t="s">
        <v>2355</v>
      </c>
      <c r="AQ58" s="139" t="s">
        <v>2356</v>
      </c>
      <c r="AR58" s="139" t="s">
        <v>2357</v>
      </c>
      <c r="AS58" s="139" t="s">
        <v>2358</v>
      </c>
      <c r="AT58" s="139" t="s">
        <v>67</v>
      </c>
      <c r="AU58" s="139" t="s">
        <v>67</v>
      </c>
      <c r="AV58" s="139" t="s">
        <v>2430</v>
      </c>
      <c r="AW58" s="139" t="s">
        <v>2374</v>
      </c>
      <c r="AX58" s="139" t="s">
        <v>2431</v>
      </c>
      <c r="AY58" s="139" t="s">
        <v>921</v>
      </c>
      <c r="AZ58" s="139" t="s">
        <v>920</v>
      </c>
      <c r="BA58" s="139" t="s">
        <v>2361</v>
      </c>
      <c r="BB58" s="139" t="s">
        <v>2362</v>
      </c>
      <c r="BC58" s="139" t="s">
        <v>2432</v>
      </c>
      <c r="BD58" s="139" t="s">
        <v>2008</v>
      </c>
      <c r="BE58" s="149" t="b">
        <v>1</v>
      </c>
      <c r="BF58" s="141" t="s">
        <v>2022</v>
      </c>
    </row>
    <row r="59" ht="15.75" customHeight="1">
      <c r="B59" s="139" t="s">
        <v>1674</v>
      </c>
      <c r="C59" s="140">
        <v>11161.0</v>
      </c>
      <c r="D59" s="32" t="s">
        <v>2433</v>
      </c>
      <c r="E59" s="32" t="str">
        <f>IFERROR(__xludf.DUMMYFUNCTION("IF(ISBLANK(D59), """", GOOGLETRANSLATE(D59, ""es"", ""en""))"),"RPE number")</f>
        <v>RPE number</v>
      </c>
      <c r="G59" s="141">
        <v>203.0</v>
      </c>
      <c r="H59" s="139" t="s">
        <v>2336</v>
      </c>
      <c r="I59" s="139" t="s">
        <v>2337</v>
      </c>
      <c r="J59" s="139" t="s">
        <v>2338</v>
      </c>
      <c r="K59" s="139" t="s">
        <v>2434</v>
      </c>
      <c r="L59" s="139" t="s">
        <v>2435</v>
      </c>
      <c r="M59" s="139" t="s">
        <v>2436</v>
      </c>
      <c r="N59" s="141">
        <v>99669.0</v>
      </c>
      <c r="O59" s="139" t="s">
        <v>2437</v>
      </c>
      <c r="P59" s="139" t="s">
        <v>2017</v>
      </c>
      <c r="Q59" s="139" t="s">
        <v>2343</v>
      </c>
      <c r="R59" s="139" t="s">
        <v>2344</v>
      </c>
      <c r="S59" s="139" t="s">
        <v>2368</v>
      </c>
      <c r="T59" s="141" t="s">
        <v>2345</v>
      </c>
      <c r="U59" s="141" t="s">
        <v>2346</v>
      </c>
      <c r="V59" s="139"/>
      <c r="W59" s="141" t="s">
        <v>2438</v>
      </c>
      <c r="X59" s="141" t="s">
        <v>2438</v>
      </c>
      <c r="Y59" s="141" t="s">
        <v>2383</v>
      </c>
      <c r="Z59" s="141" t="s">
        <v>2349</v>
      </c>
      <c r="AA59" s="141" t="s">
        <v>2439</v>
      </c>
      <c r="AB59" s="141" t="s">
        <v>2440</v>
      </c>
      <c r="AC59" s="139" t="s">
        <v>1669</v>
      </c>
      <c r="AD59" s="141">
        <v>2.2194217E7</v>
      </c>
      <c r="AE59" s="139" t="s">
        <v>2350</v>
      </c>
      <c r="AF59" s="139" t="s">
        <v>2351</v>
      </c>
      <c r="AG59" s="141" t="s">
        <v>2441</v>
      </c>
      <c r="AH59" s="143" t="s">
        <v>2442</v>
      </c>
      <c r="AI59" s="139" t="s">
        <v>1629</v>
      </c>
      <c r="AJ59" s="139" t="s">
        <v>2020</v>
      </c>
      <c r="AK59" s="139" t="s">
        <v>2007</v>
      </c>
      <c r="AL59" s="139" t="s">
        <v>2008</v>
      </c>
      <c r="AM59" s="143" t="s">
        <v>2354</v>
      </c>
      <c r="AN59" s="139" t="s">
        <v>2437</v>
      </c>
      <c r="AO59" s="141">
        <v>1.31847412E8</v>
      </c>
      <c r="AP59" s="139" t="s">
        <v>2355</v>
      </c>
      <c r="AQ59" s="139" t="s">
        <v>2356</v>
      </c>
      <c r="AR59" s="139" t="s">
        <v>2357</v>
      </c>
      <c r="AS59" s="139" t="s">
        <v>2358</v>
      </c>
      <c r="AT59" s="139" t="s">
        <v>67</v>
      </c>
      <c r="AU59" s="139" t="s">
        <v>67</v>
      </c>
      <c r="AV59" s="139" t="s">
        <v>2443</v>
      </c>
      <c r="AW59" s="139" t="s">
        <v>2374</v>
      </c>
      <c r="AX59" s="139" t="s">
        <v>932</v>
      </c>
      <c r="AY59" s="139" t="s">
        <v>932</v>
      </c>
      <c r="AZ59" s="139" t="s">
        <v>920</v>
      </c>
      <c r="BA59" s="139" t="s">
        <v>2361</v>
      </c>
      <c r="BB59" s="139" t="s">
        <v>2362</v>
      </c>
      <c r="BC59" s="139" t="s">
        <v>2444</v>
      </c>
      <c r="BD59" s="139" t="s">
        <v>2008</v>
      </c>
      <c r="BE59" s="149" t="b">
        <v>1</v>
      </c>
      <c r="BF59" s="141" t="s">
        <v>2022</v>
      </c>
    </row>
    <row r="60" ht="15.75" customHeight="1">
      <c r="B60" s="139" t="s">
        <v>2300</v>
      </c>
      <c r="C60" s="140" t="s">
        <v>2342</v>
      </c>
      <c r="D60" s="32" t="s">
        <v>2445</v>
      </c>
      <c r="E60" s="32" t="str">
        <f>IFERROR(__xludf.DUMMYFUNCTION("IF(ISBLANK(D60), """", GOOGLETRANSLATE(D60, ""es"", ""en""))"),"Company name of the supplier of the items")</f>
        <v>Company name of the supplier of the items</v>
      </c>
      <c r="G60" s="141">
        <v>203.0</v>
      </c>
      <c r="H60" s="139" t="s">
        <v>2336</v>
      </c>
      <c r="I60" s="139" t="s">
        <v>2337</v>
      </c>
      <c r="J60" s="139" t="s">
        <v>2338</v>
      </c>
      <c r="K60" s="139" t="s">
        <v>2446</v>
      </c>
      <c r="L60" s="139" t="s">
        <v>2447</v>
      </c>
      <c r="M60" s="139" t="s">
        <v>2448</v>
      </c>
      <c r="N60" s="141">
        <v>1764.0</v>
      </c>
      <c r="O60" s="139" t="s">
        <v>2449</v>
      </c>
      <c r="P60" s="139" t="s">
        <v>2017</v>
      </c>
      <c r="Q60" s="139" t="s">
        <v>2343</v>
      </c>
      <c r="R60" s="139" t="s">
        <v>2344</v>
      </c>
      <c r="S60" s="139" t="s">
        <v>1666</v>
      </c>
      <c r="T60" s="141" t="s">
        <v>2345</v>
      </c>
      <c r="U60" s="141" t="s">
        <v>2346</v>
      </c>
      <c r="V60" s="139"/>
      <c r="W60" s="141" t="s">
        <v>2450</v>
      </c>
      <c r="X60" s="141" t="s">
        <v>2450</v>
      </c>
      <c r="Y60" s="141" t="s">
        <v>2348</v>
      </c>
      <c r="Z60" s="141" t="s">
        <v>2349</v>
      </c>
      <c r="AA60" s="141" t="s">
        <v>2348</v>
      </c>
      <c r="AB60" s="141" t="s">
        <v>2349</v>
      </c>
      <c r="AC60" s="139" t="s">
        <v>1669</v>
      </c>
      <c r="AD60" s="141">
        <v>3190594.0</v>
      </c>
      <c r="AE60" s="139" t="s">
        <v>2350</v>
      </c>
      <c r="AF60" s="139" t="s">
        <v>2351</v>
      </c>
      <c r="AG60" s="141" t="s">
        <v>2451</v>
      </c>
      <c r="AH60" s="143" t="s">
        <v>2452</v>
      </c>
      <c r="AI60" s="139" t="s">
        <v>1629</v>
      </c>
      <c r="AJ60" s="139" t="s">
        <v>2020</v>
      </c>
      <c r="AK60" s="139" t="s">
        <v>2007</v>
      </c>
      <c r="AL60" s="139" t="s">
        <v>2008</v>
      </c>
      <c r="AM60" s="143" t="s">
        <v>2354</v>
      </c>
      <c r="AN60" s="139" t="s">
        <v>2449</v>
      </c>
      <c r="AO60" s="141">
        <v>1.01747935E8</v>
      </c>
      <c r="AP60" s="139" t="s">
        <v>2355</v>
      </c>
      <c r="AQ60" s="139" t="s">
        <v>2356</v>
      </c>
      <c r="AR60" s="139" t="s">
        <v>2357</v>
      </c>
      <c r="AS60" s="139" t="s">
        <v>2358</v>
      </c>
      <c r="AT60" s="139" t="s">
        <v>67</v>
      </c>
      <c r="AU60" s="139" t="s">
        <v>67</v>
      </c>
      <c r="AV60" s="139" t="s">
        <v>2430</v>
      </c>
      <c r="AW60" s="139" t="s">
        <v>2374</v>
      </c>
      <c r="AX60" s="139" t="s">
        <v>2408</v>
      </c>
      <c r="AY60" s="139" t="s">
        <v>921</v>
      </c>
      <c r="AZ60" s="139" t="s">
        <v>920</v>
      </c>
      <c r="BA60" s="139" t="s">
        <v>2361</v>
      </c>
      <c r="BB60" s="139" t="s">
        <v>2362</v>
      </c>
      <c r="BC60" s="139" t="s">
        <v>2432</v>
      </c>
      <c r="BD60" s="139" t="s">
        <v>2008</v>
      </c>
      <c r="BE60" s="149" t="b">
        <v>1</v>
      </c>
      <c r="BF60" s="141" t="s">
        <v>2022</v>
      </c>
    </row>
    <row r="61" ht="15.75" customHeight="1">
      <c r="B61" s="139" t="s">
        <v>2301</v>
      </c>
      <c r="C61" s="140" t="s">
        <v>2017</v>
      </c>
      <c r="D61" s="32" t="s">
        <v>2453</v>
      </c>
      <c r="E61" s="32" t="str">
        <f>IFERROR(__xludf.DUMMYFUNCTION("IF(ISBLANK(D61), """", GOOGLETRANSLATE(D61, ""es"", ""en""))"),"Contracting classification (Ex: Works, Goods, Services)")</f>
        <v>Contracting classification (Ex: Works, Goods, Services)</v>
      </c>
      <c r="G61" s="141">
        <v>904.0</v>
      </c>
      <c r="H61" s="139" t="s">
        <v>2105</v>
      </c>
      <c r="I61" s="139" t="s">
        <v>2454</v>
      </c>
      <c r="J61" s="139" t="s">
        <v>2455</v>
      </c>
      <c r="K61" s="139" t="s">
        <v>2456</v>
      </c>
      <c r="L61" s="139" t="s">
        <v>2457</v>
      </c>
      <c r="M61" s="139" t="s">
        <v>2458</v>
      </c>
      <c r="N61" s="141">
        <v>17142.0</v>
      </c>
      <c r="O61" s="139" t="s">
        <v>2459</v>
      </c>
      <c r="P61" s="139" t="s">
        <v>2017</v>
      </c>
      <c r="Q61" s="139" t="s">
        <v>2460</v>
      </c>
      <c r="R61" s="139" t="s">
        <v>2344</v>
      </c>
      <c r="S61" s="139" t="s">
        <v>1666</v>
      </c>
      <c r="T61" s="141" t="s">
        <v>2461</v>
      </c>
      <c r="U61" s="141" t="s">
        <v>2462</v>
      </c>
      <c r="V61" s="139"/>
      <c r="W61" s="141" t="s">
        <v>2463</v>
      </c>
      <c r="X61" s="141" t="s">
        <v>2464</v>
      </c>
      <c r="Y61" s="141" t="s">
        <v>2465</v>
      </c>
      <c r="Z61" s="141" t="s">
        <v>2466</v>
      </c>
      <c r="AA61" s="141" t="s">
        <v>2465</v>
      </c>
      <c r="AB61" s="141" t="s">
        <v>2466</v>
      </c>
      <c r="AC61" s="139" t="s">
        <v>1669</v>
      </c>
      <c r="AD61" s="141">
        <v>5984100.0</v>
      </c>
      <c r="AE61" s="139" t="s">
        <v>2350</v>
      </c>
      <c r="AF61" s="139" t="s">
        <v>2467</v>
      </c>
      <c r="AG61" s="141" t="s">
        <v>2468</v>
      </c>
      <c r="AH61" s="143" t="s">
        <v>2469</v>
      </c>
      <c r="AI61" s="139" t="s">
        <v>1629</v>
      </c>
      <c r="AJ61" s="139" t="s">
        <v>2020</v>
      </c>
      <c r="AK61" s="139" t="s">
        <v>2007</v>
      </c>
      <c r="AL61" s="139" t="s">
        <v>2008</v>
      </c>
      <c r="AM61" s="143" t="s">
        <v>2470</v>
      </c>
      <c r="AN61" s="139" t="s">
        <v>2459</v>
      </c>
      <c r="AO61" s="141">
        <v>1.30297185E8</v>
      </c>
      <c r="AP61" s="139" t="s">
        <v>2355</v>
      </c>
      <c r="AQ61" s="139" t="s">
        <v>2356</v>
      </c>
      <c r="AR61" s="139" t="s">
        <v>2357</v>
      </c>
      <c r="AS61" s="139" t="s">
        <v>2358</v>
      </c>
      <c r="AT61" s="139" t="s">
        <v>423</v>
      </c>
      <c r="AU61" s="139" t="s">
        <v>423</v>
      </c>
      <c r="AV61" s="139" t="s">
        <v>2359</v>
      </c>
      <c r="AW61" s="139" t="s">
        <v>2360</v>
      </c>
      <c r="AX61" s="139" t="s">
        <v>2408</v>
      </c>
      <c r="AY61" s="139" t="s">
        <v>921</v>
      </c>
      <c r="AZ61" s="139" t="s">
        <v>920</v>
      </c>
      <c r="BA61" s="139" t="s">
        <v>2361</v>
      </c>
      <c r="BB61" s="139" t="s">
        <v>2362</v>
      </c>
      <c r="BC61" s="139" t="s">
        <v>2359</v>
      </c>
      <c r="BD61" s="139" t="s">
        <v>2008</v>
      </c>
      <c r="BE61" s="149" t="b">
        <v>0</v>
      </c>
      <c r="BF61" s="141" t="s">
        <v>2022</v>
      </c>
    </row>
    <row r="62" ht="15.75" customHeight="1">
      <c r="B62" s="139" t="s">
        <v>1973</v>
      </c>
      <c r="C62" s="140" t="s">
        <v>2343</v>
      </c>
      <c r="D62" s="32" t="s">
        <v>2471</v>
      </c>
      <c r="E62" s="32" t="str">
        <f>IFERROR(__xludf.DUMMYFUNCTION("IF(ISBLANK(D62), """", GOOGLETRANSLATE(D62, ""es"", ""en""))"),"Description of the purpose of the contract")</f>
        <v>Description of the purpose of the contract</v>
      </c>
      <c r="G62" s="141">
        <v>203.0</v>
      </c>
      <c r="H62" s="139" t="s">
        <v>2336</v>
      </c>
      <c r="I62" s="139" t="s">
        <v>2337</v>
      </c>
      <c r="J62" s="139" t="s">
        <v>2338</v>
      </c>
      <c r="K62" s="139" t="s">
        <v>2472</v>
      </c>
      <c r="L62" s="139" t="s">
        <v>2473</v>
      </c>
      <c r="M62" s="139" t="s">
        <v>2474</v>
      </c>
      <c r="N62" s="141">
        <v>3266.0</v>
      </c>
      <c r="O62" s="139" t="s">
        <v>2475</v>
      </c>
      <c r="P62" s="139" t="s">
        <v>2017</v>
      </c>
      <c r="Q62" s="139" t="s">
        <v>2343</v>
      </c>
      <c r="R62" s="139" t="s">
        <v>2344</v>
      </c>
      <c r="S62" s="139" t="s">
        <v>1666</v>
      </c>
      <c r="T62" s="141" t="s">
        <v>2345</v>
      </c>
      <c r="U62" s="141" t="s">
        <v>2346</v>
      </c>
      <c r="V62" s="139"/>
      <c r="W62" s="141" t="s">
        <v>2476</v>
      </c>
      <c r="X62" s="141" t="s">
        <v>2476</v>
      </c>
      <c r="Y62" s="141" t="s">
        <v>2348</v>
      </c>
      <c r="Z62" s="141" t="s">
        <v>2349</v>
      </c>
      <c r="AA62" s="141" t="s">
        <v>2348</v>
      </c>
      <c r="AB62" s="141" t="s">
        <v>2349</v>
      </c>
      <c r="AC62" s="139" t="s">
        <v>1669</v>
      </c>
      <c r="AD62" s="141">
        <v>4.59575E7</v>
      </c>
      <c r="AE62" s="139" t="s">
        <v>2350</v>
      </c>
      <c r="AF62" s="139" t="s">
        <v>2351</v>
      </c>
      <c r="AG62" s="141" t="s">
        <v>2477</v>
      </c>
      <c r="AH62" s="143" t="s">
        <v>2478</v>
      </c>
      <c r="AI62" s="139" t="s">
        <v>1629</v>
      </c>
      <c r="AJ62" s="139" t="s">
        <v>2020</v>
      </c>
      <c r="AK62" s="139" t="s">
        <v>2007</v>
      </c>
      <c r="AL62" s="139" t="s">
        <v>2008</v>
      </c>
      <c r="AM62" s="143" t="s">
        <v>2354</v>
      </c>
      <c r="AN62" s="139" t="s">
        <v>2475</v>
      </c>
      <c r="AO62" s="141">
        <v>1.04013778E8</v>
      </c>
      <c r="AP62" s="139" t="s">
        <v>2355</v>
      </c>
      <c r="AQ62" s="139" t="s">
        <v>2400</v>
      </c>
      <c r="AR62" s="139" t="s">
        <v>2357</v>
      </c>
      <c r="AS62" s="139" t="s">
        <v>2358</v>
      </c>
      <c r="AT62" s="139" t="s">
        <v>423</v>
      </c>
      <c r="AU62" s="139" t="s">
        <v>423</v>
      </c>
      <c r="AV62" s="139" t="s">
        <v>2359</v>
      </c>
      <c r="AW62" s="139" t="s">
        <v>2360</v>
      </c>
      <c r="AX62" s="139" t="s">
        <v>2479</v>
      </c>
      <c r="AY62" s="139" t="s">
        <v>2480</v>
      </c>
      <c r="AZ62" s="139" t="s">
        <v>918</v>
      </c>
      <c r="BA62" s="139" t="s">
        <v>2481</v>
      </c>
      <c r="BB62" s="139" t="s">
        <v>2362</v>
      </c>
      <c r="BC62" s="139" t="s">
        <v>2359</v>
      </c>
      <c r="BD62" s="139" t="s">
        <v>2008</v>
      </c>
      <c r="BE62" s="149" t="b">
        <v>0</v>
      </c>
      <c r="BF62" s="141" t="s">
        <v>2022</v>
      </c>
    </row>
    <row r="63" ht="15.75" customHeight="1">
      <c r="B63" s="139" t="s">
        <v>2302</v>
      </c>
      <c r="C63" s="140" t="s">
        <v>2344</v>
      </c>
      <c r="D63" s="32"/>
      <c r="E63" s="32" t="str">
        <f>IFERROR(__xludf.DUMMYFUNCTION("IF(ISBLANK(D63), """", GOOGLETRANSLATE(D63, ""es"", ""en""))"),"")</f>
        <v/>
      </c>
      <c r="G63" s="141">
        <v>203.0</v>
      </c>
      <c r="H63" s="139" t="s">
        <v>2336</v>
      </c>
      <c r="I63" s="139" t="s">
        <v>2337</v>
      </c>
      <c r="J63" s="139" t="s">
        <v>2338</v>
      </c>
      <c r="K63" s="139" t="s">
        <v>2482</v>
      </c>
      <c r="L63" s="139" t="s">
        <v>2483</v>
      </c>
      <c r="M63" s="139" t="s">
        <v>2484</v>
      </c>
      <c r="N63" s="141">
        <v>6624.0</v>
      </c>
      <c r="O63" s="139" t="s">
        <v>2485</v>
      </c>
      <c r="P63" s="139" t="s">
        <v>2017</v>
      </c>
      <c r="Q63" s="139" t="s">
        <v>2343</v>
      </c>
      <c r="R63" s="139" t="s">
        <v>2344</v>
      </c>
      <c r="S63" s="139" t="s">
        <v>1666</v>
      </c>
      <c r="T63" s="141" t="s">
        <v>2345</v>
      </c>
      <c r="U63" s="141" t="s">
        <v>2346</v>
      </c>
      <c r="V63" s="139"/>
      <c r="W63" s="141" t="s">
        <v>2486</v>
      </c>
      <c r="X63" s="141" t="s">
        <v>2487</v>
      </c>
      <c r="Y63" s="141" t="s">
        <v>2415</v>
      </c>
      <c r="Z63" s="141" t="s">
        <v>2349</v>
      </c>
      <c r="AA63" s="141" t="s">
        <v>2415</v>
      </c>
      <c r="AB63" s="141" t="s">
        <v>2349</v>
      </c>
      <c r="AC63" s="139" t="s">
        <v>1669</v>
      </c>
      <c r="AD63" s="141">
        <v>1.3415625E7</v>
      </c>
      <c r="AE63" s="139" t="s">
        <v>2350</v>
      </c>
      <c r="AF63" s="139" t="s">
        <v>2351</v>
      </c>
      <c r="AG63" s="141" t="s">
        <v>2488</v>
      </c>
      <c r="AH63" s="143" t="s">
        <v>2489</v>
      </c>
      <c r="AI63" s="139" t="s">
        <v>1629</v>
      </c>
      <c r="AJ63" s="139" t="s">
        <v>2020</v>
      </c>
      <c r="AK63" s="139" t="s">
        <v>2007</v>
      </c>
      <c r="AL63" s="139" t="s">
        <v>2008</v>
      </c>
      <c r="AM63" s="143" t="s">
        <v>2354</v>
      </c>
      <c r="AN63" s="139" t="s">
        <v>2485</v>
      </c>
      <c r="AO63" s="141">
        <v>1.01162929E8</v>
      </c>
      <c r="AP63" s="139" t="s">
        <v>2355</v>
      </c>
      <c r="AQ63" s="139" t="s">
        <v>2356</v>
      </c>
      <c r="AR63" s="139" t="s">
        <v>2357</v>
      </c>
      <c r="AS63" s="139" t="s">
        <v>2358</v>
      </c>
      <c r="AT63" s="139" t="s">
        <v>423</v>
      </c>
      <c r="AU63" s="139" t="s">
        <v>423</v>
      </c>
      <c r="AV63" s="139" t="s">
        <v>2418</v>
      </c>
      <c r="AW63" s="139" t="s">
        <v>2418</v>
      </c>
      <c r="AX63" s="139" t="s">
        <v>2479</v>
      </c>
      <c r="AY63" s="139" t="s">
        <v>2480</v>
      </c>
      <c r="AZ63" s="139" t="s">
        <v>918</v>
      </c>
      <c r="BA63" s="139" t="s">
        <v>2481</v>
      </c>
      <c r="BB63" s="139" t="s">
        <v>2362</v>
      </c>
      <c r="BC63" s="139" t="s">
        <v>2418</v>
      </c>
      <c r="BD63" s="139" t="s">
        <v>2008</v>
      </c>
      <c r="BE63" s="149" t="b">
        <v>0</v>
      </c>
      <c r="BF63" s="141" t="s">
        <v>2022</v>
      </c>
    </row>
    <row r="64" ht="15.75" customHeight="1">
      <c r="B64" s="139" t="s">
        <v>2303</v>
      </c>
      <c r="C64" s="140" t="s">
        <v>1666</v>
      </c>
      <c r="D64" s="32" t="s">
        <v>2490</v>
      </c>
      <c r="E64" s="32" t="str">
        <f>IFERROR(__xludf.DUMMYFUNCTION("IF(ISBLANK(D64), """", GOOGLETRANSLATE(D64, ""es"", ""en""))"),"Contract Status Description")</f>
        <v>Contract Status Description</v>
      </c>
      <c r="G64" s="141">
        <v>203.0</v>
      </c>
      <c r="H64" s="139" t="s">
        <v>2336</v>
      </c>
      <c r="I64" s="139" t="s">
        <v>2337</v>
      </c>
      <c r="J64" s="139" t="s">
        <v>2338</v>
      </c>
      <c r="K64" s="139" t="s">
        <v>2491</v>
      </c>
      <c r="L64" s="139" t="s">
        <v>2492</v>
      </c>
      <c r="M64" s="139" t="s">
        <v>2493</v>
      </c>
      <c r="N64" s="141">
        <v>12014.0</v>
      </c>
      <c r="O64" s="139" t="s">
        <v>2494</v>
      </c>
      <c r="P64" s="139" t="s">
        <v>2017</v>
      </c>
      <c r="Q64" s="139" t="s">
        <v>2343</v>
      </c>
      <c r="R64" s="139" t="s">
        <v>2344</v>
      </c>
      <c r="S64" s="139" t="s">
        <v>1666</v>
      </c>
      <c r="T64" s="141" t="s">
        <v>2345</v>
      </c>
      <c r="U64" s="141" t="s">
        <v>2346</v>
      </c>
      <c r="V64" s="139"/>
      <c r="W64" s="141" t="s">
        <v>2495</v>
      </c>
      <c r="X64" s="141" t="s">
        <v>2495</v>
      </c>
      <c r="Y64" s="141" t="s">
        <v>2348</v>
      </c>
      <c r="Z64" s="141" t="s">
        <v>2349</v>
      </c>
      <c r="AA64" s="141" t="s">
        <v>2348</v>
      </c>
      <c r="AB64" s="141" t="s">
        <v>2349</v>
      </c>
      <c r="AC64" s="139" t="s">
        <v>1669</v>
      </c>
      <c r="AD64" s="141">
        <v>3150010.0</v>
      </c>
      <c r="AE64" s="139" t="s">
        <v>2350</v>
      </c>
      <c r="AF64" s="139" t="s">
        <v>2351</v>
      </c>
      <c r="AG64" s="141" t="s">
        <v>2496</v>
      </c>
      <c r="AH64" s="143" t="s">
        <v>2497</v>
      </c>
      <c r="AI64" s="139" t="s">
        <v>1629</v>
      </c>
      <c r="AJ64" s="139" t="s">
        <v>2020</v>
      </c>
      <c r="AK64" s="139" t="s">
        <v>2007</v>
      </c>
      <c r="AL64" s="139" t="s">
        <v>2008</v>
      </c>
      <c r="AM64" s="143" t="s">
        <v>2354</v>
      </c>
      <c r="AN64" s="139" t="s">
        <v>2494</v>
      </c>
      <c r="AO64" s="141">
        <v>1.30598292E8</v>
      </c>
      <c r="AP64" s="139" t="s">
        <v>2355</v>
      </c>
      <c r="AQ64" s="139" t="s">
        <v>2356</v>
      </c>
      <c r="AR64" s="139" t="s">
        <v>2357</v>
      </c>
      <c r="AS64" s="139" t="s">
        <v>2358</v>
      </c>
      <c r="AT64" s="139" t="s">
        <v>67</v>
      </c>
      <c r="AU64" s="139" t="s">
        <v>67</v>
      </c>
      <c r="AV64" s="139" t="s">
        <v>2430</v>
      </c>
      <c r="AW64" s="139" t="s">
        <v>2374</v>
      </c>
      <c r="AX64" s="139" t="s">
        <v>2498</v>
      </c>
      <c r="AY64" s="139" t="s">
        <v>921</v>
      </c>
      <c r="AZ64" s="139" t="s">
        <v>920</v>
      </c>
      <c r="BA64" s="139" t="s">
        <v>2361</v>
      </c>
      <c r="BB64" s="139" t="s">
        <v>2362</v>
      </c>
      <c r="BC64" s="139" t="s">
        <v>2432</v>
      </c>
      <c r="BD64" s="139" t="s">
        <v>2008</v>
      </c>
      <c r="BE64" s="149" t="b">
        <v>1</v>
      </c>
      <c r="BF64" s="141" t="s">
        <v>2022</v>
      </c>
    </row>
    <row r="65" ht="15.75" customHeight="1">
      <c r="B65" s="139" t="s">
        <v>2304</v>
      </c>
      <c r="C65" s="140" t="s">
        <v>2345</v>
      </c>
      <c r="D65" s="32" t="s">
        <v>2499</v>
      </c>
      <c r="E65" s="32" t="str">
        <f>IFERROR(__xludf.DUMMYFUNCTION("IF(ISBLANK(D65), """", GOOGLETRANSLATE(D65, ""es"", ""en""))"),"Contract award date")</f>
        <v>Contract award date</v>
      </c>
      <c r="G65" s="141">
        <v>203.0</v>
      </c>
      <c r="H65" s="139" t="s">
        <v>2336</v>
      </c>
      <c r="I65" s="139" t="s">
        <v>2337</v>
      </c>
      <c r="J65" s="139" t="s">
        <v>2338</v>
      </c>
      <c r="K65" s="139" t="s">
        <v>2500</v>
      </c>
      <c r="L65" s="139" t="s">
        <v>2501</v>
      </c>
      <c r="M65" s="139" t="s">
        <v>2502</v>
      </c>
      <c r="N65" s="141">
        <v>107046.0</v>
      </c>
      <c r="O65" s="139" t="s">
        <v>2503</v>
      </c>
      <c r="P65" s="139" t="s">
        <v>2017</v>
      </c>
      <c r="Q65" s="139" t="s">
        <v>2343</v>
      </c>
      <c r="R65" s="139" t="s">
        <v>2344</v>
      </c>
      <c r="S65" s="139" t="s">
        <v>2368</v>
      </c>
      <c r="T65" s="141" t="s">
        <v>2345</v>
      </c>
      <c r="U65" s="141" t="s">
        <v>2346</v>
      </c>
      <c r="V65" s="139"/>
      <c r="W65" s="141" t="s">
        <v>2504</v>
      </c>
      <c r="X65" s="141" t="s">
        <v>2505</v>
      </c>
      <c r="Y65" s="141" t="s">
        <v>2506</v>
      </c>
      <c r="Z65" s="141" t="s">
        <v>2349</v>
      </c>
      <c r="AA65" s="141" t="s">
        <v>2506</v>
      </c>
      <c r="AB65" s="141" t="s">
        <v>2349</v>
      </c>
      <c r="AC65" s="139" t="s">
        <v>1669</v>
      </c>
      <c r="AD65" s="141">
        <v>1296900.0</v>
      </c>
      <c r="AE65" s="139" t="s">
        <v>2350</v>
      </c>
      <c r="AF65" s="139" t="s">
        <v>2351</v>
      </c>
      <c r="AG65" s="141" t="s">
        <v>2507</v>
      </c>
      <c r="AH65" s="143" t="s">
        <v>2508</v>
      </c>
      <c r="AI65" s="139" t="s">
        <v>1629</v>
      </c>
      <c r="AJ65" s="139" t="s">
        <v>2020</v>
      </c>
      <c r="AK65" s="139" t="s">
        <v>2007</v>
      </c>
      <c r="AL65" s="139" t="s">
        <v>2008</v>
      </c>
      <c r="AM65" s="143" t="s">
        <v>2354</v>
      </c>
      <c r="AN65" s="139" t="s">
        <v>2503</v>
      </c>
      <c r="AO65" s="141">
        <v>1.32617789E8</v>
      </c>
      <c r="AP65" s="139" t="s">
        <v>2355</v>
      </c>
      <c r="AQ65" s="139" t="s">
        <v>2400</v>
      </c>
      <c r="AR65" s="139" t="s">
        <v>2357</v>
      </c>
      <c r="AS65" s="139" t="s">
        <v>2358</v>
      </c>
      <c r="AT65" s="139" t="s">
        <v>67</v>
      </c>
      <c r="AU65" s="139" t="s">
        <v>67</v>
      </c>
      <c r="AV65" s="139" t="s">
        <v>2443</v>
      </c>
      <c r="AW65" s="139" t="s">
        <v>2374</v>
      </c>
      <c r="AX65" s="139" t="s">
        <v>2509</v>
      </c>
      <c r="AY65" s="139" t="s">
        <v>2510</v>
      </c>
      <c r="AZ65" s="139" t="s">
        <v>2511</v>
      </c>
      <c r="BA65" s="139" t="s">
        <v>2481</v>
      </c>
      <c r="BB65" s="139" t="s">
        <v>2362</v>
      </c>
      <c r="BC65" s="139" t="s">
        <v>2512</v>
      </c>
      <c r="BD65" s="139" t="s">
        <v>2008</v>
      </c>
      <c r="BE65" s="149" t="b">
        <v>1</v>
      </c>
      <c r="BF65" s="141" t="s">
        <v>2022</v>
      </c>
    </row>
    <row r="66" ht="15.75" customHeight="1">
      <c r="B66" s="139" t="s">
        <v>2305</v>
      </c>
      <c r="C66" s="140" t="s">
        <v>2346</v>
      </c>
      <c r="D66" s="32"/>
      <c r="E66" s="32" t="str">
        <f>IFERROR(__xludf.DUMMYFUNCTION("IF(ISBLANK(D66), """", GOOGLETRANSLATE(D66, ""es"", ""en""))"),"")</f>
        <v/>
      </c>
      <c r="G66" s="141">
        <v>203.0</v>
      </c>
      <c r="H66" s="139" t="s">
        <v>2336</v>
      </c>
      <c r="I66" s="139" t="s">
        <v>2337</v>
      </c>
      <c r="J66" s="139" t="s">
        <v>2338</v>
      </c>
      <c r="K66" s="139" t="s">
        <v>2513</v>
      </c>
      <c r="L66" s="139" t="s">
        <v>2514</v>
      </c>
      <c r="M66" s="139" t="s">
        <v>2515</v>
      </c>
      <c r="N66" s="141">
        <v>105180.0</v>
      </c>
      <c r="O66" s="139" t="s">
        <v>2516</v>
      </c>
      <c r="P66" s="139" t="s">
        <v>2017</v>
      </c>
      <c r="Q66" s="139" t="s">
        <v>2343</v>
      </c>
      <c r="R66" s="139" t="s">
        <v>2344</v>
      </c>
      <c r="S66" s="139" t="s">
        <v>2368</v>
      </c>
      <c r="T66" s="141" t="s">
        <v>2345</v>
      </c>
      <c r="U66" s="141" t="s">
        <v>2346</v>
      </c>
      <c r="V66" s="139"/>
      <c r="W66" s="141" t="s">
        <v>2517</v>
      </c>
      <c r="X66" s="141" t="s">
        <v>2517</v>
      </c>
      <c r="Y66" s="141" t="s">
        <v>2518</v>
      </c>
      <c r="Z66" s="141" t="s">
        <v>2349</v>
      </c>
      <c r="AA66" s="141" t="s">
        <v>2518</v>
      </c>
      <c r="AB66" s="141" t="s">
        <v>2349</v>
      </c>
      <c r="AC66" s="139" t="s">
        <v>1669</v>
      </c>
      <c r="AD66" s="141">
        <v>6381188.0</v>
      </c>
      <c r="AE66" s="139" t="s">
        <v>2350</v>
      </c>
      <c r="AF66" s="139" t="s">
        <v>2351</v>
      </c>
      <c r="AG66" s="141" t="s">
        <v>2519</v>
      </c>
      <c r="AH66" s="143" t="s">
        <v>2520</v>
      </c>
      <c r="AI66" s="139" t="s">
        <v>1629</v>
      </c>
      <c r="AJ66" s="139" t="s">
        <v>2020</v>
      </c>
      <c r="AK66" s="139" t="s">
        <v>2007</v>
      </c>
      <c r="AL66" s="139" t="s">
        <v>2008</v>
      </c>
      <c r="AM66" s="143" t="s">
        <v>2354</v>
      </c>
      <c r="AN66" s="139" t="s">
        <v>2516</v>
      </c>
      <c r="AO66" s="141">
        <v>1.31375571E8</v>
      </c>
      <c r="AP66" s="139" t="s">
        <v>2355</v>
      </c>
      <c r="AQ66" s="139" t="s">
        <v>2400</v>
      </c>
      <c r="AR66" s="139" t="s">
        <v>2357</v>
      </c>
      <c r="AS66" s="139" t="s">
        <v>2358</v>
      </c>
      <c r="AT66" s="139" t="s">
        <v>67</v>
      </c>
      <c r="AU66" s="139" t="s">
        <v>67</v>
      </c>
      <c r="AV66" s="139" t="s">
        <v>2443</v>
      </c>
      <c r="AW66" s="139" t="s">
        <v>2374</v>
      </c>
      <c r="AX66" s="139"/>
      <c r="AY66" s="139" t="s">
        <v>2387</v>
      </c>
      <c r="AZ66" s="139" t="s">
        <v>2387</v>
      </c>
      <c r="BA66" s="139" t="s">
        <v>2387</v>
      </c>
      <c r="BB66" s="139"/>
      <c r="BC66" s="139" t="s">
        <v>2444</v>
      </c>
      <c r="BD66" s="139" t="s">
        <v>2008</v>
      </c>
      <c r="BE66" s="149" t="b">
        <v>1</v>
      </c>
      <c r="BF66" s="141" t="s">
        <v>2022</v>
      </c>
    </row>
    <row r="67" ht="15.75" customHeight="1">
      <c r="B67" s="139" t="s">
        <v>2306</v>
      </c>
      <c r="C67" s="140"/>
      <c r="D67" s="32" t="s">
        <v>2521</v>
      </c>
      <c r="E67" s="32" t="str">
        <f>IFERROR(__xludf.DUMMYFUNCTION("IF(ISBLANK(D67), """", GOOGLETRANSLATE(D67, ""es"", ""en""))"),"Contract approval date")</f>
        <v>Contract approval date</v>
      </c>
      <c r="G67" s="141">
        <v>203.0</v>
      </c>
      <c r="H67" s="139" t="s">
        <v>2336</v>
      </c>
      <c r="I67" s="139" t="s">
        <v>2337</v>
      </c>
      <c r="J67" s="139" t="s">
        <v>2338</v>
      </c>
      <c r="K67" s="139" t="s">
        <v>2522</v>
      </c>
      <c r="L67" s="139" t="s">
        <v>2523</v>
      </c>
      <c r="M67" s="139" t="s">
        <v>2524</v>
      </c>
      <c r="N67" s="141">
        <v>15342.0</v>
      </c>
      <c r="O67" s="139" t="s">
        <v>2525</v>
      </c>
      <c r="P67" s="139" t="s">
        <v>2017</v>
      </c>
      <c r="Q67" s="139" t="s">
        <v>2526</v>
      </c>
      <c r="R67" s="139" t="s">
        <v>2344</v>
      </c>
      <c r="S67" s="139" t="s">
        <v>2368</v>
      </c>
      <c r="T67" s="141" t="s">
        <v>2345</v>
      </c>
      <c r="U67" s="141" t="s">
        <v>2346</v>
      </c>
      <c r="V67" s="139"/>
      <c r="W67" s="141" t="s">
        <v>2527</v>
      </c>
      <c r="X67" s="141" t="s">
        <v>2527</v>
      </c>
      <c r="Y67" s="141" t="s">
        <v>2383</v>
      </c>
      <c r="Z67" s="141" t="s">
        <v>2349</v>
      </c>
      <c r="AA67" s="141" t="s">
        <v>2383</v>
      </c>
      <c r="AB67" s="141" t="s">
        <v>2349</v>
      </c>
      <c r="AC67" s="139" t="s">
        <v>1669</v>
      </c>
      <c r="AD67" s="141">
        <v>220410.0</v>
      </c>
      <c r="AE67" s="139" t="s">
        <v>2350</v>
      </c>
      <c r="AF67" s="139" t="s">
        <v>2351</v>
      </c>
      <c r="AG67" s="141" t="s">
        <v>2528</v>
      </c>
      <c r="AH67" s="143" t="s">
        <v>2529</v>
      </c>
      <c r="AI67" s="139" t="s">
        <v>1629</v>
      </c>
      <c r="AJ67" s="139" t="s">
        <v>2020</v>
      </c>
      <c r="AK67" s="139" t="s">
        <v>2007</v>
      </c>
      <c r="AL67" s="139" t="s">
        <v>2008</v>
      </c>
      <c r="AM67" s="143" t="s">
        <v>2354</v>
      </c>
      <c r="AN67" s="139" t="s">
        <v>2525</v>
      </c>
      <c r="AO67" s="141">
        <v>1.30770222E8</v>
      </c>
      <c r="AP67" s="139" t="s">
        <v>2355</v>
      </c>
      <c r="AQ67" s="139" t="s">
        <v>2400</v>
      </c>
      <c r="AR67" s="139" t="s">
        <v>2357</v>
      </c>
      <c r="AS67" s="139" t="s">
        <v>2358</v>
      </c>
      <c r="AT67" s="139" t="s">
        <v>67</v>
      </c>
      <c r="AU67" s="139" t="s">
        <v>67</v>
      </c>
      <c r="AV67" s="139" t="s">
        <v>2443</v>
      </c>
      <c r="AW67" s="139" t="s">
        <v>2374</v>
      </c>
      <c r="AX67" s="139" t="s">
        <v>2498</v>
      </c>
      <c r="AY67" s="139" t="s">
        <v>921</v>
      </c>
      <c r="AZ67" s="139" t="s">
        <v>920</v>
      </c>
      <c r="BA67" s="139" t="s">
        <v>2361</v>
      </c>
      <c r="BB67" s="139" t="s">
        <v>2362</v>
      </c>
      <c r="BC67" s="139" t="s">
        <v>2512</v>
      </c>
      <c r="BD67" s="139" t="s">
        <v>2008</v>
      </c>
      <c r="BE67" s="149" t="b">
        <v>1</v>
      </c>
      <c r="BF67" s="141" t="s">
        <v>2022</v>
      </c>
    </row>
    <row r="68" ht="15.75" customHeight="1">
      <c r="B68" s="139" t="s">
        <v>2307</v>
      </c>
      <c r="C68" s="140" t="s">
        <v>2347</v>
      </c>
      <c r="D68" s="32"/>
      <c r="E68" s="32" t="str">
        <f>IFERROR(__xludf.DUMMYFUNCTION("IF(ISBLANK(D68), """", GOOGLETRANSLATE(D68, ""es"", ""en""))"),"")</f>
        <v/>
      </c>
      <c r="G68" s="141">
        <v>203.0</v>
      </c>
      <c r="H68" s="139" t="s">
        <v>2336</v>
      </c>
      <c r="I68" s="139" t="s">
        <v>2337</v>
      </c>
      <c r="J68" s="139" t="s">
        <v>2338</v>
      </c>
      <c r="K68" s="139" t="s">
        <v>2530</v>
      </c>
      <c r="L68" s="139" t="s">
        <v>2531</v>
      </c>
      <c r="M68" s="139" t="s">
        <v>2532</v>
      </c>
      <c r="N68" s="141">
        <v>17087.0</v>
      </c>
      <c r="O68" s="139" t="s">
        <v>2533</v>
      </c>
      <c r="P68" s="139" t="s">
        <v>2017</v>
      </c>
      <c r="Q68" s="139" t="s">
        <v>2343</v>
      </c>
      <c r="R68" s="139" t="s">
        <v>2344</v>
      </c>
      <c r="S68" s="139" t="s">
        <v>1666</v>
      </c>
      <c r="T68" s="141" t="s">
        <v>2345</v>
      </c>
      <c r="U68" s="141" t="s">
        <v>2346</v>
      </c>
      <c r="V68" s="139"/>
      <c r="W68" s="141" t="s">
        <v>2534</v>
      </c>
      <c r="X68" s="141" t="s">
        <v>2534</v>
      </c>
      <c r="Y68" s="141" t="s">
        <v>2348</v>
      </c>
      <c r="Z68" s="141" t="s">
        <v>2349</v>
      </c>
      <c r="AA68" s="141" t="s">
        <v>2348</v>
      </c>
      <c r="AB68" s="141" t="s">
        <v>2349</v>
      </c>
      <c r="AC68" s="139" t="s">
        <v>1669</v>
      </c>
      <c r="AD68" s="141">
        <v>4.791847E7</v>
      </c>
      <c r="AE68" s="139" t="s">
        <v>2350</v>
      </c>
      <c r="AF68" s="139" t="s">
        <v>2351</v>
      </c>
      <c r="AG68" s="141" t="s">
        <v>2535</v>
      </c>
      <c r="AH68" s="143" t="s">
        <v>2536</v>
      </c>
      <c r="AI68" s="139" t="s">
        <v>1629</v>
      </c>
      <c r="AJ68" s="139" t="s">
        <v>2020</v>
      </c>
      <c r="AK68" s="139" t="s">
        <v>2007</v>
      </c>
      <c r="AL68" s="139" t="s">
        <v>2008</v>
      </c>
      <c r="AM68" s="143" t="s">
        <v>2354</v>
      </c>
      <c r="AN68" s="139" t="s">
        <v>2533</v>
      </c>
      <c r="AO68" s="141">
        <v>1.01582512E8</v>
      </c>
      <c r="AP68" s="139" t="s">
        <v>2355</v>
      </c>
      <c r="AQ68" s="139" t="s">
        <v>2400</v>
      </c>
      <c r="AR68" s="139" t="s">
        <v>2357</v>
      </c>
      <c r="AS68" s="139" t="s">
        <v>2358</v>
      </c>
      <c r="AT68" s="139" t="s">
        <v>423</v>
      </c>
      <c r="AU68" s="139" t="s">
        <v>423</v>
      </c>
      <c r="AV68" s="139" t="s">
        <v>2359</v>
      </c>
      <c r="AW68" s="139" t="s">
        <v>2360</v>
      </c>
      <c r="AX68" s="139" t="s">
        <v>2498</v>
      </c>
      <c r="AY68" s="139" t="s">
        <v>921</v>
      </c>
      <c r="AZ68" s="139" t="s">
        <v>920</v>
      </c>
      <c r="BA68" s="139" t="s">
        <v>2361</v>
      </c>
      <c r="BB68" s="139" t="s">
        <v>2362</v>
      </c>
      <c r="BC68" s="139" t="s">
        <v>2359</v>
      </c>
      <c r="BD68" s="139" t="s">
        <v>2008</v>
      </c>
      <c r="BE68" s="149" t="b">
        <v>0</v>
      </c>
      <c r="BF68" s="141" t="s">
        <v>2022</v>
      </c>
    </row>
    <row r="69" ht="15.75" customHeight="1">
      <c r="B69" s="139" t="s">
        <v>2308</v>
      </c>
      <c r="C69" s="140" t="s">
        <v>2347</v>
      </c>
      <c r="D69" s="32"/>
      <c r="E69" s="32" t="str">
        <f>IFERROR(__xludf.DUMMYFUNCTION("IF(ISBLANK(D69), """", GOOGLETRANSLATE(D69, ""es"", ""en""))"),"")</f>
        <v/>
      </c>
      <c r="G69" s="141">
        <v>203.0</v>
      </c>
      <c r="H69" s="139" t="s">
        <v>2336</v>
      </c>
      <c r="I69" s="139" t="s">
        <v>2337</v>
      </c>
      <c r="J69" s="139" t="s">
        <v>2338</v>
      </c>
      <c r="K69" s="139" t="s">
        <v>2537</v>
      </c>
      <c r="L69" s="139" t="s">
        <v>2538</v>
      </c>
      <c r="M69" s="139" t="s">
        <v>2539</v>
      </c>
      <c r="N69" s="141">
        <v>8809.0</v>
      </c>
      <c r="O69" s="139" t="s">
        <v>2540</v>
      </c>
      <c r="P69" s="139" t="s">
        <v>2017</v>
      </c>
      <c r="Q69" s="139" t="s">
        <v>2343</v>
      </c>
      <c r="R69" s="139" t="s">
        <v>2344</v>
      </c>
      <c r="S69" s="139" t="s">
        <v>1666</v>
      </c>
      <c r="T69" s="141" t="s">
        <v>2345</v>
      </c>
      <c r="U69" s="141" t="s">
        <v>2346</v>
      </c>
      <c r="V69" s="139"/>
      <c r="W69" s="141" t="s">
        <v>2541</v>
      </c>
      <c r="X69" s="141" t="s">
        <v>2542</v>
      </c>
      <c r="Y69" s="141" t="s">
        <v>2370</v>
      </c>
      <c r="Z69" s="141" t="s">
        <v>2543</v>
      </c>
      <c r="AA69" s="141" t="s">
        <v>2370</v>
      </c>
      <c r="AB69" s="141" t="s">
        <v>2349</v>
      </c>
      <c r="AC69" s="139" t="s">
        <v>1669</v>
      </c>
      <c r="AD69" s="141">
        <v>5.32125E7</v>
      </c>
      <c r="AE69" s="139" t="s">
        <v>2350</v>
      </c>
      <c r="AF69" s="139" t="s">
        <v>2351</v>
      </c>
      <c r="AG69" s="141" t="s">
        <v>2544</v>
      </c>
      <c r="AH69" s="143" t="s">
        <v>2545</v>
      </c>
      <c r="AI69" s="139" t="s">
        <v>1629</v>
      </c>
      <c r="AJ69" s="139" t="s">
        <v>2020</v>
      </c>
      <c r="AK69" s="139" t="s">
        <v>2007</v>
      </c>
      <c r="AL69" s="139" t="s">
        <v>2008</v>
      </c>
      <c r="AM69" s="143" t="s">
        <v>2354</v>
      </c>
      <c r="AN69" s="139" t="s">
        <v>2540</v>
      </c>
      <c r="AO69" s="141">
        <v>1.04002024E8</v>
      </c>
      <c r="AP69" s="139" t="s">
        <v>2355</v>
      </c>
      <c r="AQ69" s="139" t="s">
        <v>2356</v>
      </c>
      <c r="AR69" s="139" t="s">
        <v>2357</v>
      </c>
      <c r="AS69" s="139" t="s">
        <v>2358</v>
      </c>
      <c r="AT69" s="139" t="s">
        <v>423</v>
      </c>
      <c r="AU69" s="139" t="s">
        <v>423</v>
      </c>
      <c r="AV69" s="139" t="s">
        <v>2359</v>
      </c>
      <c r="AW69" s="139" t="s">
        <v>2360</v>
      </c>
      <c r="AX69" s="139" t="s">
        <v>2419</v>
      </c>
      <c r="AY69" s="139" t="s">
        <v>2420</v>
      </c>
      <c r="AZ69" s="139" t="s">
        <v>935</v>
      </c>
      <c r="BA69" s="139" t="s">
        <v>2387</v>
      </c>
      <c r="BB69" s="139" t="s">
        <v>2362</v>
      </c>
      <c r="BC69" s="139" t="s">
        <v>2359</v>
      </c>
      <c r="BD69" s="139" t="s">
        <v>2008</v>
      </c>
      <c r="BE69" s="149" t="b">
        <v>0</v>
      </c>
      <c r="BF69" s="141" t="s">
        <v>2022</v>
      </c>
    </row>
    <row r="70" ht="15.75" customHeight="1">
      <c r="B70" s="139" t="s">
        <v>2309</v>
      </c>
      <c r="C70" s="140" t="s">
        <v>2348</v>
      </c>
      <c r="D70" s="32" t="s">
        <v>2546</v>
      </c>
      <c r="E70" s="32" t="str">
        <f>IFERROR(__xludf.DUMMYFUNCTION("IF(ISBLANK(D70), """", GOOGLETRANSLATE(D70, ""es"", ""en""))"),"Contract start date")</f>
        <v>Contract start date</v>
      </c>
      <c r="G70" s="141">
        <v>203.0</v>
      </c>
      <c r="H70" s="139" t="s">
        <v>2336</v>
      </c>
      <c r="I70" s="139" t="s">
        <v>2337</v>
      </c>
      <c r="J70" s="139" t="s">
        <v>2338</v>
      </c>
      <c r="K70" s="139" t="s">
        <v>2547</v>
      </c>
      <c r="L70" s="139" t="s">
        <v>2548</v>
      </c>
      <c r="M70" s="139" t="s">
        <v>2549</v>
      </c>
      <c r="N70" s="141">
        <v>94790.0</v>
      </c>
      <c r="O70" s="139" t="s">
        <v>2550</v>
      </c>
      <c r="P70" s="139" t="s">
        <v>2017</v>
      </c>
      <c r="Q70" s="139" t="s">
        <v>2343</v>
      </c>
      <c r="R70" s="139" t="s">
        <v>2344</v>
      </c>
      <c r="S70" s="139" t="s">
        <v>2368</v>
      </c>
      <c r="T70" s="141" t="s">
        <v>2345</v>
      </c>
      <c r="U70" s="141" t="s">
        <v>2346</v>
      </c>
      <c r="V70" s="139"/>
      <c r="W70" s="141" t="s">
        <v>2551</v>
      </c>
      <c r="X70" s="141" t="s">
        <v>2552</v>
      </c>
      <c r="Y70" s="141" t="s">
        <v>2394</v>
      </c>
      <c r="Z70" s="141" t="s">
        <v>2349</v>
      </c>
      <c r="AA70" s="141" t="s">
        <v>2394</v>
      </c>
      <c r="AB70" s="141" t="s">
        <v>2349</v>
      </c>
      <c r="AC70" s="139" t="s">
        <v>1669</v>
      </c>
      <c r="AD70" s="141">
        <v>1.82934463E8</v>
      </c>
      <c r="AE70" s="139" t="s">
        <v>2350</v>
      </c>
      <c r="AF70" s="139" t="s">
        <v>2351</v>
      </c>
      <c r="AG70" s="141" t="s">
        <v>2553</v>
      </c>
      <c r="AH70" s="143" t="s">
        <v>2554</v>
      </c>
      <c r="AI70" s="139" t="s">
        <v>1629</v>
      </c>
      <c r="AJ70" s="139" t="s">
        <v>2020</v>
      </c>
      <c r="AK70" s="139" t="s">
        <v>2007</v>
      </c>
      <c r="AL70" s="139" t="s">
        <v>2008</v>
      </c>
      <c r="AM70" s="143" t="s">
        <v>2354</v>
      </c>
      <c r="AN70" s="139" t="s">
        <v>2550</v>
      </c>
      <c r="AO70" s="141">
        <v>1.01169011E8</v>
      </c>
      <c r="AP70" s="139" t="s">
        <v>2355</v>
      </c>
      <c r="AQ70" s="139" t="s">
        <v>2400</v>
      </c>
      <c r="AR70" s="139" t="s">
        <v>2357</v>
      </c>
      <c r="AS70" s="139" t="s">
        <v>2358</v>
      </c>
      <c r="AT70" s="139" t="s">
        <v>67</v>
      </c>
      <c r="AU70" s="139" t="s">
        <v>67</v>
      </c>
      <c r="AV70" s="139" t="s">
        <v>2430</v>
      </c>
      <c r="AW70" s="139" t="s">
        <v>2374</v>
      </c>
      <c r="AX70" s="139"/>
      <c r="AY70" s="139" t="s">
        <v>2387</v>
      </c>
      <c r="AZ70" s="139" t="s">
        <v>2387</v>
      </c>
      <c r="BA70" s="139" t="s">
        <v>2387</v>
      </c>
      <c r="BB70" s="139"/>
      <c r="BC70" s="139" t="s">
        <v>2432</v>
      </c>
      <c r="BD70" s="139" t="s">
        <v>2008</v>
      </c>
      <c r="BE70" s="149" t="b">
        <v>1</v>
      </c>
      <c r="BF70" s="141" t="s">
        <v>2022</v>
      </c>
    </row>
    <row r="71" ht="15.75" customHeight="1">
      <c r="B71" s="139" t="s">
        <v>2310</v>
      </c>
      <c r="C71" s="140" t="s">
        <v>2349</v>
      </c>
      <c r="D71" s="32" t="s">
        <v>2555</v>
      </c>
      <c r="E71" s="32" t="str">
        <f>IFERROR(__xludf.DUMMYFUNCTION("IF(ISBLANK(D71), """", GOOGLETRANSLATE(D71, ""es"", ""en""))"),"Contract End Date")</f>
        <v>Contract End Date</v>
      </c>
      <c r="G71" s="141">
        <v>718.0</v>
      </c>
      <c r="H71" s="139" t="s">
        <v>2128</v>
      </c>
      <c r="I71" s="139" t="s">
        <v>2556</v>
      </c>
      <c r="J71" s="139" t="s">
        <v>2557</v>
      </c>
      <c r="K71" s="139" t="s">
        <v>2558</v>
      </c>
      <c r="L71" s="139" t="s">
        <v>2559</v>
      </c>
      <c r="M71" s="139" t="s">
        <v>2560</v>
      </c>
      <c r="N71" s="141">
        <v>19621.0</v>
      </c>
      <c r="O71" s="139" t="s">
        <v>2561</v>
      </c>
      <c r="P71" s="139" t="s">
        <v>2017</v>
      </c>
      <c r="Q71" s="139" t="s">
        <v>2562</v>
      </c>
      <c r="R71" s="139" t="s">
        <v>2344</v>
      </c>
      <c r="S71" s="139" t="s">
        <v>1666</v>
      </c>
      <c r="T71" s="141" t="s">
        <v>2563</v>
      </c>
      <c r="U71" s="141" t="s">
        <v>2564</v>
      </c>
      <c r="V71" s="139"/>
      <c r="W71" s="141" t="s">
        <v>2565</v>
      </c>
      <c r="X71" s="141" t="s">
        <v>2566</v>
      </c>
      <c r="Y71" s="141" t="s">
        <v>2567</v>
      </c>
      <c r="Z71" s="141" t="s">
        <v>2568</v>
      </c>
      <c r="AA71" s="141" t="s">
        <v>2567</v>
      </c>
      <c r="AB71" s="141" t="s">
        <v>2569</v>
      </c>
      <c r="AC71" s="139" t="s">
        <v>1669</v>
      </c>
      <c r="AD71" s="141">
        <v>885000.0</v>
      </c>
      <c r="AE71" s="139" t="s">
        <v>2350</v>
      </c>
      <c r="AF71" s="139" t="s">
        <v>2351</v>
      </c>
      <c r="AG71" s="141" t="s">
        <v>2570</v>
      </c>
      <c r="AH71" s="143" t="s">
        <v>2571</v>
      </c>
      <c r="AI71" s="139" t="s">
        <v>1629</v>
      </c>
      <c r="AJ71" s="139" t="s">
        <v>2020</v>
      </c>
      <c r="AK71" s="139" t="s">
        <v>2007</v>
      </c>
      <c r="AL71" s="139" t="s">
        <v>2008</v>
      </c>
      <c r="AM71" s="143" t="s">
        <v>2572</v>
      </c>
      <c r="AN71" s="139" t="s">
        <v>2561</v>
      </c>
      <c r="AO71" s="141">
        <v>1.30476683E8</v>
      </c>
      <c r="AP71" s="139" t="s">
        <v>2355</v>
      </c>
      <c r="AQ71" s="139" t="s">
        <v>2356</v>
      </c>
      <c r="AR71" s="139" t="s">
        <v>2357</v>
      </c>
      <c r="AS71" s="139" t="s">
        <v>2358</v>
      </c>
      <c r="AT71" s="139" t="s">
        <v>423</v>
      </c>
      <c r="AU71" s="139" t="s">
        <v>423</v>
      </c>
      <c r="AV71" s="139" t="s">
        <v>2359</v>
      </c>
      <c r="AW71" s="139" t="s">
        <v>2360</v>
      </c>
      <c r="AX71" s="139" t="s">
        <v>2498</v>
      </c>
      <c r="AY71" s="139" t="s">
        <v>921</v>
      </c>
      <c r="AZ71" s="139" t="s">
        <v>920</v>
      </c>
      <c r="BA71" s="139" t="s">
        <v>2361</v>
      </c>
      <c r="BB71" s="139" t="s">
        <v>2362</v>
      </c>
      <c r="BC71" s="139" t="s">
        <v>2359</v>
      </c>
      <c r="BD71" s="139" t="s">
        <v>2008</v>
      </c>
      <c r="BE71" s="149" t="b">
        <v>0</v>
      </c>
      <c r="BF71" s="141" t="s">
        <v>2022</v>
      </c>
    </row>
    <row r="72" ht="15.75" customHeight="1">
      <c r="B72" s="139" t="s">
        <v>2311</v>
      </c>
      <c r="C72" s="140" t="s">
        <v>2348</v>
      </c>
      <c r="D72" s="32"/>
      <c r="E72" s="32" t="str">
        <f>IFERROR(__xludf.DUMMYFUNCTION("IF(ISBLANK(D72), """", GOOGLETRANSLATE(D72, ""es"", ""en""))"),"")</f>
        <v/>
      </c>
      <c r="G72" s="141">
        <v>209.0</v>
      </c>
      <c r="H72" s="139" t="s">
        <v>2257</v>
      </c>
      <c r="I72" s="139" t="s">
        <v>2258</v>
      </c>
      <c r="J72" s="139" t="s">
        <v>2573</v>
      </c>
      <c r="K72" s="139" t="s">
        <v>2574</v>
      </c>
      <c r="L72" s="139" t="s">
        <v>2575</v>
      </c>
      <c r="M72" s="139" t="s">
        <v>2576</v>
      </c>
      <c r="N72" s="141">
        <v>1734.0</v>
      </c>
      <c r="O72" s="139" t="s">
        <v>2577</v>
      </c>
      <c r="P72" s="139" t="s">
        <v>2017</v>
      </c>
      <c r="Q72" s="139" t="s">
        <v>2259</v>
      </c>
      <c r="R72" s="139" t="s">
        <v>2344</v>
      </c>
      <c r="S72" s="139" t="s">
        <v>2368</v>
      </c>
      <c r="T72" s="141" t="s">
        <v>2578</v>
      </c>
      <c r="U72" s="141" t="s">
        <v>2579</v>
      </c>
      <c r="V72" s="139"/>
      <c r="W72" s="141" t="s">
        <v>2580</v>
      </c>
      <c r="X72" s="141" t="s">
        <v>2580</v>
      </c>
      <c r="Y72" s="141" t="s">
        <v>2581</v>
      </c>
      <c r="Z72" s="141" t="s">
        <v>2581</v>
      </c>
      <c r="AA72" s="141" t="s">
        <v>2581</v>
      </c>
      <c r="AB72" s="141" t="s">
        <v>2581</v>
      </c>
      <c r="AC72" s="139" t="s">
        <v>1669</v>
      </c>
      <c r="AD72" s="141">
        <v>1.8309559E7</v>
      </c>
      <c r="AE72" s="139" t="s">
        <v>2350</v>
      </c>
      <c r="AF72" s="139" t="s">
        <v>2582</v>
      </c>
      <c r="AG72" s="141" t="s">
        <v>2583</v>
      </c>
      <c r="AH72" s="143" t="s">
        <v>2584</v>
      </c>
      <c r="AI72" s="139" t="s">
        <v>1629</v>
      </c>
      <c r="AJ72" s="139" t="s">
        <v>2020</v>
      </c>
      <c r="AK72" s="139" t="s">
        <v>2007</v>
      </c>
      <c r="AL72" s="139" t="s">
        <v>2008</v>
      </c>
      <c r="AM72" s="143" t="s">
        <v>2265</v>
      </c>
      <c r="AN72" s="139" t="s">
        <v>2577</v>
      </c>
      <c r="AO72" s="141">
        <v>1.01517085E8</v>
      </c>
      <c r="AP72" s="139" t="s">
        <v>2355</v>
      </c>
      <c r="AQ72" s="139" t="s">
        <v>2356</v>
      </c>
      <c r="AR72" s="139" t="s">
        <v>2357</v>
      </c>
      <c r="AS72" s="139" t="s">
        <v>2358</v>
      </c>
      <c r="AT72" s="139" t="s">
        <v>423</v>
      </c>
      <c r="AU72" s="139" t="s">
        <v>423</v>
      </c>
      <c r="AV72" s="139" t="s">
        <v>2359</v>
      </c>
      <c r="AW72" s="139" t="s">
        <v>2360</v>
      </c>
      <c r="AX72" s="139" t="s">
        <v>2408</v>
      </c>
      <c r="AY72" s="139" t="s">
        <v>921</v>
      </c>
      <c r="AZ72" s="139" t="s">
        <v>920</v>
      </c>
      <c r="BA72" s="139" t="s">
        <v>2361</v>
      </c>
      <c r="BB72" s="139" t="s">
        <v>2362</v>
      </c>
      <c r="BC72" s="139" t="s">
        <v>2359</v>
      </c>
      <c r="BD72" s="139" t="s">
        <v>2008</v>
      </c>
      <c r="BE72" s="149" t="b">
        <v>0</v>
      </c>
      <c r="BF72" s="141" t="s">
        <v>2022</v>
      </c>
    </row>
    <row r="73" ht="15.75" customHeight="1">
      <c r="B73" s="139" t="s">
        <v>2312</v>
      </c>
      <c r="C73" s="140" t="s">
        <v>2349</v>
      </c>
      <c r="D73" s="32"/>
      <c r="E73" s="32" t="str">
        <f>IFERROR(__xludf.DUMMYFUNCTION("IF(ISBLANK(D73), """", GOOGLETRANSLATE(D73, ""es"", ""en""))"),"")</f>
        <v/>
      </c>
      <c r="G73" s="141">
        <v>209.0</v>
      </c>
      <c r="H73" s="139" t="s">
        <v>2257</v>
      </c>
      <c r="I73" s="139" t="s">
        <v>2258</v>
      </c>
      <c r="J73" s="139" t="s">
        <v>2573</v>
      </c>
      <c r="K73" s="139" t="s">
        <v>2585</v>
      </c>
      <c r="L73" s="139" t="s">
        <v>2586</v>
      </c>
      <c r="M73" s="139" t="s">
        <v>2587</v>
      </c>
      <c r="N73" s="141">
        <v>67348.0</v>
      </c>
      <c r="O73" s="139" t="s">
        <v>2588</v>
      </c>
      <c r="P73" s="139" t="s">
        <v>2017</v>
      </c>
      <c r="Q73" s="139" t="s">
        <v>2259</v>
      </c>
      <c r="R73" s="139" t="s">
        <v>2344</v>
      </c>
      <c r="S73" s="139" t="s">
        <v>2368</v>
      </c>
      <c r="T73" s="141" t="s">
        <v>2578</v>
      </c>
      <c r="U73" s="141" t="s">
        <v>2579</v>
      </c>
      <c r="V73" s="139"/>
      <c r="W73" s="141" t="s">
        <v>2589</v>
      </c>
      <c r="X73" s="141" t="s">
        <v>2590</v>
      </c>
      <c r="Y73" s="141" t="s">
        <v>2581</v>
      </c>
      <c r="Z73" s="141" t="s">
        <v>2581</v>
      </c>
      <c r="AA73" s="141" t="s">
        <v>2581</v>
      </c>
      <c r="AB73" s="141" t="s">
        <v>2581</v>
      </c>
      <c r="AC73" s="139" t="s">
        <v>1669</v>
      </c>
      <c r="AD73" s="141">
        <v>6.2178365E7</v>
      </c>
      <c r="AE73" s="139" t="s">
        <v>2350</v>
      </c>
      <c r="AF73" s="139" t="s">
        <v>2582</v>
      </c>
      <c r="AG73" s="141" t="s">
        <v>2591</v>
      </c>
      <c r="AH73" s="143" t="s">
        <v>2592</v>
      </c>
      <c r="AI73" s="139" t="s">
        <v>1629</v>
      </c>
      <c r="AJ73" s="139" t="s">
        <v>2020</v>
      </c>
      <c r="AK73" s="139" t="s">
        <v>2007</v>
      </c>
      <c r="AL73" s="139" t="s">
        <v>2008</v>
      </c>
      <c r="AM73" s="143" t="s">
        <v>2265</v>
      </c>
      <c r="AN73" s="139" t="s">
        <v>2588</v>
      </c>
      <c r="AO73" s="141">
        <v>1.31557082E8</v>
      </c>
      <c r="AP73" s="139" t="s">
        <v>2355</v>
      </c>
      <c r="AQ73" s="139" t="s">
        <v>2356</v>
      </c>
      <c r="AR73" s="139" t="s">
        <v>2357</v>
      </c>
      <c r="AS73" s="139" t="s">
        <v>2358</v>
      </c>
      <c r="AT73" s="139" t="s">
        <v>67</v>
      </c>
      <c r="AU73" s="139" t="s">
        <v>67</v>
      </c>
      <c r="AV73" s="139" t="s">
        <v>2430</v>
      </c>
      <c r="AW73" s="139" t="s">
        <v>2374</v>
      </c>
      <c r="AX73" s="139"/>
      <c r="AY73" s="139" t="s">
        <v>2387</v>
      </c>
      <c r="AZ73" s="139" t="s">
        <v>2387</v>
      </c>
      <c r="BA73" s="139" t="s">
        <v>2387</v>
      </c>
      <c r="BB73" s="139"/>
      <c r="BC73" s="139" t="s">
        <v>2432</v>
      </c>
      <c r="BD73" s="139" t="s">
        <v>2008</v>
      </c>
      <c r="BE73" s="149" t="b">
        <v>1</v>
      </c>
      <c r="BF73" s="141" t="s">
        <v>2022</v>
      </c>
    </row>
    <row r="74" ht="15.75" customHeight="1">
      <c r="B74" s="139" t="s">
        <v>1977</v>
      </c>
      <c r="C74" s="140" t="s">
        <v>1669</v>
      </c>
      <c r="D74" s="32" t="s">
        <v>2593</v>
      </c>
      <c r="E74" s="32" t="str">
        <f>IFERROR(__xludf.DUMMYFUNCTION("IF(ISBLANK(D74), """", GOOGLETRANSLATE(D74, ""es"", ""en""))"),"Currency symbol in which the contract is concluded (Ex: DOP, USD)")</f>
        <v>Currency symbol in which the contract is concluded (Ex: DOP, USD)</v>
      </c>
      <c r="G74" s="141">
        <v>209.0</v>
      </c>
      <c r="H74" s="139" t="s">
        <v>2257</v>
      </c>
      <c r="I74" s="139" t="s">
        <v>2258</v>
      </c>
      <c r="J74" s="139" t="s">
        <v>2573</v>
      </c>
      <c r="K74" s="139" t="s">
        <v>2594</v>
      </c>
      <c r="L74" s="139" t="s">
        <v>2595</v>
      </c>
      <c r="M74" s="139" t="s">
        <v>2596</v>
      </c>
      <c r="N74" s="141">
        <v>10625.0</v>
      </c>
      <c r="O74" s="139" t="s">
        <v>2597</v>
      </c>
      <c r="P74" s="139" t="s">
        <v>2017</v>
      </c>
      <c r="Q74" s="139" t="s">
        <v>2259</v>
      </c>
      <c r="R74" s="139" t="s">
        <v>2344</v>
      </c>
      <c r="S74" s="139" t="s">
        <v>2368</v>
      </c>
      <c r="T74" s="141" t="s">
        <v>2578</v>
      </c>
      <c r="U74" s="141" t="s">
        <v>2579</v>
      </c>
      <c r="V74" s="139"/>
      <c r="W74" s="141" t="s">
        <v>2598</v>
      </c>
      <c r="X74" s="141" t="s">
        <v>2599</v>
      </c>
      <c r="Y74" s="141" t="s">
        <v>2581</v>
      </c>
      <c r="Z74" s="141" t="s">
        <v>2581</v>
      </c>
      <c r="AA74" s="141" t="s">
        <v>2581</v>
      </c>
      <c r="AB74" s="141" t="s">
        <v>2581</v>
      </c>
      <c r="AC74" s="139" t="s">
        <v>1669</v>
      </c>
      <c r="AD74" s="141">
        <v>1118608.0</v>
      </c>
      <c r="AE74" s="139" t="s">
        <v>2350</v>
      </c>
      <c r="AF74" s="139" t="s">
        <v>2582</v>
      </c>
      <c r="AG74" s="141" t="s">
        <v>2600</v>
      </c>
      <c r="AH74" s="143" t="s">
        <v>2601</v>
      </c>
      <c r="AI74" s="139" t="s">
        <v>1629</v>
      </c>
      <c r="AJ74" s="139" t="s">
        <v>2020</v>
      </c>
      <c r="AK74" s="139" t="s">
        <v>2007</v>
      </c>
      <c r="AL74" s="139" t="s">
        <v>2008</v>
      </c>
      <c r="AM74" s="143" t="s">
        <v>2265</v>
      </c>
      <c r="AN74" s="139" t="s">
        <v>2597</v>
      </c>
      <c r="AO74" s="141">
        <v>1.30560552E8</v>
      </c>
      <c r="AP74" s="139" t="s">
        <v>2355</v>
      </c>
      <c r="AQ74" s="139" t="s">
        <v>2400</v>
      </c>
      <c r="AR74" s="139" t="s">
        <v>2357</v>
      </c>
      <c r="AS74" s="139" t="s">
        <v>2358</v>
      </c>
      <c r="AT74" s="139" t="s">
        <v>67</v>
      </c>
      <c r="AU74" s="139" t="s">
        <v>67</v>
      </c>
      <c r="AV74" s="139" t="s">
        <v>2430</v>
      </c>
      <c r="AW74" s="139" t="s">
        <v>2374</v>
      </c>
      <c r="AX74" s="139" t="s">
        <v>932</v>
      </c>
      <c r="AY74" s="139" t="s">
        <v>932</v>
      </c>
      <c r="AZ74" s="139" t="s">
        <v>920</v>
      </c>
      <c r="BA74" s="139" t="s">
        <v>2361</v>
      </c>
      <c r="BB74" s="139" t="s">
        <v>2362</v>
      </c>
      <c r="BC74" s="139" t="s">
        <v>2432</v>
      </c>
      <c r="BD74" s="139" t="s">
        <v>2008</v>
      </c>
      <c r="BE74" s="149" t="b">
        <v>1</v>
      </c>
      <c r="BF74" s="141" t="s">
        <v>2022</v>
      </c>
    </row>
    <row r="75" ht="15.75" customHeight="1">
      <c r="B75" s="139" t="s">
        <v>2313</v>
      </c>
      <c r="C75" s="140">
        <v>1.087326E7</v>
      </c>
      <c r="D75" s="32" t="s">
        <v>2602</v>
      </c>
      <c r="E75" s="32" t="str">
        <f>IFERROR(__xludf.DUMMYFUNCTION("IF(ISBLANK(D75), """", GOOGLETRANSLATE(D75, ""es"", ""en""))"),"Contracted value")</f>
        <v>Contracted value</v>
      </c>
      <c r="G75" s="141">
        <v>209.0</v>
      </c>
      <c r="H75" s="139" t="s">
        <v>2257</v>
      </c>
      <c r="I75" s="139" t="s">
        <v>2258</v>
      </c>
      <c r="J75" s="139" t="s">
        <v>2573</v>
      </c>
      <c r="K75" s="139" t="s">
        <v>2603</v>
      </c>
      <c r="L75" s="139" t="s">
        <v>2604</v>
      </c>
      <c r="M75" s="139" t="s">
        <v>2605</v>
      </c>
      <c r="N75" s="141">
        <v>92222.0</v>
      </c>
      <c r="O75" s="139" t="s">
        <v>2606</v>
      </c>
      <c r="P75" s="139" t="s">
        <v>2017</v>
      </c>
      <c r="Q75" s="139" t="s">
        <v>2259</v>
      </c>
      <c r="R75" s="139" t="s">
        <v>2344</v>
      </c>
      <c r="S75" s="139" t="s">
        <v>2368</v>
      </c>
      <c r="T75" s="141" t="s">
        <v>2578</v>
      </c>
      <c r="U75" s="141" t="s">
        <v>2579</v>
      </c>
      <c r="V75" s="139"/>
      <c r="W75" s="141" t="s">
        <v>2607</v>
      </c>
      <c r="X75" s="141" t="s">
        <v>2607</v>
      </c>
      <c r="Y75" s="141" t="s">
        <v>2581</v>
      </c>
      <c r="Z75" s="141" t="s">
        <v>2581</v>
      </c>
      <c r="AA75" s="141" t="s">
        <v>2581</v>
      </c>
      <c r="AB75" s="141" t="s">
        <v>2581</v>
      </c>
      <c r="AC75" s="139" t="s">
        <v>1669</v>
      </c>
      <c r="AD75" s="141">
        <v>6.2185761E7</v>
      </c>
      <c r="AE75" s="139" t="s">
        <v>2350</v>
      </c>
      <c r="AF75" s="139" t="s">
        <v>2582</v>
      </c>
      <c r="AG75" s="141" t="s">
        <v>2608</v>
      </c>
      <c r="AH75" s="143" t="s">
        <v>2609</v>
      </c>
      <c r="AI75" s="139" t="s">
        <v>1629</v>
      </c>
      <c r="AJ75" s="139" t="s">
        <v>2020</v>
      </c>
      <c r="AK75" s="139" t="s">
        <v>2007</v>
      </c>
      <c r="AL75" s="139" t="s">
        <v>2008</v>
      </c>
      <c r="AM75" s="143" t="s">
        <v>2265</v>
      </c>
      <c r="AN75" s="139" t="s">
        <v>2606</v>
      </c>
      <c r="AO75" s="141">
        <v>1.31764071E8</v>
      </c>
      <c r="AP75" s="139" t="s">
        <v>2355</v>
      </c>
      <c r="AQ75" s="139" t="s">
        <v>2356</v>
      </c>
      <c r="AR75" s="139" t="s">
        <v>2357</v>
      </c>
      <c r="AS75" s="139" t="s">
        <v>2358</v>
      </c>
      <c r="AT75" s="139" t="s">
        <v>423</v>
      </c>
      <c r="AU75" s="139" t="s">
        <v>423</v>
      </c>
      <c r="AV75" s="139" t="s">
        <v>2359</v>
      </c>
      <c r="AW75" s="139" t="s">
        <v>2360</v>
      </c>
      <c r="AX75" s="139" t="s">
        <v>2610</v>
      </c>
      <c r="AY75" s="139" t="s">
        <v>921</v>
      </c>
      <c r="AZ75" s="139" t="s">
        <v>920</v>
      </c>
      <c r="BA75" s="139" t="s">
        <v>2361</v>
      </c>
      <c r="BB75" s="139" t="s">
        <v>2362</v>
      </c>
      <c r="BC75" s="139" t="s">
        <v>2359</v>
      </c>
      <c r="BD75" s="139" t="s">
        <v>2008</v>
      </c>
      <c r="BE75" s="149" t="b">
        <v>0</v>
      </c>
      <c r="BF75" s="141" t="s">
        <v>2022</v>
      </c>
    </row>
    <row r="76" ht="15.75" customHeight="1">
      <c r="B76" s="139" t="s">
        <v>2314</v>
      </c>
      <c r="C76" s="140" t="s">
        <v>2350</v>
      </c>
      <c r="D76" s="32" t="s">
        <v>2611</v>
      </c>
      <c r="E76" s="32" t="str">
        <f>IFERROR(__xludf.DUMMYFUNCTION("IF(ISBLANK(D76), """", GOOGLETRANSLATE(D76, ""es"", ""en""))"),"Description of the contract payment method")</f>
        <v>Description of the contract payment method</v>
      </c>
      <c r="G76" s="141">
        <v>203.0</v>
      </c>
      <c r="H76" s="139" t="s">
        <v>2336</v>
      </c>
      <c r="I76" s="139" t="s">
        <v>2337</v>
      </c>
      <c r="J76" s="139" t="s">
        <v>2338</v>
      </c>
      <c r="K76" s="139" t="s">
        <v>2612</v>
      </c>
      <c r="L76" s="139" t="s">
        <v>2613</v>
      </c>
      <c r="M76" s="139" t="s">
        <v>2614</v>
      </c>
      <c r="N76" s="141">
        <v>90335.0</v>
      </c>
      <c r="O76" s="139" t="s">
        <v>2615</v>
      </c>
      <c r="P76" s="139" t="s">
        <v>2017</v>
      </c>
      <c r="Q76" s="139" t="s">
        <v>2343</v>
      </c>
      <c r="R76" s="139" t="s">
        <v>2344</v>
      </c>
      <c r="S76" s="139" t="s">
        <v>2368</v>
      </c>
      <c r="T76" s="141" t="s">
        <v>2345</v>
      </c>
      <c r="U76" s="141" t="s">
        <v>2346</v>
      </c>
      <c r="V76" s="139"/>
      <c r="W76" s="141" t="s">
        <v>2616</v>
      </c>
      <c r="X76" s="141" t="s">
        <v>2617</v>
      </c>
      <c r="Y76" s="141" t="s">
        <v>2348</v>
      </c>
      <c r="Z76" s="141" t="s">
        <v>2349</v>
      </c>
      <c r="AA76" s="141" t="s">
        <v>2348</v>
      </c>
      <c r="AB76" s="141" t="s">
        <v>2349</v>
      </c>
      <c r="AC76" s="139" t="s">
        <v>1669</v>
      </c>
      <c r="AD76" s="141">
        <v>2.00855032E8</v>
      </c>
      <c r="AE76" s="139" t="s">
        <v>2350</v>
      </c>
      <c r="AF76" s="139" t="s">
        <v>2351</v>
      </c>
      <c r="AG76" s="141" t="s">
        <v>2618</v>
      </c>
      <c r="AH76" s="143" t="s">
        <v>2619</v>
      </c>
      <c r="AI76" s="139" t="s">
        <v>1629</v>
      </c>
      <c r="AJ76" s="139" t="s">
        <v>2020</v>
      </c>
      <c r="AK76" s="139" t="s">
        <v>2007</v>
      </c>
      <c r="AL76" s="139" t="s">
        <v>2008</v>
      </c>
      <c r="AM76" s="143" t="s">
        <v>2354</v>
      </c>
      <c r="AN76" s="139" t="s">
        <v>2615</v>
      </c>
      <c r="AO76" s="141">
        <v>1.31531059E8</v>
      </c>
      <c r="AP76" s="139" t="s">
        <v>2355</v>
      </c>
      <c r="AQ76" s="139" t="s">
        <v>2356</v>
      </c>
      <c r="AR76" s="139" t="s">
        <v>2357</v>
      </c>
      <c r="AS76" s="139" t="s">
        <v>2358</v>
      </c>
      <c r="AT76" s="139" t="s">
        <v>67</v>
      </c>
      <c r="AU76" s="139" t="s">
        <v>67</v>
      </c>
      <c r="AV76" s="139" t="s">
        <v>2430</v>
      </c>
      <c r="AW76" s="139" t="s">
        <v>2374</v>
      </c>
      <c r="AX76" s="139" t="s">
        <v>932</v>
      </c>
      <c r="AY76" s="139" t="s">
        <v>932</v>
      </c>
      <c r="AZ76" s="139" t="s">
        <v>920</v>
      </c>
      <c r="BA76" s="139" t="s">
        <v>2361</v>
      </c>
      <c r="BB76" s="139" t="s">
        <v>2362</v>
      </c>
      <c r="BC76" s="139" t="s">
        <v>2432</v>
      </c>
      <c r="BD76" s="139" t="s">
        <v>2008</v>
      </c>
      <c r="BE76" s="149" t="b">
        <v>1</v>
      </c>
      <c r="BF76" s="141" t="s">
        <v>2022</v>
      </c>
    </row>
    <row r="77" ht="15.75" customHeight="1">
      <c r="B77" s="139" t="s">
        <v>2315</v>
      </c>
      <c r="C77" s="140" t="s">
        <v>2351</v>
      </c>
      <c r="D77" s="32" t="s">
        <v>2620</v>
      </c>
      <c r="E77" s="32" t="str">
        <f>IFERROR(__xludf.DUMMYFUNCTION("IF(ISBLANK(D77), """", GOOGLETRANSLATE(D77, ""es"", ""en""))"),"Billing payment term description")</f>
        <v>Billing payment term description</v>
      </c>
    </row>
    <row r="78" ht="15.75" customHeight="1">
      <c r="B78" s="139" t="s">
        <v>1998</v>
      </c>
      <c r="C78" s="140" t="s">
        <v>2621</v>
      </c>
      <c r="D78" s="32" t="s">
        <v>2622</v>
      </c>
      <c r="E78" s="32" t="str">
        <f>IFERROR(__xludf.DUMMYFUNCTION("IF(ISBLANK(D78), """", GOOGLETRANSLATE(D78, ""es"", ""en""))"),"Date of last modification of contract information")</f>
        <v>Date of last modification of contract information</v>
      </c>
    </row>
    <row r="79" ht="15.75" customHeight="1">
      <c r="B79" s="139" t="s">
        <v>2316</v>
      </c>
      <c r="C79" s="146" t="s">
        <v>2353</v>
      </c>
      <c r="D79" s="32" t="s">
        <v>2623</v>
      </c>
      <c r="E79" s="32" t="str">
        <f>IFERROR(__xludf.DUMMYFUNCTION("IF(ISBLANK(D79), """", GOOGLETRANSLATE(D79, ""es"", ""en""))"),"Contract URL on the public procurement page")</f>
        <v>Contract URL on the public procurement page</v>
      </c>
    </row>
    <row r="80" ht="15.75" customHeight="1">
      <c r="B80" s="139" t="s">
        <v>1975</v>
      </c>
      <c r="C80" s="140" t="s">
        <v>1629</v>
      </c>
      <c r="D80" s="32" t="s">
        <v>2624</v>
      </c>
      <c r="E80" s="32" t="str">
        <f>IFERROR(__xludf.DUMMYFUNCTION("IF(ISBLANK(D80), """", GOOGLETRANSLATE(D80, ""es"", ""en""))"),"Description of the status of the hiring process")</f>
        <v>Description of the status of the hiring process</v>
      </c>
    </row>
    <row r="81" ht="15.75" customHeight="1">
      <c r="B81" s="139" t="s">
        <v>1999</v>
      </c>
      <c r="C81" s="140" t="s">
        <v>2020</v>
      </c>
      <c r="D81" s="32" t="s">
        <v>2625</v>
      </c>
      <c r="E81" s="32" t="str">
        <f>IFERROR(__xludf.DUMMYFUNCTION("IF(ISBLANK(D81), """", GOOGLETRANSLATE(D81, ""es"", ""en""))"),"Coding of the contracting modality")</f>
        <v>Coding of the contracting modality</v>
      </c>
    </row>
    <row r="82" ht="15.75" customHeight="1">
      <c r="B82" s="139" t="s">
        <v>1971</v>
      </c>
      <c r="C82" s="140" t="s">
        <v>2007</v>
      </c>
      <c r="D82" s="32" t="s">
        <v>2626</v>
      </c>
      <c r="E82" s="32" t="str">
        <f>IFERROR(__xludf.DUMMYFUNCTION("IF(ISBLANK(D82), """", GOOGLETRANSLATE(D82, ""es"", ""en""))"),"Description of the contracting modality (Example: Exception Processes)")</f>
        <v>Description of the contracting modality (Example: Exception Processes)</v>
      </c>
    </row>
    <row r="83" ht="15.75" customHeight="1">
      <c r="B83" s="139" t="s">
        <v>1972</v>
      </c>
      <c r="C83" s="140" t="s">
        <v>2008</v>
      </c>
      <c r="D83" s="32"/>
      <c r="E83" s="32" t="str">
        <f>IFERROR(__xludf.DUMMYFUNCTION("IF(ISBLANK(D83), """", GOOGLETRANSLATE(D83, ""es"", ""en""))"),"")</f>
        <v/>
      </c>
    </row>
    <row r="84" ht="15.75" customHeight="1">
      <c r="B84" s="139" t="s">
        <v>3</v>
      </c>
      <c r="C84" s="146" t="s">
        <v>2354</v>
      </c>
      <c r="D84" s="32"/>
      <c r="E84" s="32" t="str">
        <f>IFERROR(__xludf.DUMMYFUNCTION("IF(ISBLANK(D84), """", GOOGLETRANSLATE(D84, ""es"", ""en""))"),"")</f>
        <v/>
      </c>
    </row>
    <row r="85" ht="15.75" customHeight="1">
      <c r="B85" s="139" t="s">
        <v>2317</v>
      </c>
      <c r="C85" s="140" t="s">
        <v>2342</v>
      </c>
      <c r="D85" s="32"/>
      <c r="E85" s="32" t="str">
        <f>IFERROR(__xludf.DUMMYFUNCTION("IF(ISBLANK(D85), """", GOOGLETRANSLATE(D85, ""es"", ""en""))"),"")</f>
        <v/>
      </c>
    </row>
    <row r="86" ht="15.75" customHeight="1">
      <c r="B86" s="139" t="s">
        <v>2318</v>
      </c>
      <c r="C86" s="140">
        <v>1.30266662E8</v>
      </c>
      <c r="D86" s="32" t="s">
        <v>2627</v>
      </c>
      <c r="E86" s="32" t="str">
        <f>IFERROR(__xludf.DUMMYFUNCTION("IF(ISBLANK(D86), """", GOOGLETRANSLATE(D86, ""es"", ""en""))"),"Supplier identification document number")</f>
        <v>Supplier identification document number</v>
      </c>
    </row>
    <row r="87" ht="15.75" customHeight="1">
      <c r="B87" s="139" t="s">
        <v>2319</v>
      </c>
      <c r="C87" s="140" t="s">
        <v>2355</v>
      </c>
      <c r="D87" s="32" t="s">
        <v>2628</v>
      </c>
      <c r="E87" s="32" t="str">
        <f>IFERROR(__xludf.DUMMYFUNCTION("IF(ISBLANK(D87), """", GOOGLETRANSLATE(D87, ""es"", ""en""))"),"Supplier ID type")</f>
        <v>Supplier ID type</v>
      </c>
    </row>
    <row r="88" ht="15.75" customHeight="1">
      <c r="B88" s="139" t="s">
        <v>2320</v>
      </c>
      <c r="C88" s="140" t="s">
        <v>2356</v>
      </c>
      <c r="D88" s="32" t="s">
        <v>2629</v>
      </c>
      <c r="E88" s="32" t="str">
        <f>IFERROR(__xludf.DUMMYFUNCTION("IF(ISBLANK(D88), """", GOOGLETRANSLATE(D88, ""es"", ""en""))"),"Provider gender identity")</f>
        <v>Provider gender identity</v>
      </c>
    </row>
    <row r="89" ht="15.75" customHeight="1">
      <c r="B89" s="139" t="s">
        <v>2321</v>
      </c>
      <c r="C89" s="140" t="s">
        <v>2357</v>
      </c>
      <c r="D89" s="32" t="s">
        <v>2630</v>
      </c>
      <c r="E89" s="32" t="str">
        <f>IFERROR(__xludf.DUMMYFUNCTION("IF(ISBLANK(D89), """", GOOGLETRANSLATE(D89, ""es"", ""en""))"),"Type of person (Example: Natural or Legal)")</f>
        <v>Type of person (Example: Natural or Legal)</v>
      </c>
    </row>
    <row r="90" ht="15.75" customHeight="1">
      <c r="B90" s="139" t="s">
        <v>2322</v>
      </c>
      <c r="C90" s="140" t="s">
        <v>2358</v>
      </c>
      <c r="D90" s="32"/>
      <c r="E90" s="32" t="str">
        <f>IFERROR(__xludf.DUMMYFUNCTION("IF(ISBLANK(D90), """", GOOGLETRANSLATE(D90, ""es"", ""en""))"),"")</f>
        <v/>
      </c>
    </row>
    <row r="91" ht="15.75" customHeight="1">
      <c r="B91" s="139" t="s">
        <v>2323</v>
      </c>
      <c r="C91" s="140" t="s">
        <v>423</v>
      </c>
      <c r="D91" s="32" t="s">
        <v>2631</v>
      </c>
      <c r="E91" s="32" t="str">
        <f>IFERROR(__xludf.DUMMYFUNCTION("IF(ISBLANK(D91), """", GOOGLETRANSLATE(D91, ""es"", ""en""))"),"Identifier if it is an MSME (Yes or No)")</f>
        <v>Identifier if it is an MSME (Yes or No)</v>
      </c>
    </row>
    <row r="92" ht="15.75" customHeight="1">
      <c r="B92" s="139" t="s">
        <v>2324</v>
      </c>
      <c r="C92" s="140" t="s">
        <v>423</v>
      </c>
      <c r="D92" s="32"/>
      <c r="E92" s="32" t="str">
        <f>IFERROR(__xludf.DUMMYFUNCTION("IF(ISBLANK(D92), """", GOOGLETRANSLATE(D92, ""es"", ""en""))"),"")</f>
        <v/>
      </c>
    </row>
    <row r="93" ht="15.75" customHeight="1">
      <c r="B93" s="139" t="s">
        <v>2325</v>
      </c>
      <c r="C93" s="140" t="s">
        <v>2359</v>
      </c>
      <c r="D93" s="32" t="s">
        <v>2632</v>
      </c>
      <c r="E93" s="32" t="str">
        <f>IFERROR(__xludf.DUMMYFUNCTION("IF(ISBLANK(D93), """", GOOGLETRANSLATE(D93, ""es"", ""en""))"),"Level 1 Business Classification")</f>
        <v>Level 1 Business Classification</v>
      </c>
    </row>
    <row r="94" ht="15.75" customHeight="1">
      <c r="B94" s="139" t="s">
        <v>2326</v>
      </c>
      <c r="C94" s="140" t="s">
        <v>2360</v>
      </c>
      <c r="D94" s="32" t="s">
        <v>2633</v>
      </c>
      <c r="E94" s="32" t="str">
        <f>IFERROR(__xludf.DUMMYFUNCTION("IF(ISBLANK(D94), """", GOOGLETRANSLATE(D94, ""es"", ""en""))"),"Level 2 Business Classification")</f>
        <v>Level 2 Business Classification</v>
      </c>
    </row>
    <row r="95" ht="15.75" customHeight="1">
      <c r="B95" s="139" t="s">
        <v>2327</v>
      </c>
      <c r="C95" s="140" t="s">
        <v>932</v>
      </c>
      <c r="D95" s="32" t="s">
        <v>2634</v>
      </c>
      <c r="E95" s="32" t="str">
        <f>IFERROR(__xludf.DUMMYFUNCTION("IF(ISBLANK(D95), """", GOOGLETRANSLATE(D95, ""es"", ""en""))"),"Municipality name")</f>
        <v>Municipality name</v>
      </c>
    </row>
    <row r="96" ht="15.75" customHeight="1">
      <c r="B96" s="139" t="s">
        <v>2328</v>
      </c>
      <c r="C96" s="140" t="s">
        <v>932</v>
      </c>
      <c r="D96" s="32" t="s">
        <v>2635</v>
      </c>
      <c r="E96" s="32" t="str">
        <f>IFERROR(__xludf.DUMMYFUNCTION("IF(ISBLANK(D96), """", GOOGLETRANSLATE(D96, ""es"", ""en""))"),"Province name")</f>
        <v>Province name</v>
      </c>
    </row>
    <row r="97" ht="15.75" customHeight="1">
      <c r="B97" s="139" t="s">
        <v>2329</v>
      </c>
      <c r="C97" s="140" t="s">
        <v>920</v>
      </c>
      <c r="D97" s="32" t="s">
        <v>2636</v>
      </c>
      <c r="E97" s="32" t="str">
        <f>IFERROR(__xludf.DUMMYFUNCTION("IF(ISBLANK(D97), """", GOOGLETRANSLATE(D97, ""es"", ""en""))"),"Region name")</f>
        <v>Region name</v>
      </c>
    </row>
    <row r="98" ht="15.75" customHeight="1">
      <c r="B98" s="139" t="s">
        <v>2330</v>
      </c>
      <c r="C98" s="140" t="s">
        <v>2361</v>
      </c>
      <c r="D98" s="32" t="s">
        <v>2637</v>
      </c>
      <c r="E98" s="32" t="str">
        <f>IFERROR(__xludf.DUMMYFUNCTION("IF(ISBLANK(D98), """", GOOGLETRANSLATE(D98, ""es"", ""en""))"),"Name of the Macroregion")</f>
        <v>Name of the Macroregion</v>
      </c>
    </row>
    <row r="99" ht="15.75" customHeight="1">
      <c r="B99" s="139" t="s">
        <v>2331</v>
      </c>
      <c r="C99" s="140" t="s">
        <v>2362</v>
      </c>
      <c r="D99" s="32"/>
      <c r="E99" s="32" t="str">
        <f>IFERROR(__xludf.DUMMYFUNCTION("IF(ISBLANK(D99), """", GOOGLETRANSLATE(D99, ""es"", ""en""))"),"")</f>
        <v/>
      </c>
    </row>
    <row r="100" ht="15.75" customHeight="1">
      <c r="B100" s="139" t="s">
        <v>2332</v>
      </c>
      <c r="C100" s="140"/>
      <c r="D100" s="32" t="s">
        <v>2638</v>
      </c>
      <c r="E100" s="32" t="str">
        <f>IFERROR(__xludf.DUMMYFUNCTION("IF(ISBLANK(D100), """", GOOGLETRANSLATE(D100, ""es"", ""en""))"),"MICM classification description")</f>
        <v>MICM classification description</v>
      </c>
    </row>
    <row r="101" ht="15.75" customHeight="1">
      <c r="B101" s="139" t="s">
        <v>2333</v>
      </c>
      <c r="C101" s="140" t="s">
        <v>2008</v>
      </c>
      <c r="D101" s="32" t="s">
        <v>2639</v>
      </c>
      <c r="E101" s="32" t="str">
        <f>IFERROR(__xludf.DUMMYFUNCTION("IF(ISBLANK(D101), """", GOOGLETRANSLATE(D101, ""es"", ""en""))"),"Exception Detail Description")</f>
        <v>Exception Detail Description</v>
      </c>
    </row>
    <row r="102" ht="15.75" customHeight="1">
      <c r="B102" s="139" t="s">
        <v>2334</v>
      </c>
      <c r="C102" s="140" t="b">
        <v>0</v>
      </c>
      <c r="D102" s="32"/>
      <c r="E102" s="32" t="str">
        <f>IFERROR(__xludf.DUMMYFUNCTION("IF(ISBLANK(D102), """", GOOGLETRANSLATE(D102, ""es"", ""en""))"),"")</f>
        <v/>
      </c>
    </row>
    <row r="103" ht="15.75" customHeight="1">
      <c r="B103" s="139" t="s">
        <v>2002</v>
      </c>
      <c r="C103" s="140" t="s">
        <v>2022</v>
      </c>
      <c r="D103" s="32"/>
      <c r="E103" s="32" t="str">
        <f>IFERROR(__xludf.DUMMYFUNCTION("IF(ISBLANK(D103), """", GOOGLETRANSLATE(D103, ""es"", ""en""))"),"")</f>
        <v/>
      </c>
    </row>
    <row r="104" ht="15.75" customHeight="1"/>
    <row r="105" ht="15.75" customHeight="1"/>
    <row r="106" ht="15.75" customHeight="1">
      <c r="B106" s="148" t="s">
        <v>2640</v>
      </c>
      <c r="G106" s="128" t="s">
        <v>33</v>
      </c>
    </row>
    <row r="107" ht="15.75" customHeight="1">
      <c r="B107" s="135" t="s">
        <v>2641</v>
      </c>
      <c r="D107" s="135" t="str">
        <f>IFERROR(__xludf.DUMMYFUNCTION("IF(ISBLANK(B107), """", GOOGLETRANSLATE(B107, ""es"", ""en""))"),"Contains information on the items related to a contracting process")</f>
        <v>Contains information on the items related to a contracting process</v>
      </c>
    </row>
    <row r="108" ht="15.75" customHeight="1">
      <c r="B108" s="26" t="s">
        <v>1692</v>
      </c>
      <c r="C108" s="26" t="s">
        <v>1693</v>
      </c>
      <c r="D108" s="26" t="s">
        <v>1694</v>
      </c>
      <c r="E108" s="26" t="s">
        <v>1695</v>
      </c>
      <c r="G108" s="137" t="s">
        <v>1970</v>
      </c>
      <c r="H108" s="137" t="s">
        <v>1975</v>
      </c>
      <c r="I108" s="137" t="s">
        <v>2642</v>
      </c>
      <c r="J108" s="137" t="s">
        <v>2643</v>
      </c>
      <c r="K108" s="137" t="s">
        <v>2644</v>
      </c>
      <c r="L108" s="137" t="s">
        <v>2645</v>
      </c>
      <c r="M108" s="137" t="s">
        <v>2646</v>
      </c>
      <c r="N108" s="137" t="s">
        <v>2647</v>
      </c>
      <c r="O108" s="137" t="s">
        <v>2648</v>
      </c>
      <c r="P108" s="137" t="s">
        <v>2649</v>
      </c>
      <c r="Q108" s="137" t="s">
        <v>2650</v>
      </c>
      <c r="R108" s="137" t="s">
        <v>2651</v>
      </c>
      <c r="S108" s="137" t="s">
        <v>2002</v>
      </c>
    </row>
    <row r="109" ht="15.75" customHeight="1">
      <c r="B109" s="147" t="s">
        <v>1970</v>
      </c>
      <c r="C109" s="147" t="s">
        <v>2237</v>
      </c>
      <c r="D109" s="32" t="s">
        <v>2652</v>
      </c>
      <c r="E109" s="32" t="str">
        <f>IFERROR(__xludf.DUMMYFUNCTION("IF(ISBLANK(D109), """", GOOGLETRANSLATE(D109, ""es"", ""en""))"),"Hiring process identifier code
")</f>
        <v>Hiring process identifier code
</v>
      </c>
      <c r="G109" s="139" t="s">
        <v>2237</v>
      </c>
      <c r="H109" s="139" t="s">
        <v>1629</v>
      </c>
      <c r="I109" s="141">
        <v>5.6195334E7</v>
      </c>
      <c r="J109" s="141">
        <v>3.1201525E7</v>
      </c>
      <c r="K109" s="139" t="s">
        <v>2653</v>
      </c>
      <c r="L109" s="139" t="s">
        <v>2654</v>
      </c>
      <c r="M109" s="139" t="s">
        <v>2655</v>
      </c>
      <c r="N109" s="139" t="s">
        <v>2656</v>
      </c>
      <c r="O109" s="139" t="s">
        <v>2657</v>
      </c>
      <c r="P109" s="141">
        <v>120.0</v>
      </c>
      <c r="Q109" s="141">
        <v>826.0</v>
      </c>
      <c r="R109" s="141">
        <v>99120.0</v>
      </c>
      <c r="S109" s="141" t="s">
        <v>2658</v>
      </c>
    </row>
    <row r="110" ht="15.75" customHeight="1">
      <c r="B110" s="147" t="s">
        <v>1975</v>
      </c>
      <c r="C110" s="147" t="s">
        <v>1629</v>
      </c>
      <c r="D110" s="32" t="s">
        <v>2659</v>
      </c>
      <c r="E110" s="32" t="str">
        <f>IFERROR(__xludf.DUMMYFUNCTION("IF(ISBLANK(D110), """", GOOGLETRANSLATE(D110, ""es"", ""en""))"),"State of the process")</f>
        <v>State of the process</v>
      </c>
      <c r="G110" s="139" t="s">
        <v>2237</v>
      </c>
      <c r="H110" s="139" t="s">
        <v>1629</v>
      </c>
      <c r="I110" s="141">
        <v>5.6195337E7</v>
      </c>
      <c r="J110" s="141">
        <v>3.9121431E7</v>
      </c>
      <c r="K110" s="139" t="s">
        <v>2660</v>
      </c>
      <c r="L110" s="139" t="s">
        <v>2661</v>
      </c>
      <c r="M110" s="139" t="s">
        <v>2655</v>
      </c>
      <c r="N110" s="139" t="s">
        <v>2656</v>
      </c>
      <c r="O110" s="139" t="s">
        <v>2662</v>
      </c>
      <c r="P110" s="141">
        <v>50.0</v>
      </c>
      <c r="Q110" s="141" t="s">
        <v>2663</v>
      </c>
      <c r="R110" s="141">
        <v>2360.0</v>
      </c>
      <c r="S110" s="141" t="s">
        <v>2658</v>
      </c>
    </row>
    <row r="111" ht="15.75" customHeight="1">
      <c r="B111" s="147" t="s">
        <v>2642</v>
      </c>
      <c r="C111" s="147">
        <v>5.6195334E7</v>
      </c>
      <c r="D111" s="80" t="s">
        <v>2664</v>
      </c>
      <c r="E111" s="32" t="str">
        <f>IFERROR(__xludf.DUMMYFUNCTION("IF(ISBLANK(D111), """", GOOGLETRANSLATE(D111, ""es"", ""en""))"),"Item identifier in the item catalog")</f>
        <v>Item identifier in the item catalog</v>
      </c>
      <c r="G111" s="139" t="s">
        <v>2237</v>
      </c>
      <c r="H111" s="139" t="s">
        <v>1629</v>
      </c>
      <c r="I111" s="141">
        <v>5.6195338E7</v>
      </c>
      <c r="J111" s="141">
        <v>4.7121802E7</v>
      </c>
      <c r="K111" s="139" t="s">
        <v>2665</v>
      </c>
      <c r="L111" s="139" t="s">
        <v>705</v>
      </c>
      <c r="M111" s="139" t="s">
        <v>2655</v>
      </c>
      <c r="N111" s="139" t="s">
        <v>2656</v>
      </c>
      <c r="O111" s="139" t="s">
        <v>2666</v>
      </c>
      <c r="P111" s="141">
        <v>200.0</v>
      </c>
      <c r="Q111" s="141">
        <v>531.0</v>
      </c>
      <c r="R111" s="141">
        <v>106200.0</v>
      </c>
      <c r="S111" s="141" t="s">
        <v>2658</v>
      </c>
    </row>
    <row r="112" ht="15.75" customHeight="1">
      <c r="B112" s="147" t="s">
        <v>2643</v>
      </c>
      <c r="C112" s="147">
        <v>3.1201525E7</v>
      </c>
      <c r="D112" s="32" t="s">
        <v>2667</v>
      </c>
      <c r="E112" s="32" t="str">
        <f>IFERROR(__xludf.DUMMYFUNCTION("IF(ISBLANK(D112), """", GOOGLETRANSLATE(D112, ""es"", ""en""))"),"Subclass identifier in the UNSPSC catalog
")</f>
        <v>Subclass identifier in the UNSPSC catalog
</v>
      </c>
      <c r="G112" s="139" t="s">
        <v>2237</v>
      </c>
      <c r="H112" s="139" t="s">
        <v>1629</v>
      </c>
      <c r="I112" s="141">
        <v>5.6195343E7</v>
      </c>
      <c r="J112" s="141">
        <v>3.9121409E7</v>
      </c>
      <c r="K112" s="139" t="s">
        <v>2668</v>
      </c>
      <c r="L112" s="139" t="s">
        <v>2661</v>
      </c>
      <c r="M112" s="139" t="s">
        <v>2655</v>
      </c>
      <c r="N112" s="139" t="s">
        <v>2656</v>
      </c>
      <c r="O112" s="139" t="s">
        <v>2669</v>
      </c>
      <c r="P112" s="141">
        <v>40.0</v>
      </c>
      <c r="Q112" s="141" t="s">
        <v>2670</v>
      </c>
      <c r="R112" s="141">
        <v>4248.0</v>
      </c>
      <c r="S112" s="141" t="s">
        <v>2658</v>
      </c>
    </row>
    <row r="113" ht="15.75" customHeight="1">
      <c r="B113" s="147" t="s">
        <v>2644</v>
      </c>
      <c r="C113" s="147" t="s">
        <v>2653</v>
      </c>
      <c r="D113" s="32" t="s">
        <v>2671</v>
      </c>
      <c r="E113" s="32" t="str">
        <f>IFERROR(__xludf.DUMMYFUNCTION("IF(ISBLANK(D113), """", GOOGLETRANSLATE(D113, ""es"", ""en""))"),"Description of the article")</f>
        <v>Description of the article</v>
      </c>
      <c r="G113" s="139" t="s">
        <v>2237</v>
      </c>
      <c r="H113" s="139" t="s">
        <v>1629</v>
      </c>
      <c r="I113" s="141">
        <v>5.6195349E7</v>
      </c>
      <c r="J113" s="141">
        <v>2.7111704E7</v>
      </c>
      <c r="K113" s="139" t="s">
        <v>2672</v>
      </c>
      <c r="L113" s="139" t="s">
        <v>2673</v>
      </c>
      <c r="M113" s="139" t="s">
        <v>2655</v>
      </c>
      <c r="N113" s="139" t="s">
        <v>2656</v>
      </c>
      <c r="O113" s="139" t="s">
        <v>2674</v>
      </c>
      <c r="P113" s="141">
        <v>200.0</v>
      </c>
      <c r="Q113" s="141" t="s">
        <v>2675</v>
      </c>
      <c r="R113" s="141">
        <v>84960.0</v>
      </c>
      <c r="S113" s="141" t="s">
        <v>2658</v>
      </c>
    </row>
    <row r="114" ht="15.75" customHeight="1">
      <c r="B114" s="147" t="s">
        <v>2645</v>
      </c>
      <c r="C114" s="147" t="s">
        <v>2654</v>
      </c>
      <c r="D114" s="32" t="s">
        <v>2676</v>
      </c>
      <c r="E114" s="32" t="str">
        <f>IFERROR(__xludf.DUMMYFUNCTION("IF(ISBLANK(D114), """", GOOGLETRANSLATE(D114, ""es"", ""en""))"),"budget account code")</f>
        <v>budget account code</v>
      </c>
      <c r="G114" s="139" t="s">
        <v>2237</v>
      </c>
      <c r="H114" s="139" t="s">
        <v>1629</v>
      </c>
      <c r="I114" s="141">
        <v>5.6195353E7</v>
      </c>
      <c r="J114" s="141">
        <v>2.612163E7</v>
      </c>
      <c r="K114" s="139" t="s">
        <v>2677</v>
      </c>
      <c r="L114" s="139" t="s">
        <v>2661</v>
      </c>
      <c r="M114" s="139" t="s">
        <v>2655</v>
      </c>
      <c r="N114" s="139" t="s">
        <v>2656</v>
      </c>
      <c r="O114" s="139" t="s">
        <v>2678</v>
      </c>
      <c r="P114" s="141">
        <v>200.0</v>
      </c>
      <c r="Q114" s="141" t="s">
        <v>2679</v>
      </c>
      <c r="R114" s="141">
        <v>1652.0</v>
      </c>
      <c r="S114" s="141" t="s">
        <v>2658</v>
      </c>
    </row>
    <row r="115" ht="15.75" customHeight="1">
      <c r="B115" s="147" t="s">
        <v>2646</v>
      </c>
      <c r="C115" s="147" t="s">
        <v>2655</v>
      </c>
      <c r="D115" s="32" t="s">
        <v>2680</v>
      </c>
      <c r="E115" s="32" t="str">
        <f>IFERROR(__xludf.DUMMYFUNCTION("IF(ISBLANK(D115), """", GOOGLETRANSLATE(D115, ""es"", ""en""))"),"Abbreviation of the item's unit of measure")</f>
        <v>Abbreviation of the item's unit of measure</v>
      </c>
      <c r="F115" s="138"/>
      <c r="G115" s="139" t="s">
        <v>2237</v>
      </c>
      <c r="H115" s="139" t="s">
        <v>1629</v>
      </c>
      <c r="I115" s="141">
        <v>5.619536E7</v>
      </c>
      <c r="J115" s="141">
        <v>3.9121409E7</v>
      </c>
      <c r="K115" s="139" t="s">
        <v>2668</v>
      </c>
      <c r="L115" s="139" t="s">
        <v>2661</v>
      </c>
      <c r="M115" s="139" t="s">
        <v>2655</v>
      </c>
      <c r="N115" s="139" t="s">
        <v>2656</v>
      </c>
      <c r="O115" s="139" t="s">
        <v>2681</v>
      </c>
      <c r="P115" s="141">
        <v>1000.0</v>
      </c>
      <c r="Q115" s="141" t="s">
        <v>2682</v>
      </c>
      <c r="R115" s="141">
        <v>21240.0</v>
      </c>
      <c r="S115" s="141" t="s">
        <v>2658</v>
      </c>
    </row>
    <row r="116" ht="15.75" customHeight="1">
      <c r="B116" s="147" t="s">
        <v>2647</v>
      </c>
      <c r="C116" s="147" t="s">
        <v>2656</v>
      </c>
      <c r="D116" s="32" t="s">
        <v>2683</v>
      </c>
      <c r="E116" s="32" t="str">
        <f>IFERROR(__xludf.DUMMYFUNCTION("IF(ISBLANK(D116), """", GOOGLETRANSLATE(D116, ""es"", ""en""))"),"Description of the item's unit of measure")</f>
        <v>Description of the item's unit of measure</v>
      </c>
      <c r="F116" s="138"/>
      <c r="G116" s="139" t="s">
        <v>2237</v>
      </c>
      <c r="H116" s="139" t="s">
        <v>1629</v>
      </c>
      <c r="I116" s="141">
        <v>5.6195366E7</v>
      </c>
      <c r="J116" s="141">
        <v>3.9121409E7</v>
      </c>
      <c r="K116" s="139" t="s">
        <v>2668</v>
      </c>
      <c r="L116" s="139" t="s">
        <v>2661</v>
      </c>
      <c r="M116" s="139" t="s">
        <v>2655</v>
      </c>
      <c r="N116" s="139" t="s">
        <v>2656</v>
      </c>
      <c r="O116" s="139" t="s">
        <v>2684</v>
      </c>
      <c r="P116" s="141">
        <v>1000.0</v>
      </c>
      <c r="Q116" s="141" t="s">
        <v>2685</v>
      </c>
      <c r="R116" s="141">
        <v>18880.0</v>
      </c>
      <c r="S116" s="141" t="s">
        <v>2658</v>
      </c>
    </row>
    <row r="117" ht="15.75" customHeight="1">
      <c r="B117" s="147" t="s">
        <v>2648</v>
      </c>
      <c r="C117" s="147" t="s">
        <v>2657</v>
      </c>
      <c r="D117" s="32" t="s">
        <v>2686</v>
      </c>
      <c r="E117" s="32" t="str">
        <f>IFERROR(__xludf.DUMMYFUNCTION("IF(ISBLANK(D117), """", GOOGLETRANSLATE(D117, ""es"", ""en""))"),"Product description")</f>
        <v>Product description</v>
      </c>
      <c r="G117" s="139" t="s">
        <v>2237</v>
      </c>
      <c r="H117" s="139" t="s">
        <v>1629</v>
      </c>
      <c r="I117" s="141">
        <v>5.6195388E7</v>
      </c>
      <c r="J117" s="141">
        <v>3.9121409E7</v>
      </c>
      <c r="K117" s="139" t="s">
        <v>2668</v>
      </c>
      <c r="L117" s="139" t="s">
        <v>2661</v>
      </c>
      <c r="M117" s="139" t="s">
        <v>2655</v>
      </c>
      <c r="N117" s="139" t="s">
        <v>2656</v>
      </c>
      <c r="O117" s="139" t="s">
        <v>2687</v>
      </c>
      <c r="P117" s="141">
        <v>250.0</v>
      </c>
      <c r="Q117" s="141" t="s">
        <v>2688</v>
      </c>
      <c r="R117" s="141">
        <v>24780.0</v>
      </c>
      <c r="S117" s="141" t="s">
        <v>2658</v>
      </c>
    </row>
    <row r="118" ht="15.75" customHeight="1">
      <c r="B118" s="147" t="s">
        <v>2649</v>
      </c>
      <c r="C118" s="147">
        <v>120.0</v>
      </c>
      <c r="D118" s="32" t="s">
        <v>2689</v>
      </c>
      <c r="E118" s="32" t="str">
        <f>IFERROR(__xludf.DUMMYFUNCTION("IF(ISBLANK(D118), """", GOOGLETRANSLATE(D118, ""es"", ""en""))"),"Number of articles associated with the contracting process
")</f>
        <v>Number of articles associated with the contracting process
</v>
      </c>
    </row>
    <row r="119" ht="15.75" customHeight="1">
      <c r="B119" s="147" t="s">
        <v>2650</v>
      </c>
      <c r="C119" s="147">
        <v>826.0</v>
      </c>
      <c r="D119" s="32" t="s">
        <v>2690</v>
      </c>
      <c r="E119" s="32" t="str">
        <f>IFERROR(__xludf.DUMMYFUNCTION("IF(ISBLANK(D119), """", GOOGLETRANSLATE(D119, ""es"", ""en""))"),"Estimated unit price value of the item
")</f>
        <v>Estimated unit price value of the item
</v>
      </c>
    </row>
    <row r="120" ht="15.75" customHeight="1">
      <c r="B120" s="147" t="s">
        <v>2651</v>
      </c>
      <c r="C120" s="147">
        <v>99120.0</v>
      </c>
      <c r="D120" s="150" t="s">
        <v>2691</v>
      </c>
      <c r="E120" s="32" t="str">
        <f>IFERROR(__xludf.DUMMYFUNCTION("IF(ISBLANK(D120), """", GOOGLETRANSLATE(D120, ""es"", ""en""))"),"Estimated total price value of the item")</f>
        <v>Estimated total price value of the item</v>
      </c>
    </row>
    <row r="121" ht="15.75" customHeight="1">
      <c r="B121" s="147" t="s">
        <v>2002</v>
      </c>
      <c r="C121" s="147" t="s">
        <v>2658</v>
      </c>
      <c r="D121" s="32" t="s">
        <v>2293</v>
      </c>
      <c r="E121" s="32" t="str">
        <f>IFERROR(__xludf.DUMMYFUNCTION("IF(ISBLANK(D121), """", GOOGLETRANSLATE(D121, ""es"", ""en""))"),"Update date")</f>
        <v>Update date</v>
      </c>
    </row>
    <row r="122" ht="15.75" customHeight="1"/>
    <row r="123" ht="15.75" customHeight="1"/>
    <row r="124" ht="15.75" customHeight="1"/>
    <row r="125" ht="15.75" customHeight="1">
      <c r="B125" s="148" t="s">
        <v>2692</v>
      </c>
      <c r="G125" s="128" t="s">
        <v>33</v>
      </c>
    </row>
    <row r="126" ht="15.75" customHeight="1">
      <c r="B126" s="135" t="s">
        <v>2693</v>
      </c>
      <c r="C126" s="151"/>
      <c r="D126" s="135" t="s">
        <v>2694</v>
      </c>
    </row>
    <row r="127" ht="15.75" customHeight="1">
      <c r="B127" s="26" t="s">
        <v>1692</v>
      </c>
      <c r="C127" s="152" t="s">
        <v>1693</v>
      </c>
      <c r="D127" s="26" t="s">
        <v>1694</v>
      </c>
      <c r="E127" s="26" t="s">
        <v>1695</v>
      </c>
      <c r="G127" s="137" t="s">
        <v>1970</v>
      </c>
      <c r="H127" s="137" t="s">
        <v>2299</v>
      </c>
      <c r="I127" s="137" t="s">
        <v>1971</v>
      </c>
      <c r="J127" s="137" t="s">
        <v>1975</v>
      </c>
      <c r="K127" s="137" t="s">
        <v>2303</v>
      </c>
      <c r="L127" s="137" t="s">
        <v>1674</v>
      </c>
      <c r="M127" s="137" t="s">
        <v>2300</v>
      </c>
      <c r="N127" s="137" t="s">
        <v>2319</v>
      </c>
      <c r="O127" s="137" t="s">
        <v>2318</v>
      </c>
      <c r="P127" s="137" t="s">
        <v>2308</v>
      </c>
      <c r="Q127" s="137" t="s">
        <v>2695</v>
      </c>
      <c r="R127" s="137" t="s">
        <v>2696</v>
      </c>
      <c r="S127" s="137" t="s">
        <v>2642</v>
      </c>
      <c r="T127" s="137" t="s">
        <v>2643</v>
      </c>
      <c r="U127" s="137" t="s">
        <v>2697</v>
      </c>
      <c r="V127" s="137" t="s">
        <v>2644</v>
      </c>
      <c r="W127" s="137" t="s">
        <v>2645</v>
      </c>
      <c r="X127" s="137" t="s">
        <v>2649</v>
      </c>
      <c r="Y127" s="137" t="s">
        <v>2698</v>
      </c>
      <c r="Z127" s="137" t="s">
        <v>2647</v>
      </c>
      <c r="AA127" s="137" t="s">
        <v>2650</v>
      </c>
      <c r="AB127" s="137" t="s">
        <v>2699</v>
      </c>
      <c r="AC127" s="137" t="s">
        <v>2700</v>
      </c>
      <c r="AD127" s="137" t="s">
        <v>2701</v>
      </c>
      <c r="AE127" s="137" t="s">
        <v>2702</v>
      </c>
      <c r="AF127" s="137" t="s">
        <v>2703</v>
      </c>
      <c r="AG127" s="137" t="s">
        <v>2002</v>
      </c>
    </row>
    <row r="128" ht="15.75" customHeight="1">
      <c r="B128" s="140" t="s">
        <v>1970</v>
      </c>
      <c r="C128" s="140" t="s">
        <v>2217</v>
      </c>
      <c r="D128" s="32" t="s">
        <v>2376</v>
      </c>
      <c r="E128" s="32" t="str">
        <f>IFERROR(__xludf.DUMMYFUNCTION("IF(ISBLANK(D128), """", GOOGLETRANSLATE(D128, ""es"", ""en""))"),"Hiring process identifier code")</f>
        <v>Hiring process identifier code</v>
      </c>
      <c r="G128" s="139" t="s">
        <v>2217</v>
      </c>
      <c r="H128" s="139" t="s">
        <v>2704</v>
      </c>
      <c r="I128" s="139" t="s">
        <v>2007</v>
      </c>
      <c r="J128" s="139" t="s">
        <v>1629</v>
      </c>
      <c r="K128" s="139" t="s">
        <v>1666</v>
      </c>
      <c r="L128" s="141">
        <v>42020.0</v>
      </c>
      <c r="M128" s="139" t="s">
        <v>2705</v>
      </c>
      <c r="N128" s="139" t="s">
        <v>2355</v>
      </c>
      <c r="O128" s="141">
        <v>1.30996598E8</v>
      </c>
      <c r="P128" s="141" t="s">
        <v>2706</v>
      </c>
      <c r="Q128" s="141">
        <v>3.04592631E8</v>
      </c>
      <c r="R128" s="141">
        <v>5.8228031E7</v>
      </c>
      <c r="S128" s="141">
        <v>5.8228031E7</v>
      </c>
      <c r="T128" s="141">
        <v>2.6111701E7</v>
      </c>
      <c r="U128" s="139" t="s">
        <v>2707</v>
      </c>
      <c r="V128" s="139" t="s">
        <v>2708</v>
      </c>
      <c r="W128" s="139" t="s">
        <v>2661</v>
      </c>
      <c r="X128" s="141">
        <v>100.0</v>
      </c>
      <c r="Y128" s="139" t="s">
        <v>2655</v>
      </c>
      <c r="Z128" s="139" t="s">
        <v>2656</v>
      </c>
      <c r="AA128" s="141" t="s">
        <v>2709</v>
      </c>
      <c r="AB128" s="141">
        <v>13983.0</v>
      </c>
      <c r="AC128" s="141">
        <v>0.0</v>
      </c>
      <c r="AD128" s="141">
        <v>251694.0</v>
      </c>
      <c r="AE128" s="141">
        <v>0.0</v>
      </c>
      <c r="AF128" s="141">
        <v>1649994.0</v>
      </c>
      <c r="AG128" s="141" t="s">
        <v>2710</v>
      </c>
    </row>
    <row r="129" ht="15.75" customHeight="1">
      <c r="B129" s="140" t="s">
        <v>2299</v>
      </c>
      <c r="C129" s="140" t="s">
        <v>2704</v>
      </c>
      <c r="D129" s="32" t="s">
        <v>2421</v>
      </c>
      <c r="E129" s="32" t="str">
        <f>IFERROR(__xludf.DUMMYFUNCTION("IF(ISBLANK(D129), """", GOOGLETRANSLATE(D129, ""es"", ""en""))"),"Contract identifier code")</f>
        <v>Contract identifier code</v>
      </c>
      <c r="G129" s="139" t="s">
        <v>2217</v>
      </c>
      <c r="H129" s="139" t="s">
        <v>2704</v>
      </c>
      <c r="I129" s="139" t="s">
        <v>2007</v>
      </c>
      <c r="J129" s="139" t="s">
        <v>1629</v>
      </c>
      <c r="K129" s="139" t="s">
        <v>1666</v>
      </c>
      <c r="L129" s="141">
        <v>42020.0</v>
      </c>
      <c r="M129" s="139" t="s">
        <v>2705</v>
      </c>
      <c r="N129" s="139" t="s">
        <v>2355</v>
      </c>
      <c r="O129" s="141">
        <v>1.30996598E8</v>
      </c>
      <c r="P129" s="141" t="s">
        <v>2706</v>
      </c>
      <c r="Q129" s="141">
        <v>3.04592631E8</v>
      </c>
      <c r="R129" s="141">
        <v>5.8228034E7</v>
      </c>
      <c r="S129" s="141">
        <v>5.8228034E7</v>
      </c>
      <c r="T129" s="141">
        <v>2.6111701E7</v>
      </c>
      <c r="U129" s="139" t="s">
        <v>2707</v>
      </c>
      <c r="V129" s="139" t="s">
        <v>2708</v>
      </c>
      <c r="W129" s="139" t="s">
        <v>2661</v>
      </c>
      <c r="X129" s="141">
        <v>100.0</v>
      </c>
      <c r="Y129" s="139" t="s">
        <v>2655</v>
      </c>
      <c r="Z129" s="139" t="s">
        <v>2656</v>
      </c>
      <c r="AA129" s="141" t="s">
        <v>2709</v>
      </c>
      <c r="AB129" s="141">
        <v>13983.0</v>
      </c>
      <c r="AC129" s="141">
        <v>0.0</v>
      </c>
      <c r="AD129" s="141">
        <v>251694.0</v>
      </c>
      <c r="AE129" s="141">
        <v>0.0</v>
      </c>
      <c r="AF129" s="141">
        <v>1649994.0</v>
      </c>
      <c r="AG129" s="141" t="s">
        <v>2710</v>
      </c>
    </row>
    <row r="130" ht="15.75" customHeight="1">
      <c r="B130" s="140" t="s">
        <v>1971</v>
      </c>
      <c r="C130" s="140" t="s">
        <v>2007</v>
      </c>
      <c r="D130" s="32" t="s">
        <v>2626</v>
      </c>
      <c r="E130" s="32" t="str">
        <f>IFERROR(__xludf.DUMMYFUNCTION("IF(ISBLANK(D130), """", GOOGLETRANSLATE(D130, ""es"", ""en""))"),"Description of the contracting modality (Example: Exception Processes)")</f>
        <v>Description of the contracting modality (Example: Exception Processes)</v>
      </c>
      <c r="G130" s="139" t="s">
        <v>2217</v>
      </c>
      <c r="H130" s="139" t="s">
        <v>2704</v>
      </c>
      <c r="I130" s="139" t="s">
        <v>2007</v>
      </c>
      <c r="J130" s="139" t="s">
        <v>1629</v>
      </c>
      <c r="K130" s="139" t="s">
        <v>1666</v>
      </c>
      <c r="L130" s="141">
        <v>42020.0</v>
      </c>
      <c r="M130" s="139" t="s">
        <v>2705</v>
      </c>
      <c r="N130" s="139" t="s">
        <v>2355</v>
      </c>
      <c r="O130" s="141">
        <v>1.30996598E8</v>
      </c>
      <c r="P130" s="141" t="s">
        <v>2706</v>
      </c>
      <c r="Q130" s="141">
        <v>3.04592631E8</v>
      </c>
      <c r="R130" s="141">
        <v>5.8228036E7</v>
      </c>
      <c r="S130" s="141">
        <v>5.8228036E7</v>
      </c>
      <c r="T130" s="141">
        <v>2.6111701E7</v>
      </c>
      <c r="U130" s="139" t="s">
        <v>2707</v>
      </c>
      <c r="V130" s="139" t="s">
        <v>2711</v>
      </c>
      <c r="W130" s="139" t="s">
        <v>2661</v>
      </c>
      <c r="X130" s="141">
        <v>100.0</v>
      </c>
      <c r="Y130" s="139" t="s">
        <v>2655</v>
      </c>
      <c r="Z130" s="139" t="s">
        <v>2656</v>
      </c>
      <c r="AA130" s="141" t="s">
        <v>2712</v>
      </c>
      <c r="AB130" s="153">
        <v>2.4152584E7</v>
      </c>
      <c r="AC130" s="141">
        <v>0.0</v>
      </c>
      <c r="AD130" s="141" t="s">
        <v>2713</v>
      </c>
      <c r="AE130" s="141">
        <v>0.0</v>
      </c>
      <c r="AF130" s="141" t="s">
        <v>2714</v>
      </c>
      <c r="AG130" s="141" t="s">
        <v>2710</v>
      </c>
    </row>
    <row r="131" ht="15.75" customHeight="1">
      <c r="B131" s="140" t="s">
        <v>1975</v>
      </c>
      <c r="C131" s="140" t="s">
        <v>1629</v>
      </c>
      <c r="D131" s="32" t="s">
        <v>2624</v>
      </c>
      <c r="E131" s="32" t="str">
        <f>IFERROR(__xludf.DUMMYFUNCTION("IF(ISBLANK(D131), """", GOOGLETRANSLATE(D131, ""es"", ""en""))"),"Description of the status of the hiring process")</f>
        <v>Description of the status of the hiring process</v>
      </c>
      <c r="G131" s="139" t="s">
        <v>2237</v>
      </c>
      <c r="H131" s="139" t="s">
        <v>2715</v>
      </c>
      <c r="I131" s="139" t="s">
        <v>2007</v>
      </c>
      <c r="J131" s="139" t="s">
        <v>1629</v>
      </c>
      <c r="K131" s="139" t="s">
        <v>2368</v>
      </c>
      <c r="L131" s="141">
        <v>85638.0</v>
      </c>
      <c r="M131" s="139" t="s">
        <v>2716</v>
      </c>
      <c r="N131" s="139" t="s">
        <v>2355</v>
      </c>
      <c r="O131" s="141">
        <v>1.31968856E8</v>
      </c>
      <c r="P131" s="141" t="s">
        <v>2717</v>
      </c>
      <c r="Q131" s="141">
        <v>3.0934511E8</v>
      </c>
      <c r="R131" s="141">
        <v>5.905733E7</v>
      </c>
      <c r="S131" s="141">
        <v>5.905733E7</v>
      </c>
      <c r="T131" s="141">
        <v>3.9121409E7</v>
      </c>
      <c r="U131" s="139" t="s">
        <v>2668</v>
      </c>
      <c r="V131" s="139" t="s">
        <v>2718</v>
      </c>
      <c r="W131" s="139" t="s">
        <v>2661</v>
      </c>
      <c r="X131" s="141">
        <v>2000.0</v>
      </c>
      <c r="Y131" s="139" t="s">
        <v>2655</v>
      </c>
      <c r="Z131" s="139" t="s">
        <v>2656</v>
      </c>
      <c r="AA131" s="141" t="s">
        <v>2719</v>
      </c>
      <c r="AB131" s="141" t="s">
        <v>2720</v>
      </c>
      <c r="AC131" s="141">
        <v>0.0</v>
      </c>
      <c r="AD131" s="141">
        <v>3294.0</v>
      </c>
      <c r="AE131" s="141">
        <v>0.0</v>
      </c>
      <c r="AF131" s="141">
        <v>21594.0</v>
      </c>
      <c r="AG131" s="141" t="s">
        <v>2710</v>
      </c>
    </row>
    <row r="132" ht="15.75" customHeight="1">
      <c r="B132" s="140" t="s">
        <v>2303</v>
      </c>
      <c r="C132" s="140" t="s">
        <v>1666</v>
      </c>
      <c r="D132" s="32" t="s">
        <v>2490</v>
      </c>
      <c r="E132" s="32" t="str">
        <f>IFERROR(__xludf.DUMMYFUNCTION("IF(ISBLANK(D132), """", GOOGLETRANSLATE(D132, ""es"", ""en""))"),"Contract Status Description")</f>
        <v>Contract Status Description</v>
      </c>
      <c r="F132" s="138"/>
      <c r="G132" s="139" t="s">
        <v>2237</v>
      </c>
      <c r="H132" s="139" t="s">
        <v>2715</v>
      </c>
      <c r="I132" s="139" t="s">
        <v>2007</v>
      </c>
      <c r="J132" s="139" t="s">
        <v>1629</v>
      </c>
      <c r="K132" s="139" t="s">
        <v>2368</v>
      </c>
      <c r="L132" s="141">
        <v>85638.0</v>
      </c>
      <c r="M132" s="139" t="s">
        <v>2716</v>
      </c>
      <c r="N132" s="139" t="s">
        <v>2355</v>
      </c>
      <c r="O132" s="141">
        <v>1.31968856E8</v>
      </c>
      <c r="P132" s="141" t="s">
        <v>2717</v>
      </c>
      <c r="Q132" s="141">
        <v>3.0934511E8</v>
      </c>
      <c r="R132" s="141">
        <v>5.9057335E7</v>
      </c>
      <c r="S132" s="141">
        <v>5.9057335E7</v>
      </c>
      <c r="T132" s="141">
        <v>3.9121409E7</v>
      </c>
      <c r="U132" s="139" t="s">
        <v>2668</v>
      </c>
      <c r="V132" s="139" t="s">
        <v>2684</v>
      </c>
      <c r="W132" s="139" t="s">
        <v>2661</v>
      </c>
      <c r="X132" s="141">
        <v>1000.0</v>
      </c>
      <c r="Y132" s="139" t="s">
        <v>2655</v>
      </c>
      <c r="Z132" s="139" t="s">
        <v>2656</v>
      </c>
      <c r="AA132" s="141" t="s">
        <v>2685</v>
      </c>
      <c r="AB132" s="154">
        <v>45337.0</v>
      </c>
      <c r="AC132" s="141">
        <v>0.0</v>
      </c>
      <c r="AD132" s="141">
        <v>2736.0</v>
      </c>
      <c r="AE132" s="141">
        <v>0.0</v>
      </c>
      <c r="AF132" s="141">
        <v>17936.0</v>
      </c>
      <c r="AG132" s="141" t="s">
        <v>2710</v>
      </c>
    </row>
    <row r="133" ht="15.75" customHeight="1">
      <c r="B133" s="140" t="s">
        <v>1674</v>
      </c>
      <c r="C133" s="140">
        <v>42020.0</v>
      </c>
      <c r="D133" s="32" t="s">
        <v>1674</v>
      </c>
      <c r="E133" s="32" t="str">
        <f>IFERROR(__xludf.DUMMYFUNCTION("IF(ISBLANK(D133), """", GOOGLETRANSLATE(D133, ""es"", ""en""))"),"RPE")</f>
        <v>RPE</v>
      </c>
      <c r="F133" s="138"/>
      <c r="G133" s="139" t="s">
        <v>2237</v>
      </c>
      <c r="H133" s="139" t="s">
        <v>2715</v>
      </c>
      <c r="I133" s="139" t="s">
        <v>2007</v>
      </c>
      <c r="J133" s="139" t="s">
        <v>1629</v>
      </c>
      <c r="K133" s="139" t="s">
        <v>2368</v>
      </c>
      <c r="L133" s="141">
        <v>85638.0</v>
      </c>
      <c r="M133" s="139" t="s">
        <v>2716</v>
      </c>
      <c r="N133" s="139" t="s">
        <v>2355</v>
      </c>
      <c r="O133" s="141">
        <v>1.31968856E8</v>
      </c>
      <c r="P133" s="141" t="s">
        <v>2717</v>
      </c>
      <c r="Q133" s="141">
        <v>3.0934511E8</v>
      </c>
      <c r="R133" s="141">
        <v>5.9057344E7</v>
      </c>
      <c r="S133" s="141">
        <v>5.9057344E7</v>
      </c>
      <c r="T133" s="141">
        <v>2.7111701E7</v>
      </c>
      <c r="U133" s="139" t="s">
        <v>2721</v>
      </c>
      <c r="V133" s="139" t="s">
        <v>2722</v>
      </c>
      <c r="W133" s="139" t="s">
        <v>2673</v>
      </c>
      <c r="X133" s="141">
        <v>10.0</v>
      </c>
      <c r="Y133" s="139" t="s">
        <v>2655</v>
      </c>
      <c r="Z133" s="139" t="s">
        <v>2656</v>
      </c>
      <c r="AA133" s="155" t="s">
        <v>2723</v>
      </c>
      <c r="AB133" s="141">
        <v>1510.0</v>
      </c>
      <c r="AC133" s="141">
        <v>0.0</v>
      </c>
      <c r="AD133" s="141">
        <v>2718.0</v>
      </c>
      <c r="AE133" s="141">
        <v>0.0</v>
      </c>
      <c r="AF133" s="141">
        <v>17818.0</v>
      </c>
      <c r="AG133" s="141" t="s">
        <v>2710</v>
      </c>
    </row>
    <row r="134" ht="15.75" customHeight="1">
      <c r="B134" s="140" t="s">
        <v>2300</v>
      </c>
      <c r="C134" s="140" t="s">
        <v>2705</v>
      </c>
      <c r="D134" s="32" t="s">
        <v>2445</v>
      </c>
      <c r="E134" s="32" t="str">
        <f>IFERROR(__xludf.DUMMYFUNCTION("IF(ISBLANK(D134), """", GOOGLETRANSLATE(D134, ""es"", ""en""))"),"Company name of the supplier of the items")</f>
        <v>Company name of the supplier of the items</v>
      </c>
      <c r="G134" s="139" t="s">
        <v>2237</v>
      </c>
      <c r="H134" s="139" t="s">
        <v>2715</v>
      </c>
      <c r="I134" s="139" t="s">
        <v>2007</v>
      </c>
      <c r="J134" s="139" t="s">
        <v>1629</v>
      </c>
      <c r="K134" s="139" t="s">
        <v>2368</v>
      </c>
      <c r="L134" s="141">
        <v>85638.0</v>
      </c>
      <c r="M134" s="139" t="s">
        <v>2716</v>
      </c>
      <c r="N134" s="139" t="s">
        <v>2355</v>
      </c>
      <c r="O134" s="141">
        <v>1.31968856E8</v>
      </c>
      <c r="P134" s="141" t="s">
        <v>2717</v>
      </c>
      <c r="Q134" s="141">
        <v>3.0934511E8</v>
      </c>
      <c r="R134" s="141">
        <v>5.9057345E7</v>
      </c>
      <c r="S134" s="141">
        <v>5.9057345E7</v>
      </c>
      <c r="T134" s="141">
        <v>2.7112114E7</v>
      </c>
      <c r="U134" s="139" t="s">
        <v>2724</v>
      </c>
      <c r="V134" s="139" t="s">
        <v>2725</v>
      </c>
      <c r="W134" s="139" t="s">
        <v>2673</v>
      </c>
      <c r="X134" s="141">
        <v>25.0</v>
      </c>
      <c r="Y134" s="139" t="s">
        <v>2655</v>
      </c>
      <c r="Z134" s="139" t="s">
        <v>2656</v>
      </c>
      <c r="AA134" s="141">
        <v>1062.0</v>
      </c>
      <c r="AB134" s="141">
        <v>650.0</v>
      </c>
      <c r="AC134" s="141">
        <v>0.0</v>
      </c>
      <c r="AD134" s="141">
        <v>2925.0</v>
      </c>
      <c r="AE134" s="141">
        <v>0.0</v>
      </c>
      <c r="AF134" s="141">
        <v>19175.0</v>
      </c>
      <c r="AG134" s="141" t="s">
        <v>2710</v>
      </c>
    </row>
    <row r="135" ht="15.75" customHeight="1">
      <c r="B135" s="140" t="s">
        <v>2319</v>
      </c>
      <c r="C135" s="140" t="s">
        <v>2355</v>
      </c>
      <c r="D135" s="32" t="s">
        <v>2628</v>
      </c>
      <c r="E135" s="32" t="str">
        <f>IFERROR(__xludf.DUMMYFUNCTION("IF(ISBLANK(D135), """", GOOGLETRANSLATE(D135, ""es"", ""en""))"),"Supplier ID type")</f>
        <v>Supplier ID type</v>
      </c>
      <c r="G135" s="139" t="s">
        <v>2237</v>
      </c>
      <c r="H135" s="139" t="s">
        <v>2715</v>
      </c>
      <c r="I135" s="139" t="s">
        <v>2007</v>
      </c>
      <c r="J135" s="139" t="s">
        <v>1629</v>
      </c>
      <c r="K135" s="139" t="s">
        <v>2368</v>
      </c>
      <c r="L135" s="141">
        <v>85638.0</v>
      </c>
      <c r="M135" s="139" t="s">
        <v>2716</v>
      </c>
      <c r="N135" s="139" t="s">
        <v>2355</v>
      </c>
      <c r="O135" s="141">
        <v>1.31968856E8</v>
      </c>
      <c r="P135" s="141" t="s">
        <v>2717</v>
      </c>
      <c r="Q135" s="141">
        <v>3.0934511E8</v>
      </c>
      <c r="R135" s="141">
        <v>5.9057348E7</v>
      </c>
      <c r="S135" s="141">
        <v>5.9057348E7</v>
      </c>
      <c r="T135" s="141">
        <v>2.310151E7</v>
      </c>
      <c r="U135" s="139" t="s">
        <v>2726</v>
      </c>
      <c r="V135" s="139" t="s">
        <v>2727</v>
      </c>
      <c r="W135" s="139" t="s">
        <v>2728</v>
      </c>
      <c r="X135" s="141">
        <v>5.0</v>
      </c>
      <c r="Y135" s="139" t="s">
        <v>2655</v>
      </c>
      <c r="Z135" s="139" t="s">
        <v>2656</v>
      </c>
      <c r="AA135" s="141" t="s">
        <v>2729</v>
      </c>
      <c r="AB135" s="141">
        <v>4510.0</v>
      </c>
      <c r="AC135" s="141">
        <v>0.0</v>
      </c>
      <c r="AD135" s="141">
        <v>4059.0</v>
      </c>
      <c r="AE135" s="141">
        <v>0.0</v>
      </c>
      <c r="AF135" s="141">
        <v>26609.0</v>
      </c>
      <c r="AG135" s="141" t="s">
        <v>2710</v>
      </c>
    </row>
    <row r="136" ht="15.75" customHeight="1">
      <c r="B136" s="140" t="s">
        <v>2318</v>
      </c>
      <c r="C136" s="140">
        <v>1.30996598E8</v>
      </c>
      <c r="D136" s="32" t="s">
        <v>2627</v>
      </c>
      <c r="E136" s="32" t="str">
        <f>IFERROR(__xludf.DUMMYFUNCTION("IF(ISBLANK(D136), """", GOOGLETRANSLATE(D136, ""es"", ""en""))"),"Supplier identification document number")</f>
        <v>Supplier identification document number</v>
      </c>
      <c r="G136" s="139" t="s">
        <v>2237</v>
      </c>
      <c r="H136" s="139" t="s">
        <v>2730</v>
      </c>
      <c r="I136" s="139" t="s">
        <v>2007</v>
      </c>
      <c r="J136" s="139" t="s">
        <v>1629</v>
      </c>
      <c r="K136" s="139" t="s">
        <v>2368</v>
      </c>
      <c r="L136" s="141">
        <v>49247.0</v>
      </c>
      <c r="M136" s="139" t="s">
        <v>2731</v>
      </c>
      <c r="N136" s="139" t="s">
        <v>2355</v>
      </c>
      <c r="O136" s="141">
        <v>1.30371652E8</v>
      </c>
      <c r="P136" s="141" t="s">
        <v>2732</v>
      </c>
      <c r="Q136" s="141">
        <v>3.26724002E8</v>
      </c>
      <c r="R136" s="141">
        <v>6.3657991E7</v>
      </c>
      <c r="S136" s="141">
        <v>6.3657991E7</v>
      </c>
      <c r="T136" s="141">
        <v>3.1201525E7</v>
      </c>
      <c r="U136" s="139" t="s">
        <v>2653</v>
      </c>
      <c r="V136" s="139" t="s">
        <v>2733</v>
      </c>
      <c r="W136" s="139" t="s">
        <v>2654</v>
      </c>
      <c r="X136" s="141">
        <v>300.0</v>
      </c>
      <c r="Y136" s="139" t="s">
        <v>2655</v>
      </c>
      <c r="Z136" s="139" t="s">
        <v>2656</v>
      </c>
      <c r="AA136" s="141" t="s">
        <v>2734</v>
      </c>
      <c r="AB136" s="141" t="s">
        <v>2735</v>
      </c>
      <c r="AC136" s="141" t="s">
        <v>2736</v>
      </c>
      <c r="AD136" s="141">
        <v>0.0</v>
      </c>
      <c r="AE136" s="141">
        <v>0.0</v>
      </c>
      <c r="AF136" s="141" t="s">
        <v>2737</v>
      </c>
      <c r="AG136" s="141" t="s">
        <v>2710</v>
      </c>
    </row>
    <row r="137" ht="15.75" customHeight="1">
      <c r="B137" s="140" t="s">
        <v>2308</v>
      </c>
      <c r="C137" s="140" t="s">
        <v>2706</v>
      </c>
      <c r="D137" s="32" t="s">
        <v>2738</v>
      </c>
      <c r="E137" s="32" t="str">
        <f>IFERROR(__xludf.DUMMYFUNCTION("IF(ISBLANK(D137), """", GOOGLETRANSLATE(D137, ""es"", ""en""))"),"Contract Signing Date")</f>
        <v>Contract Signing Date</v>
      </c>
      <c r="G137" s="139" t="s">
        <v>2237</v>
      </c>
      <c r="H137" s="139" t="s">
        <v>2730</v>
      </c>
      <c r="I137" s="139" t="s">
        <v>2007</v>
      </c>
      <c r="J137" s="139" t="s">
        <v>1629</v>
      </c>
      <c r="K137" s="139" t="s">
        <v>2368</v>
      </c>
      <c r="L137" s="141">
        <v>49247.0</v>
      </c>
      <c r="M137" s="139" t="s">
        <v>2731</v>
      </c>
      <c r="N137" s="139" t="s">
        <v>2355</v>
      </c>
      <c r="O137" s="141">
        <v>1.30371652E8</v>
      </c>
      <c r="P137" s="141" t="s">
        <v>2732</v>
      </c>
      <c r="Q137" s="141">
        <v>3.26724002E8</v>
      </c>
      <c r="R137" s="141">
        <v>6.3657992E7</v>
      </c>
      <c r="S137" s="141">
        <v>6.3657992E7</v>
      </c>
      <c r="T137" s="141">
        <v>1.5121519E7</v>
      </c>
      <c r="U137" s="139" t="s">
        <v>2739</v>
      </c>
      <c r="V137" s="139" t="s">
        <v>2740</v>
      </c>
      <c r="W137" s="139" t="s">
        <v>2741</v>
      </c>
      <c r="X137" s="141">
        <v>5.0</v>
      </c>
      <c r="Y137" s="139" t="s">
        <v>2655</v>
      </c>
      <c r="Z137" s="139" t="s">
        <v>2656</v>
      </c>
      <c r="AA137" s="141">
        <v>590.0</v>
      </c>
      <c r="AB137" s="141" t="s">
        <v>2742</v>
      </c>
      <c r="AC137" s="141" t="s">
        <v>2743</v>
      </c>
      <c r="AD137" s="141">
        <v>0.0</v>
      </c>
      <c r="AE137" s="141">
        <v>0.0</v>
      </c>
      <c r="AF137" s="156">
        <v>1261946.0</v>
      </c>
      <c r="AG137" s="141" t="s">
        <v>2710</v>
      </c>
    </row>
    <row r="138" ht="15.75" customHeight="1">
      <c r="B138" s="140" t="s">
        <v>2695</v>
      </c>
      <c r="C138" s="140">
        <v>3.04592631E8</v>
      </c>
      <c r="D138" s="32"/>
      <c r="E138" s="32" t="str">
        <f>IFERROR(__xludf.DUMMYFUNCTION("IF(ISBLANK(D138), """", GOOGLETRANSLATE(D138, ""es"", ""en""))"),"")</f>
        <v/>
      </c>
      <c r="G138" s="139" t="s">
        <v>2237</v>
      </c>
      <c r="H138" s="139" t="s">
        <v>2730</v>
      </c>
      <c r="I138" s="139" t="s">
        <v>2007</v>
      </c>
      <c r="J138" s="139" t="s">
        <v>1629</v>
      </c>
      <c r="K138" s="139" t="s">
        <v>2368</v>
      </c>
      <c r="L138" s="141">
        <v>49247.0</v>
      </c>
      <c r="M138" s="139" t="s">
        <v>2731</v>
      </c>
      <c r="N138" s="139" t="s">
        <v>2355</v>
      </c>
      <c r="O138" s="141">
        <v>1.30371652E8</v>
      </c>
      <c r="P138" s="141" t="s">
        <v>2732</v>
      </c>
      <c r="Q138" s="141">
        <v>3.26724002E8</v>
      </c>
      <c r="R138" s="141">
        <v>6.3657995E7</v>
      </c>
      <c r="S138" s="141">
        <v>6.3657995E7</v>
      </c>
      <c r="T138" s="141">
        <v>3.9121409E7</v>
      </c>
      <c r="U138" s="139" t="s">
        <v>2668</v>
      </c>
      <c r="V138" s="139" t="s">
        <v>2744</v>
      </c>
      <c r="W138" s="139" t="s">
        <v>2661</v>
      </c>
      <c r="X138" s="141">
        <v>200.0</v>
      </c>
      <c r="Y138" s="139" t="s">
        <v>2655</v>
      </c>
      <c r="Z138" s="139" t="s">
        <v>2656</v>
      </c>
      <c r="AA138" s="141" t="s">
        <v>2745</v>
      </c>
      <c r="AB138" s="141" t="s">
        <v>2746</v>
      </c>
      <c r="AC138" s="155">
        <v>797052.0</v>
      </c>
      <c r="AD138" s="141">
        <v>0.0</v>
      </c>
      <c r="AE138" s="141">
        <v>0.0</v>
      </c>
      <c r="AF138" s="141" t="s">
        <v>2747</v>
      </c>
      <c r="AG138" s="141" t="s">
        <v>2710</v>
      </c>
    </row>
    <row r="139" ht="15.75" customHeight="1">
      <c r="B139" s="140" t="s">
        <v>2696</v>
      </c>
      <c r="C139" s="140">
        <v>5.8228031E7</v>
      </c>
      <c r="D139" s="32"/>
      <c r="E139" s="32" t="str">
        <f>IFERROR(__xludf.DUMMYFUNCTION("IF(ISBLANK(D139), """", GOOGLETRANSLATE(D139, ""es"", ""en""))"),"")</f>
        <v/>
      </c>
      <c r="G139" s="139" t="s">
        <v>2237</v>
      </c>
      <c r="H139" s="139" t="s">
        <v>2730</v>
      </c>
      <c r="I139" s="139" t="s">
        <v>2007</v>
      </c>
      <c r="J139" s="139" t="s">
        <v>1629</v>
      </c>
      <c r="K139" s="139" t="s">
        <v>2368</v>
      </c>
      <c r="L139" s="141">
        <v>49247.0</v>
      </c>
      <c r="M139" s="139" t="s">
        <v>2731</v>
      </c>
      <c r="N139" s="139" t="s">
        <v>2355</v>
      </c>
      <c r="O139" s="141">
        <v>1.30371652E8</v>
      </c>
      <c r="P139" s="141" t="s">
        <v>2732</v>
      </c>
      <c r="Q139" s="141">
        <v>3.26724002E8</v>
      </c>
      <c r="R139" s="141">
        <v>6.3658002E7</v>
      </c>
      <c r="S139" s="141">
        <v>6.3658002E7</v>
      </c>
      <c r="T139" s="141">
        <v>3.9121409E7</v>
      </c>
      <c r="U139" s="139" t="s">
        <v>2668</v>
      </c>
      <c r="V139" s="139" t="s">
        <v>2748</v>
      </c>
      <c r="W139" s="139" t="s">
        <v>2661</v>
      </c>
      <c r="X139" s="141">
        <v>1000.0</v>
      </c>
      <c r="Y139" s="139" t="s">
        <v>2655</v>
      </c>
      <c r="Z139" s="139" t="s">
        <v>2656</v>
      </c>
      <c r="AA139" s="141" t="s">
        <v>2749</v>
      </c>
      <c r="AB139" s="154">
        <v>45436.0</v>
      </c>
      <c r="AC139" s="141">
        <v>4410.0</v>
      </c>
      <c r="AD139" s="141">
        <v>0.0</v>
      </c>
      <c r="AE139" s="141">
        <v>0.0</v>
      </c>
      <c r="AF139" s="141">
        <v>28910.0</v>
      </c>
      <c r="AG139" s="141" t="s">
        <v>2710</v>
      </c>
    </row>
    <row r="140" ht="15.75" customHeight="1">
      <c r="B140" s="140" t="s">
        <v>2642</v>
      </c>
      <c r="C140" s="140">
        <v>5.8228031E7</v>
      </c>
      <c r="D140" s="32" t="s">
        <v>2664</v>
      </c>
      <c r="E140" s="32" t="str">
        <f>IFERROR(__xludf.DUMMYFUNCTION("IF(ISBLANK(D140), """", GOOGLETRANSLATE(D140, ""es"", ""en""))"),"Item identifier in the item catalog")</f>
        <v>Item identifier in the item catalog</v>
      </c>
      <c r="G140" s="139" t="s">
        <v>2237</v>
      </c>
      <c r="H140" s="139" t="s">
        <v>2730</v>
      </c>
      <c r="I140" s="139" t="s">
        <v>2007</v>
      </c>
      <c r="J140" s="139" t="s">
        <v>1629</v>
      </c>
      <c r="K140" s="139" t="s">
        <v>2368</v>
      </c>
      <c r="L140" s="141">
        <v>49247.0</v>
      </c>
      <c r="M140" s="139" t="s">
        <v>2731</v>
      </c>
      <c r="N140" s="139" t="s">
        <v>2355</v>
      </c>
      <c r="O140" s="141">
        <v>1.30371652E8</v>
      </c>
      <c r="P140" s="141" t="s">
        <v>2732</v>
      </c>
      <c r="Q140" s="141">
        <v>3.26724002E8</v>
      </c>
      <c r="R140" s="141">
        <v>6.3658005E7</v>
      </c>
      <c r="S140" s="141">
        <v>6.3658005E7</v>
      </c>
      <c r="T140" s="141">
        <v>3.9121601E7</v>
      </c>
      <c r="U140" s="139" t="s">
        <v>2750</v>
      </c>
      <c r="V140" s="139" t="s">
        <v>2751</v>
      </c>
      <c r="W140" s="139" t="s">
        <v>2661</v>
      </c>
      <c r="X140" s="141">
        <v>10.0</v>
      </c>
      <c r="Y140" s="139" t="s">
        <v>2655</v>
      </c>
      <c r="Z140" s="139" t="s">
        <v>2656</v>
      </c>
      <c r="AA140" s="141" t="s">
        <v>2752</v>
      </c>
      <c r="AB140" s="141" t="s">
        <v>2753</v>
      </c>
      <c r="AC140" s="141" t="s">
        <v>2754</v>
      </c>
      <c r="AD140" s="141">
        <v>0.0</v>
      </c>
      <c r="AE140" s="141">
        <v>0.0</v>
      </c>
      <c r="AF140" s="141" t="s">
        <v>2755</v>
      </c>
      <c r="AG140" s="141" t="s">
        <v>2710</v>
      </c>
    </row>
    <row r="141" ht="15.75" customHeight="1">
      <c r="B141" s="140" t="s">
        <v>2643</v>
      </c>
      <c r="C141" s="140">
        <v>2.6111701E7</v>
      </c>
      <c r="D141" s="32" t="s">
        <v>2756</v>
      </c>
      <c r="E141" s="32" t="str">
        <f>IFERROR(__xludf.DUMMYFUNCTION("IF(ISBLANK(D141), """", GOOGLETRANSLATE(D141, ""es"", ""en""))"),"Subclass identifier in the UNSPSC catalog")</f>
        <v>Subclass identifier in the UNSPSC catalog</v>
      </c>
      <c r="G141" s="139" t="s">
        <v>2237</v>
      </c>
      <c r="H141" s="139" t="s">
        <v>2730</v>
      </c>
      <c r="I141" s="139" t="s">
        <v>2007</v>
      </c>
      <c r="J141" s="139" t="s">
        <v>1629</v>
      </c>
      <c r="K141" s="139" t="s">
        <v>2368</v>
      </c>
      <c r="L141" s="141">
        <v>49247.0</v>
      </c>
      <c r="M141" s="139" t="s">
        <v>2731</v>
      </c>
      <c r="N141" s="139" t="s">
        <v>2355</v>
      </c>
      <c r="O141" s="141">
        <v>1.30371652E8</v>
      </c>
      <c r="P141" s="141" t="s">
        <v>2732</v>
      </c>
      <c r="Q141" s="141">
        <v>3.26724002E8</v>
      </c>
      <c r="R141" s="141">
        <v>6.3658007E7</v>
      </c>
      <c r="S141" s="141">
        <v>6.3658007E7</v>
      </c>
      <c r="T141" s="141">
        <v>3.9121601E7</v>
      </c>
      <c r="U141" s="139" t="s">
        <v>2750</v>
      </c>
      <c r="V141" s="139" t="s">
        <v>2757</v>
      </c>
      <c r="W141" s="139" t="s">
        <v>2661</v>
      </c>
      <c r="X141" s="141">
        <v>150.0</v>
      </c>
      <c r="Y141" s="139" t="s">
        <v>2655</v>
      </c>
      <c r="Z141" s="139" t="s">
        <v>2656</v>
      </c>
      <c r="AA141" s="141" t="s">
        <v>2758</v>
      </c>
      <c r="AB141" s="141" t="s">
        <v>2759</v>
      </c>
      <c r="AC141" s="141" t="s">
        <v>2760</v>
      </c>
      <c r="AD141" s="141">
        <v>0.0</v>
      </c>
      <c r="AE141" s="141">
        <v>0.0</v>
      </c>
      <c r="AF141" s="141" t="s">
        <v>2761</v>
      </c>
      <c r="AG141" s="141" t="s">
        <v>2710</v>
      </c>
    </row>
    <row r="142" ht="15.75" customHeight="1">
      <c r="B142" s="140" t="s">
        <v>2697</v>
      </c>
      <c r="C142" s="140" t="s">
        <v>2707</v>
      </c>
      <c r="D142" s="32" t="s">
        <v>2762</v>
      </c>
      <c r="E142" s="32" t="str">
        <f>IFERROR(__xludf.DUMMYFUNCTION("IF(ISBLANK(D142), """", GOOGLETRANSLATE(D142, ""es"", ""en""))"),"Description of the subclass in the UNSPSC catalog")</f>
        <v>Description of the subclass in the UNSPSC catalog</v>
      </c>
      <c r="G142" s="139" t="s">
        <v>2237</v>
      </c>
      <c r="H142" s="139" t="s">
        <v>2730</v>
      </c>
      <c r="I142" s="139" t="s">
        <v>2007</v>
      </c>
      <c r="J142" s="139" t="s">
        <v>1629</v>
      </c>
      <c r="K142" s="139" t="s">
        <v>2368</v>
      </c>
      <c r="L142" s="141">
        <v>49247.0</v>
      </c>
      <c r="M142" s="139" t="s">
        <v>2731</v>
      </c>
      <c r="N142" s="139" t="s">
        <v>2355</v>
      </c>
      <c r="O142" s="141">
        <v>1.30371652E8</v>
      </c>
      <c r="P142" s="141" t="s">
        <v>2732</v>
      </c>
      <c r="Q142" s="141">
        <v>3.26724002E8</v>
      </c>
      <c r="R142" s="141">
        <v>6.3658008E7</v>
      </c>
      <c r="S142" s="141">
        <v>6.3658008E7</v>
      </c>
      <c r="T142" s="141">
        <v>3.9121601E7</v>
      </c>
      <c r="U142" s="139" t="s">
        <v>2750</v>
      </c>
      <c r="V142" s="139" t="s">
        <v>2763</v>
      </c>
      <c r="W142" s="139" t="s">
        <v>2661</v>
      </c>
      <c r="X142" s="141">
        <v>100.0</v>
      </c>
      <c r="Y142" s="139" t="s">
        <v>2655</v>
      </c>
      <c r="Z142" s="139" t="s">
        <v>2656</v>
      </c>
      <c r="AA142" s="141" t="s">
        <v>2764</v>
      </c>
      <c r="AB142" s="141" t="s">
        <v>2765</v>
      </c>
      <c r="AC142" s="155">
        <v>149141.0</v>
      </c>
      <c r="AD142" s="141">
        <v>0.0</v>
      </c>
      <c r="AE142" s="141">
        <v>0.0</v>
      </c>
      <c r="AF142" s="141" t="s">
        <v>2766</v>
      </c>
      <c r="AG142" s="141" t="s">
        <v>2710</v>
      </c>
    </row>
    <row r="143" ht="15.75" customHeight="1">
      <c r="B143" s="140" t="s">
        <v>2644</v>
      </c>
      <c r="C143" s="140" t="s">
        <v>2708</v>
      </c>
      <c r="D143" s="32" t="s">
        <v>2671</v>
      </c>
      <c r="E143" s="32" t="str">
        <f>IFERROR(__xludf.DUMMYFUNCTION("IF(ISBLANK(D143), """", GOOGLETRANSLATE(D143, ""es"", ""en""))"),"Description of the article")</f>
        <v>Description of the article</v>
      </c>
      <c r="G143" s="139" t="s">
        <v>2237</v>
      </c>
      <c r="H143" s="139" t="s">
        <v>2730</v>
      </c>
      <c r="I143" s="139" t="s">
        <v>2007</v>
      </c>
      <c r="J143" s="139" t="s">
        <v>1629</v>
      </c>
      <c r="K143" s="139" t="s">
        <v>2368</v>
      </c>
      <c r="L143" s="141">
        <v>49247.0</v>
      </c>
      <c r="M143" s="139" t="s">
        <v>2731</v>
      </c>
      <c r="N143" s="139" t="s">
        <v>2355</v>
      </c>
      <c r="O143" s="141">
        <v>1.30371652E8</v>
      </c>
      <c r="P143" s="141" t="s">
        <v>2732</v>
      </c>
      <c r="Q143" s="141">
        <v>3.26724002E8</v>
      </c>
      <c r="R143" s="141">
        <v>6.3658013E7</v>
      </c>
      <c r="S143" s="141">
        <v>6.3658013E7</v>
      </c>
      <c r="T143" s="141">
        <v>3.1151706E7</v>
      </c>
      <c r="U143" s="139" t="s">
        <v>2767</v>
      </c>
      <c r="V143" s="139" t="s">
        <v>2768</v>
      </c>
      <c r="W143" s="139" t="s">
        <v>2654</v>
      </c>
      <c r="X143" s="141">
        <v>40.0</v>
      </c>
      <c r="Y143" s="139" t="s">
        <v>2655</v>
      </c>
      <c r="Z143" s="139" t="s">
        <v>2656</v>
      </c>
      <c r="AA143" s="141" t="s">
        <v>2769</v>
      </c>
      <c r="AB143" s="141" t="s">
        <v>2770</v>
      </c>
      <c r="AC143" s="141" t="s">
        <v>2771</v>
      </c>
      <c r="AD143" s="141">
        <v>0.0</v>
      </c>
      <c r="AE143" s="141">
        <v>0.0</v>
      </c>
      <c r="AF143" s="141" t="s">
        <v>2772</v>
      </c>
      <c r="AG143" s="141" t="s">
        <v>2710</v>
      </c>
    </row>
    <row r="144" ht="15.75" customHeight="1">
      <c r="B144" s="140" t="s">
        <v>2645</v>
      </c>
      <c r="C144" s="140" t="s">
        <v>2661</v>
      </c>
      <c r="D144" s="32" t="s">
        <v>2676</v>
      </c>
      <c r="E144" s="32" t="str">
        <f>IFERROR(__xludf.DUMMYFUNCTION("IF(ISBLANK(D144), """", GOOGLETRANSLATE(D144, ""es"", ""en""))"),"budget account code")</f>
        <v>budget account code</v>
      </c>
      <c r="G144" s="139" t="s">
        <v>2237</v>
      </c>
      <c r="H144" s="139" t="s">
        <v>2730</v>
      </c>
      <c r="I144" s="139" t="s">
        <v>2007</v>
      </c>
      <c r="J144" s="139" t="s">
        <v>1629</v>
      </c>
      <c r="K144" s="139" t="s">
        <v>2368</v>
      </c>
      <c r="L144" s="141">
        <v>49247.0</v>
      </c>
      <c r="M144" s="139" t="s">
        <v>2731</v>
      </c>
      <c r="N144" s="139" t="s">
        <v>2355</v>
      </c>
      <c r="O144" s="141">
        <v>1.30371652E8</v>
      </c>
      <c r="P144" s="141" t="s">
        <v>2732</v>
      </c>
      <c r="Q144" s="141">
        <v>3.26724002E8</v>
      </c>
      <c r="R144" s="141">
        <v>6.3658015E7</v>
      </c>
      <c r="S144" s="141">
        <v>6.3658015E7</v>
      </c>
      <c r="T144" s="141">
        <v>3.1161725E7</v>
      </c>
      <c r="U144" s="139" t="s">
        <v>2773</v>
      </c>
      <c r="V144" s="139" t="s">
        <v>2774</v>
      </c>
      <c r="W144" s="139" t="s">
        <v>2775</v>
      </c>
      <c r="X144" s="141">
        <v>100.0</v>
      </c>
      <c r="Y144" s="139" t="s">
        <v>2655</v>
      </c>
      <c r="Z144" s="139" t="s">
        <v>2656</v>
      </c>
      <c r="AA144" s="141" t="s">
        <v>2776</v>
      </c>
      <c r="AB144" s="141" t="s">
        <v>2777</v>
      </c>
      <c r="AC144" s="141" t="s">
        <v>2778</v>
      </c>
      <c r="AD144" s="141">
        <v>0.0</v>
      </c>
      <c r="AE144" s="141">
        <v>0.0</v>
      </c>
      <c r="AF144" s="141" t="s">
        <v>2779</v>
      </c>
      <c r="AG144" s="141" t="s">
        <v>2710</v>
      </c>
    </row>
    <row r="145" ht="15.75" customHeight="1">
      <c r="B145" s="140" t="s">
        <v>2649</v>
      </c>
      <c r="C145" s="140">
        <v>100.0</v>
      </c>
      <c r="D145" s="32" t="s">
        <v>2780</v>
      </c>
      <c r="E145" s="32" t="str">
        <f>IFERROR(__xludf.DUMMYFUNCTION("IF(ISBLANK(D145), """", GOOGLETRANSLATE(D145, ""es"", ""en""))"),"Number of items associated with the contract")</f>
        <v>Number of items associated with the contract</v>
      </c>
      <c r="G145" s="139" t="s">
        <v>2237</v>
      </c>
      <c r="H145" s="139" t="s">
        <v>2730</v>
      </c>
      <c r="I145" s="139" t="s">
        <v>2007</v>
      </c>
      <c r="J145" s="139" t="s">
        <v>1629</v>
      </c>
      <c r="K145" s="139" t="s">
        <v>2368</v>
      </c>
      <c r="L145" s="141">
        <v>49247.0</v>
      </c>
      <c r="M145" s="139" t="s">
        <v>2731</v>
      </c>
      <c r="N145" s="139" t="s">
        <v>2355</v>
      </c>
      <c r="O145" s="141">
        <v>1.30371652E8</v>
      </c>
      <c r="P145" s="141" t="s">
        <v>2732</v>
      </c>
      <c r="Q145" s="141">
        <v>3.26724002E8</v>
      </c>
      <c r="R145" s="141">
        <v>6.3658027E7</v>
      </c>
      <c r="S145" s="141">
        <v>6.3658027E7</v>
      </c>
      <c r="T145" s="141">
        <v>3.1211904E7</v>
      </c>
      <c r="U145" s="139" t="s">
        <v>2781</v>
      </c>
      <c r="V145" s="139" t="s">
        <v>2782</v>
      </c>
      <c r="W145" s="139" t="s">
        <v>2673</v>
      </c>
      <c r="X145" s="141">
        <v>4.0</v>
      </c>
      <c r="Y145" s="139" t="s">
        <v>2655</v>
      </c>
      <c r="Z145" s="139" t="s">
        <v>2656</v>
      </c>
      <c r="AA145" s="141" t="s">
        <v>2783</v>
      </c>
      <c r="AB145" s="141" t="s">
        <v>2784</v>
      </c>
      <c r="AC145" s="141" t="s">
        <v>2785</v>
      </c>
      <c r="AD145" s="141">
        <v>0.0</v>
      </c>
      <c r="AE145" s="141">
        <v>0.0</v>
      </c>
      <c r="AF145" s="141" t="s">
        <v>2786</v>
      </c>
      <c r="AG145" s="141" t="s">
        <v>2710</v>
      </c>
    </row>
    <row r="146" ht="15.75" customHeight="1">
      <c r="B146" s="140" t="s">
        <v>2698</v>
      </c>
      <c r="C146" s="140" t="s">
        <v>2655</v>
      </c>
      <c r="D146" s="32" t="s">
        <v>2680</v>
      </c>
      <c r="E146" s="32" t="str">
        <f>IFERROR(__xludf.DUMMYFUNCTION("IF(ISBLANK(D146), """", GOOGLETRANSLATE(D146, ""es"", ""en""))"),"Abbreviation of the item's unit of measure")</f>
        <v>Abbreviation of the item's unit of measure</v>
      </c>
      <c r="G146" s="139" t="s">
        <v>2237</v>
      </c>
      <c r="H146" s="139" t="s">
        <v>2730</v>
      </c>
      <c r="I146" s="139" t="s">
        <v>2007</v>
      </c>
      <c r="J146" s="139" t="s">
        <v>1629</v>
      </c>
      <c r="K146" s="139" t="s">
        <v>2368</v>
      </c>
      <c r="L146" s="141">
        <v>49247.0</v>
      </c>
      <c r="M146" s="139" t="s">
        <v>2731</v>
      </c>
      <c r="N146" s="139" t="s">
        <v>2355</v>
      </c>
      <c r="O146" s="141">
        <v>1.30371652E8</v>
      </c>
      <c r="P146" s="141" t="s">
        <v>2732</v>
      </c>
      <c r="Q146" s="141">
        <v>3.26724002E8</v>
      </c>
      <c r="R146" s="141">
        <v>6.3658031E7</v>
      </c>
      <c r="S146" s="141">
        <v>6.3658031E7</v>
      </c>
      <c r="T146" s="141">
        <v>3.1231313E7</v>
      </c>
      <c r="U146" s="139" t="s">
        <v>2787</v>
      </c>
      <c r="V146" s="139" t="s">
        <v>2788</v>
      </c>
      <c r="W146" s="139" t="s">
        <v>2789</v>
      </c>
      <c r="X146" s="141">
        <v>100.0</v>
      </c>
      <c r="Y146" s="139" t="s">
        <v>2655</v>
      </c>
      <c r="Z146" s="139" t="s">
        <v>2656</v>
      </c>
      <c r="AA146" s="141" t="s">
        <v>2790</v>
      </c>
      <c r="AB146" s="141" t="s">
        <v>2791</v>
      </c>
      <c r="AC146" s="155">
        <v>697431.0</v>
      </c>
      <c r="AD146" s="141">
        <v>0.0</v>
      </c>
      <c r="AE146" s="141">
        <v>0.0</v>
      </c>
      <c r="AF146" s="141" t="s">
        <v>2792</v>
      </c>
      <c r="AG146" s="141" t="s">
        <v>2710</v>
      </c>
    </row>
    <row r="147" ht="15.75" customHeight="1">
      <c r="B147" s="140" t="s">
        <v>2647</v>
      </c>
      <c r="C147" s="140" t="s">
        <v>2656</v>
      </c>
      <c r="D147" s="32" t="s">
        <v>2683</v>
      </c>
      <c r="E147" s="32" t="str">
        <f>IFERROR(__xludf.DUMMYFUNCTION("IF(ISBLANK(D147), """", GOOGLETRANSLATE(D147, ""es"", ""en""))"),"Description of the item's unit of measure")</f>
        <v>Description of the item's unit of measure</v>
      </c>
    </row>
    <row r="148" ht="15.75" customHeight="1">
      <c r="B148" s="140" t="s">
        <v>2650</v>
      </c>
      <c r="C148" s="140" t="s">
        <v>2709</v>
      </c>
      <c r="D148" s="32" t="s">
        <v>2793</v>
      </c>
      <c r="E148" s="32" t="str">
        <f>IFERROR(__xludf.DUMMYFUNCTION("IF(ISBLANK(D148), """", GOOGLETRANSLATE(D148, ""es"", ""en""))"),"Estimated unit price value of the item")</f>
        <v>Estimated unit price value of the item</v>
      </c>
    </row>
    <row r="149" ht="15.75" customHeight="1">
      <c r="B149" s="140" t="s">
        <v>2699</v>
      </c>
      <c r="C149" s="140">
        <v>13983.0</v>
      </c>
      <c r="D149" s="32" t="s">
        <v>2794</v>
      </c>
      <c r="E149" s="32" t="str">
        <f>IFERROR(__xludf.DUMMYFUNCTION("IF(ISBLANK(D149), """", GOOGLETRANSLATE(D149, ""es"", ""en""))"),"Unit price value of the item")</f>
        <v>Unit price value of the item</v>
      </c>
    </row>
    <row r="150" ht="15.75" customHeight="1">
      <c r="B150" s="140" t="s">
        <v>2700</v>
      </c>
      <c r="C150" s="140">
        <v>0.0</v>
      </c>
      <c r="D150" s="32" t="s">
        <v>2700</v>
      </c>
      <c r="E150" s="32" t="str">
        <f>IFERROR(__xludf.DUMMYFUNCTION("IF(ISBLANK(D150), """", GOOGLETRANSLATE(D150, ""es"", ""en""))"),"ITBIS")</f>
        <v>ITBIS</v>
      </c>
    </row>
    <row r="151" ht="15.75" customHeight="1">
      <c r="B151" s="140" t="s">
        <v>2701</v>
      </c>
      <c r="C151" s="140">
        <v>251694.0</v>
      </c>
      <c r="D151" s="32" t="s">
        <v>2795</v>
      </c>
      <c r="E151" s="32" t="str">
        <f>IFERROR(__xludf.DUMMYFUNCTION("IF(ISBLANK(D151), """", GOOGLETRANSLATE(D151, ""es"", ""en""))"),"Other taxes defined for the item")</f>
        <v>Other taxes defined for the item</v>
      </c>
    </row>
    <row r="152" ht="15.75" customHeight="1">
      <c r="B152" s="140" t="s">
        <v>2702</v>
      </c>
      <c r="C152" s="140">
        <v>0.0</v>
      </c>
      <c r="D152" s="32" t="s">
        <v>2796</v>
      </c>
      <c r="E152" s="32" t="str">
        <f>IFERROR(__xludf.DUMMYFUNCTION("IF(ISBLANK(D152), """", GOOGLETRANSLATE(D152, ""es"", ""en""))"),"Discounts associated with the item")</f>
        <v>Discounts associated with the item</v>
      </c>
    </row>
    <row r="153" ht="15.75" customHeight="1">
      <c r="B153" s="140" t="s">
        <v>2703</v>
      </c>
      <c r="C153" s="140">
        <v>1649994.0</v>
      </c>
      <c r="D153" s="32" t="s">
        <v>2797</v>
      </c>
      <c r="E153" s="32" t="str">
        <f>IFERROR(__xludf.DUMMYFUNCTION("IF(ISBLANK(D153), """", GOOGLETRANSLATE(D153, ""es"", ""en""))"),"Corresponds to the number of items times the estimated price of the item plus the ITBIS")</f>
        <v>Corresponds to the number of items times the estimated price of the item plus the ITBIS</v>
      </c>
    </row>
    <row r="154" ht="15.75" customHeight="1">
      <c r="B154" s="140" t="s">
        <v>2002</v>
      </c>
      <c r="C154" s="140" t="s">
        <v>2710</v>
      </c>
      <c r="D154" s="32" t="s">
        <v>2293</v>
      </c>
      <c r="E154" s="32" t="str">
        <f>IFERROR(__xludf.DUMMYFUNCTION("IF(ISBLANK(D154), """", GOOGLETRANSLATE(D154, ""es"", ""en""))"),"Update date")</f>
        <v>Update date</v>
      </c>
    </row>
    <row r="155" ht="15.75" customHeight="1"/>
    <row r="156" ht="15.75" customHeight="1"/>
    <row r="157" ht="15.75" customHeight="1"/>
    <row r="158" ht="15.75" customHeight="1">
      <c r="B158" s="148" t="s">
        <v>2798</v>
      </c>
      <c r="G158" s="128" t="s">
        <v>33</v>
      </c>
    </row>
    <row r="159" ht="23.25" customHeight="1">
      <c r="B159" s="135" t="s">
        <v>2799</v>
      </c>
      <c r="C159" s="151"/>
      <c r="D159" s="135" t="str">
        <f>IFERROR(__xludf.DUMMYFUNCTION("IF(ISBLANK(B159), """", GOOGLETRANSLATE(B159, ""es"", ""en""))"),"Contains a catalog of information on suppliers of goods and services.		
")</f>
        <v>Contains a catalog of information on suppliers of goods and services.		
</v>
      </c>
    </row>
    <row r="160" ht="15.75" customHeight="1">
      <c r="B160" s="26" t="s">
        <v>1692</v>
      </c>
      <c r="C160" s="152" t="s">
        <v>1693</v>
      </c>
      <c r="D160" s="26" t="s">
        <v>1694</v>
      </c>
      <c r="E160" s="26" t="s">
        <v>1695</v>
      </c>
      <c r="G160" s="137" t="s">
        <v>2800</v>
      </c>
      <c r="H160" s="137" t="s">
        <v>2801</v>
      </c>
      <c r="I160" s="137" t="s">
        <v>1674</v>
      </c>
      <c r="J160" s="137" t="s">
        <v>2300</v>
      </c>
      <c r="K160" s="137" t="s">
        <v>2318</v>
      </c>
      <c r="L160" s="137" t="s">
        <v>2319</v>
      </c>
      <c r="M160" s="137" t="s">
        <v>2802</v>
      </c>
      <c r="N160" s="137" t="s">
        <v>2320</v>
      </c>
      <c r="O160" s="137" t="s">
        <v>2321</v>
      </c>
      <c r="P160" s="137" t="s">
        <v>2322</v>
      </c>
      <c r="Q160" s="137" t="s">
        <v>2803</v>
      </c>
      <c r="R160" s="137" t="s">
        <v>2804</v>
      </c>
      <c r="S160" s="137" t="s">
        <v>2805</v>
      </c>
      <c r="T160" s="137" t="s">
        <v>2806</v>
      </c>
      <c r="U160" s="137" t="s">
        <v>2324</v>
      </c>
      <c r="V160" s="137" t="s">
        <v>2807</v>
      </c>
      <c r="W160" s="137" t="s">
        <v>2332</v>
      </c>
      <c r="X160" s="137" t="s">
        <v>2808</v>
      </c>
      <c r="Y160" s="137" t="s">
        <v>2809</v>
      </c>
      <c r="Z160" s="137" t="s">
        <v>2810</v>
      </c>
      <c r="AA160" s="137" t="s">
        <v>2811</v>
      </c>
      <c r="AB160" s="137" t="s">
        <v>2812</v>
      </c>
      <c r="AC160" s="137" t="s">
        <v>2813</v>
      </c>
      <c r="AD160" s="137" t="s">
        <v>2814</v>
      </c>
      <c r="AE160" s="137" t="s">
        <v>2815</v>
      </c>
      <c r="AF160" s="137" t="s">
        <v>2331</v>
      </c>
      <c r="AG160" s="137" t="s">
        <v>2329</v>
      </c>
      <c r="AH160" s="137" t="s">
        <v>2328</v>
      </c>
      <c r="AI160" s="137" t="s">
        <v>2327</v>
      </c>
      <c r="AJ160" s="137" t="s">
        <v>2816</v>
      </c>
      <c r="AK160" s="137" t="s">
        <v>2817</v>
      </c>
      <c r="AL160" s="137" t="s">
        <v>2818</v>
      </c>
      <c r="AM160" s="137" t="s">
        <v>2819</v>
      </c>
      <c r="AN160" s="137" t="s">
        <v>2325</v>
      </c>
      <c r="AO160" s="137" t="s">
        <v>2326</v>
      </c>
      <c r="AP160" s="137" t="s">
        <v>2820</v>
      </c>
      <c r="AQ160" s="137" t="s">
        <v>1998</v>
      </c>
      <c r="AR160" s="137" t="s">
        <v>2330</v>
      </c>
      <c r="AS160" s="137" t="s">
        <v>2002</v>
      </c>
    </row>
    <row r="161" ht="15.75" customHeight="1">
      <c r="B161" s="147" t="s">
        <v>2800</v>
      </c>
      <c r="C161" s="147">
        <v>7.00000011E8</v>
      </c>
      <c r="D161" s="36"/>
      <c r="E161" s="32" t="str">
        <f>IFERROR(__xludf.DUMMYFUNCTION("IF(ISBLANK(D161), """", GOOGLETRANSLATE(D161, ""es"", ""en""))"),"")</f>
        <v/>
      </c>
      <c r="G161" s="141">
        <v>7.00000011E8</v>
      </c>
      <c r="H161" s="141">
        <v>2.0</v>
      </c>
      <c r="I161" s="141">
        <v>51981.0</v>
      </c>
      <c r="J161" s="139" t="s">
        <v>2821</v>
      </c>
      <c r="K161" s="141">
        <v>1.16733635E8</v>
      </c>
      <c r="L161" s="139" t="s">
        <v>2822</v>
      </c>
      <c r="M161" s="139" t="s">
        <v>2368</v>
      </c>
      <c r="N161" s="139" t="s">
        <v>2356</v>
      </c>
      <c r="O161" s="139" t="s">
        <v>2823</v>
      </c>
      <c r="P161" s="139" t="s">
        <v>2824</v>
      </c>
      <c r="Q161" s="139"/>
      <c r="R161" s="141" t="s">
        <v>2825</v>
      </c>
      <c r="S161" s="139"/>
      <c r="T161" s="139"/>
      <c r="U161" s="139" t="s">
        <v>423</v>
      </c>
      <c r="V161" s="139"/>
      <c r="W161" s="139"/>
      <c r="X161" s="139" t="s">
        <v>423</v>
      </c>
      <c r="Y161" s="139"/>
      <c r="Z161" s="139" t="s">
        <v>2826</v>
      </c>
      <c r="AA161" s="139" t="s">
        <v>2827</v>
      </c>
      <c r="AB161" s="139"/>
      <c r="AC161" s="139" t="s">
        <v>2828</v>
      </c>
      <c r="AD161" s="157" t="s">
        <v>2828</v>
      </c>
      <c r="AE161" s="22"/>
      <c r="AF161" s="139" t="s">
        <v>2362</v>
      </c>
      <c r="AG161" s="139" t="s">
        <v>920</v>
      </c>
      <c r="AH161" s="139" t="s">
        <v>921</v>
      </c>
      <c r="AI161" s="157" t="s">
        <v>2498</v>
      </c>
      <c r="AJ161" s="22"/>
      <c r="AK161" s="139" t="s">
        <v>2181</v>
      </c>
      <c r="AL161" s="139"/>
      <c r="AM161" s="143" t="s">
        <v>2829</v>
      </c>
      <c r="AN161" s="139" t="s">
        <v>2359</v>
      </c>
      <c r="AO161" s="139" t="s">
        <v>2830</v>
      </c>
      <c r="AP161" s="139"/>
      <c r="AQ161" s="139" t="s">
        <v>2831</v>
      </c>
      <c r="AR161" s="139" t="s">
        <v>2361</v>
      </c>
      <c r="AS161" s="141" t="s">
        <v>2832</v>
      </c>
    </row>
    <row r="162" ht="15.75" customHeight="1">
      <c r="B162" s="147" t="s">
        <v>2801</v>
      </c>
      <c r="C162" s="158">
        <v>2.0</v>
      </c>
      <c r="D162" s="36"/>
      <c r="E162" s="32" t="str">
        <f>IFERROR(__xludf.DUMMYFUNCTION("IF(ISBLANK(D162), """", GOOGLETRANSLATE(D162, ""es"", ""en""))"),"")</f>
        <v/>
      </c>
      <c r="G162" s="141">
        <v>7.00000037E8</v>
      </c>
      <c r="H162" s="141">
        <v>4.0</v>
      </c>
      <c r="I162" s="141">
        <v>51979.0</v>
      </c>
      <c r="J162" s="139" t="s">
        <v>2833</v>
      </c>
      <c r="K162" s="141">
        <v>1.31009972E8</v>
      </c>
      <c r="L162" s="139" t="s">
        <v>2355</v>
      </c>
      <c r="M162" s="139" t="s">
        <v>2834</v>
      </c>
      <c r="N162" s="139" t="s">
        <v>2356</v>
      </c>
      <c r="O162" s="139" t="s">
        <v>2357</v>
      </c>
      <c r="P162" s="139" t="s">
        <v>2358</v>
      </c>
      <c r="Q162" s="141" t="s">
        <v>2835</v>
      </c>
      <c r="R162" s="141" t="s">
        <v>2825</v>
      </c>
      <c r="S162" s="139" t="s">
        <v>2836</v>
      </c>
      <c r="T162" s="141" t="s">
        <v>2837</v>
      </c>
      <c r="U162" s="139" t="s">
        <v>423</v>
      </c>
      <c r="V162" s="139"/>
      <c r="W162" s="139" t="s">
        <v>2359</v>
      </c>
      <c r="X162" s="139" t="s">
        <v>423</v>
      </c>
      <c r="Y162" s="139"/>
      <c r="Z162" s="139"/>
      <c r="AA162" s="139" t="s">
        <v>2838</v>
      </c>
      <c r="AB162" s="139"/>
      <c r="AC162" s="139" t="s">
        <v>2839</v>
      </c>
      <c r="AD162" s="157" t="s">
        <v>2839</v>
      </c>
      <c r="AE162" s="22"/>
      <c r="AF162" s="139" t="s">
        <v>2362</v>
      </c>
      <c r="AG162" s="139" t="s">
        <v>920</v>
      </c>
      <c r="AH162" s="139" t="s">
        <v>932</v>
      </c>
      <c r="AI162" s="157" t="s">
        <v>932</v>
      </c>
      <c r="AJ162" s="22"/>
      <c r="AK162" s="139" t="s">
        <v>2181</v>
      </c>
      <c r="AL162" s="139"/>
      <c r="AM162" s="143" t="s">
        <v>2840</v>
      </c>
      <c r="AN162" s="139" t="s">
        <v>2359</v>
      </c>
      <c r="AO162" s="157" t="s">
        <v>2360</v>
      </c>
      <c r="AP162" s="22"/>
      <c r="AQ162" s="139" t="s">
        <v>2841</v>
      </c>
      <c r="AR162" s="139" t="s">
        <v>2361</v>
      </c>
      <c r="AS162" s="141" t="s">
        <v>2832</v>
      </c>
    </row>
    <row r="163" ht="15.75" customHeight="1">
      <c r="B163" s="147" t="s">
        <v>1674</v>
      </c>
      <c r="C163" s="159">
        <v>51981.0</v>
      </c>
      <c r="D163" s="36" t="s">
        <v>1674</v>
      </c>
      <c r="E163" s="32" t="str">
        <f>IFERROR(__xludf.DUMMYFUNCTION("IF(ISBLANK(D163), """", GOOGLETRANSLATE(D163, ""es"", ""en""))"),"RPE")</f>
        <v>RPE</v>
      </c>
      <c r="G163" s="141">
        <v>7.00000086E8</v>
      </c>
      <c r="H163" s="141">
        <v>9.0</v>
      </c>
      <c r="I163" s="141">
        <v>51974.0</v>
      </c>
      <c r="J163" s="139" t="s">
        <v>2842</v>
      </c>
      <c r="K163" s="141">
        <v>1.31152864E8</v>
      </c>
      <c r="L163" s="139" t="s">
        <v>2355</v>
      </c>
      <c r="M163" s="139" t="s">
        <v>2834</v>
      </c>
      <c r="N163" s="139" t="s">
        <v>2356</v>
      </c>
      <c r="O163" s="139" t="s">
        <v>2357</v>
      </c>
      <c r="P163" s="139" t="s">
        <v>2358</v>
      </c>
      <c r="Q163" s="141" t="s">
        <v>2843</v>
      </c>
      <c r="R163" s="141" t="s">
        <v>2825</v>
      </c>
      <c r="S163" s="139" t="s">
        <v>2844</v>
      </c>
      <c r="T163" s="141" t="s">
        <v>2845</v>
      </c>
      <c r="U163" s="139" t="s">
        <v>423</v>
      </c>
      <c r="V163" s="139"/>
      <c r="W163" s="139" t="s">
        <v>2359</v>
      </c>
      <c r="X163" s="139" t="s">
        <v>423</v>
      </c>
      <c r="Y163" s="139"/>
      <c r="Z163" s="139"/>
      <c r="AA163" s="139" t="s">
        <v>2846</v>
      </c>
      <c r="AB163" s="139"/>
      <c r="AC163" s="139" t="s">
        <v>2847</v>
      </c>
      <c r="AD163" s="139" t="s">
        <v>2848</v>
      </c>
      <c r="AE163" s="139" t="s">
        <v>2849</v>
      </c>
      <c r="AF163" s="139" t="s">
        <v>2362</v>
      </c>
      <c r="AG163" s="139" t="s">
        <v>920</v>
      </c>
      <c r="AH163" s="139" t="s">
        <v>921</v>
      </c>
      <c r="AI163" s="157" t="s">
        <v>2408</v>
      </c>
      <c r="AJ163" s="22"/>
      <c r="AK163" s="139" t="s">
        <v>2850</v>
      </c>
      <c r="AL163" s="139"/>
      <c r="AM163" s="143" t="s">
        <v>2851</v>
      </c>
      <c r="AN163" s="139" t="s">
        <v>2359</v>
      </c>
      <c r="AO163" s="157" t="s">
        <v>2360</v>
      </c>
      <c r="AP163" s="22"/>
      <c r="AQ163" s="139" t="s">
        <v>2831</v>
      </c>
      <c r="AR163" s="139" t="s">
        <v>2361</v>
      </c>
      <c r="AS163" s="141" t="s">
        <v>2832</v>
      </c>
    </row>
    <row r="164" ht="15.75" customHeight="1">
      <c r="B164" s="147" t="s">
        <v>2300</v>
      </c>
      <c r="C164" s="147" t="s">
        <v>2821</v>
      </c>
      <c r="D164" s="36" t="s">
        <v>2445</v>
      </c>
      <c r="E164" s="32" t="str">
        <f>IFERROR(__xludf.DUMMYFUNCTION("IF(ISBLANK(D164), """", GOOGLETRANSLATE(D164, ""es"", ""en""))"),"Company name of the supplier of the items")</f>
        <v>Company name of the supplier of the items</v>
      </c>
      <c r="F164" s="138"/>
      <c r="G164" s="141">
        <v>7.00000102E8</v>
      </c>
      <c r="H164" s="141">
        <v>11.0</v>
      </c>
      <c r="I164" s="141">
        <v>51972.0</v>
      </c>
      <c r="J164" s="139" t="s">
        <v>2852</v>
      </c>
      <c r="K164" s="141">
        <v>1.23003994E8</v>
      </c>
      <c r="L164" s="139" t="s">
        <v>2355</v>
      </c>
      <c r="M164" s="139" t="s">
        <v>2834</v>
      </c>
      <c r="N164" s="139" t="s">
        <v>2400</v>
      </c>
      <c r="O164" s="139" t="s">
        <v>2357</v>
      </c>
      <c r="P164" s="139" t="s">
        <v>2358</v>
      </c>
      <c r="Q164" s="141" t="s">
        <v>2853</v>
      </c>
      <c r="R164" s="141" t="s">
        <v>2825</v>
      </c>
      <c r="S164" s="139" t="s">
        <v>2854</v>
      </c>
      <c r="T164" s="141" t="s">
        <v>2855</v>
      </c>
      <c r="U164" s="139" t="s">
        <v>423</v>
      </c>
      <c r="V164" s="139"/>
      <c r="W164" s="139" t="s">
        <v>2359</v>
      </c>
      <c r="X164" s="139" t="s">
        <v>423</v>
      </c>
      <c r="Y164" s="139"/>
      <c r="Z164" s="139"/>
      <c r="AA164" s="139" t="s">
        <v>2856</v>
      </c>
      <c r="AB164" s="139"/>
      <c r="AC164" s="139" t="s">
        <v>2857</v>
      </c>
      <c r="AD164" s="139" t="s">
        <v>2857</v>
      </c>
      <c r="AE164" s="139" t="s">
        <v>2858</v>
      </c>
      <c r="AF164" s="139" t="s">
        <v>2362</v>
      </c>
      <c r="AG164" s="139" t="s">
        <v>920</v>
      </c>
      <c r="AH164" s="139" t="s">
        <v>921</v>
      </c>
      <c r="AI164" s="157" t="s">
        <v>2408</v>
      </c>
      <c r="AJ164" s="22"/>
      <c r="AK164" s="139" t="s">
        <v>2181</v>
      </c>
      <c r="AL164" s="139"/>
      <c r="AM164" s="143" t="s">
        <v>2859</v>
      </c>
      <c r="AN164" s="139" t="s">
        <v>2359</v>
      </c>
      <c r="AO164" s="157" t="s">
        <v>2360</v>
      </c>
      <c r="AP164" s="22"/>
      <c r="AQ164" s="139" t="s">
        <v>2831</v>
      </c>
      <c r="AR164" s="139" t="s">
        <v>2361</v>
      </c>
      <c r="AS164" s="141" t="s">
        <v>2832</v>
      </c>
    </row>
    <row r="165" ht="15.75" customHeight="1">
      <c r="B165" s="147" t="s">
        <v>2318</v>
      </c>
      <c r="C165" s="147">
        <v>1.16733635E8</v>
      </c>
      <c r="D165" s="36" t="s">
        <v>2627</v>
      </c>
      <c r="E165" s="32" t="str">
        <f>IFERROR(__xludf.DUMMYFUNCTION("IF(ISBLANK(D165), """", GOOGLETRANSLATE(D165, ""es"", ""en""))"),"Supplier identification document number")</f>
        <v>Supplier identification document number</v>
      </c>
      <c r="F165" s="144"/>
      <c r="G165" s="141">
        <v>7.00000177E8</v>
      </c>
      <c r="H165" s="141">
        <v>18.0</v>
      </c>
      <c r="I165" s="141">
        <v>51965.0</v>
      </c>
      <c r="J165" s="139" t="s">
        <v>2860</v>
      </c>
      <c r="K165" s="141">
        <v>1.03985446E8</v>
      </c>
      <c r="L165" s="139" t="s">
        <v>2822</v>
      </c>
      <c r="M165" s="139" t="s">
        <v>2368</v>
      </c>
      <c r="N165" s="139" t="s">
        <v>2400</v>
      </c>
      <c r="O165" s="139" t="s">
        <v>2823</v>
      </c>
      <c r="P165" s="139" t="s">
        <v>2824</v>
      </c>
      <c r="Q165" s="139"/>
      <c r="R165" s="141" t="s">
        <v>2825</v>
      </c>
      <c r="S165" s="139"/>
      <c r="T165" s="139"/>
      <c r="U165" s="139" t="s">
        <v>423</v>
      </c>
      <c r="V165" s="139"/>
      <c r="W165" s="139"/>
      <c r="X165" s="139" t="s">
        <v>423</v>
      </c>
      <c r="Y165" s="139"/>
      <c r="Z165" s="139" t="s">
        <v>2861</v>
      </c>
      <c r="AA165" s="139" t="s">
        <v>2862</v>
      </c>
      <c r="AB165" s="139"/>
      <c r="AC165" s="139" t="s">
        <v>2863</v>
      </c>
      <c r="AD165" s="157" t="s">
        <v>2863</v>
      </c>
      <c r="AE165" s="22"/>
      <c r="AF165" s="139" t="s">
        <v>2362</v>
      </c>
      <c r="AG165" s="139" t="s">
        <v>920</v>
      </c>
      <c r="AH165" s="139" t="s">
        <v>932</v>
      </c>
      <c r="AI165" s="157" t="s">
        <v>932</v>
      </c>
      <c r="AJ165" s="22"/>
      <c r="AK165" s="157" t="s">
        <v>2864</v>
      </c>
      <c r="AL165" s="22"/>
      <c r="AM165" s="143" t="s">
        <v>2865</v>
      </c>
      <c r="AN165" s="139" t="s">
        <v>2359</v>
      </c>
      <c r="AO165" s="139" t="s">
        <v>2830</v>
      </c>
      <c r="AP165" s="139"/>
      <c r="AQ165" s="139" t="s">
        <v>2831</v>
      </c>
      <c r="AR165" s="139" t="s">
        <v>2361</v>
      </c>
      <c r="AS165" s="141" t="s">
        <v>2832</v>
      </c>
    </row>
    <row r="166" ht="15.75" customHeight="1">
      <c r="B166" s="147" t="s">
        <v>2319</v>
      </c>
      <c r="C166" s="147" t="s">
        <v>2822</v>
      </c>
      <c r="D166" s="36" t="s">
        <v>2628</v>
      </c>
      <c r="E166" s="32" t="str">
        <f>IFERROR(__xludf.DUMMYFUNCTION("IF(ISBLANK(D166), """", GOOGLETRANSLATE(D166, ""es"", ""en""))"),"Supplier ID type")</f>
        <v>Supplier ID type</v>
      </c>
      <c r="G166" s="141">
        <v>7.00009665E8</v>
      </c>
      <c r="H166" s="141">
        <v>967.0</v>
      </c>
      <c r="I166" s="141">
        <v>51479.0</v>
      </c>
      <c r="J166" s="139" t="s">
        <v>2866</v>
      </c>
      <c r="K166" s="141">
        <v>1.31246745E8</v>
      </c>
      <c r="L166" s="139" t="s">
        <v>2355</v>
      </c>
      <c r="M166" s="139" t="s">
        <v>2368</v>
      </c>
      <c r="N166" s="139" t="s">
        <v>2356</v>
      </c>
      <c r="O166" s="139" t="s">
        <v>2357</v>
      </c>
      <c r="P166" s="139" t="s">
        <v>2358</v>
      </c>
      <c r="Q166" s="141" t="s">
        <v>2867</v>
      </c>
      <c r="R166" s="142">
        <v>42250.333333333336</v>
      </c>
      <c r="S166" s="139" t="s">
        <v>2868</v>
      </c>
      <c r="T166" s="141" t="s">
        <v>2869</v>
      </c>
      <c r="U166" s="139" t="s">
        <v>423</v>
      </c>
      <c r="V166" s="139"/>
      <c r="W166" s="139" t="s">
        <v>2359</v>
      </c>
      <c r="X166" s="139" t="s">
        <v>423</v>
      </c>
      <c r="Y166" s="139"/>
      <c r="Z166" s="139"/>
      <c r="AA166" s="139" t="s">
        <v>2870</v>
      </c>
      <c r="AB166" s="139"/>
      <c r="AC166" s="139" t="s">
        <v>2871</v>
      </c>
      <c r="AD166" s="139" t="s">
        <v>2872</v>
      </c>
      <c r="AE166" s="139" t="s">
        <v>2873</v>
      </c>
      <c r="AF166" s="139" t="s">
        <v>2362</v>
      </c>
      <c r="AG166" s="139" t="s">
        <v>920</v>
      </c>
      <c r="AH166" s="139" t="s">
        <v>921</v>
      </c>
      <c r="AI166" s="157" t="s">
        <v>2408</v>
      </c>
      <c r="AJ166" s="22"/>
      <c r="AK166" s="157" t="s">
        <v>2874</v>
      </c>
      <c r="AL166" s="22"/>
      <c r="AM166" s="143" t="s">
        <v>2875</v>
      </c>
      <c r="AN166" s="139" t="s">
        <v>2359</v>
      </c>
      <c r="AO166" s="157" t="s">
        <v>2360</v>
      </c>
      <c r="AP166" s="22"/>
      <c r="AQ166" s="139" t="s">
        <v>2831</v>
      </c>
      <c r="AR166" s="139" t="s">
        <v>2361</v>
      </c>
      <c r="AS166" s="141" t="s">
        <v>2832</v>
      </c>
    </row>
    <row r="167" ht="15.75" customHeight="1">
      <c r="B167" s="147" t="s">
        <v>2802</v>
      </c>
      <c r="C167" s="147" t="s">
        <v>2368</v>
      </c>
      <c r="D167" s="36" t="s">
        <v>2876</v>
      </c>
      <c r="E167" s="32" t="str">
        <f>IFERROR(__xludf.DUMMYFUNCTION("IF(ISBLANK(D167), """", GOOGLETRANSLATE(D167, ""es"", ""en""))"),"Description of RPE status")</f>
        <v>Description of RPE status</v>
      </c>
      <c r="G167" s="141">
        <v>7.00009673E8</v>
      </c>
      <c r="H167" s="141">
        <v>968.0</v>
      </c>
      <c r="I167" s="141">
        <v>51478.0</v>
      </c>
      <c r="J167" s="139" t="s">
        <v>2877</v>
      </c>
      <c r="K167" s="141">
        <v>1.31241964E8</v>
      </c>
      <c r="L167" s="139" t="s">
        <v>2355</v>
      </c>
      <c r="M167" s="139" t="s">
        <v>2834</v>
      </c>
      <c r="N167" s="139" t="s">
        <v>2356</v>
      </c>
      <c r="O167" s="139" t="s">
        <v>2357</v>
      </c>
      <c r="P167" s="139" t="s">
        <v>2358</v>
      </c>
      <c r="Q167" s="141" t="s">
        <v>2878</v>
      </c>
      <c r="R167" s="142">
        <v>42250.333333333336</v>
      </c>
      <c r="S167" s="139" t="s">
        <v>2879</v>
      </c>
      <c r="T167" s="141" t="s">
        <v>2880</v>
      </c>
      <c r="U167" s="139" t="s">
        <v>423</v>
      </c>
      <c r="V167" s="139"/>
      <c r="W167" s="139" t="s">
        <v>2359</v>
      </c>
      <c r="X167" s="139" t="s">
        <v>423</v>
      </c>
      <c r="Y167" s="139"/>
      <c r="Z167" s="139"/>
      <c r="AA167" s="139" t="s">
        <v>2881</v>
      </c>
      <c r="AB167" s="139"/>
      <c r="AC167" s="139" t="s">
        <v>2882</v>
      </c>
      <c r="AD167" s="157" t="s">
        <v>2882</v>
      </c>
      <c r="AE167" s="22"/>
      <c r="AF167" s="139" t="s">
        <v>2362</v>
      </c>
      <c r="AG167" s="139" t="s">
        <v>920</v>
      </c>
      <c r="AH167" s="139" t="s">
        <v>932</v>
      </c>
      <c r="AI167" s="157" t="s">
        <v>932</v>
      </c>
      <c r="AJ167" s="22"/>
      <c r="AK167" s="139" t="s">
        <v>2181</v>
      </c>
      <c r="AL167" s="139"/>
      <c r="AM167" s="143" t="s">
        <v>2883</v>
      </c>
      <c r="AN167" s="139" t="s">
        <v>2359</v>
      </c>
      <c r="AO167" s="157" t="s">
        <v>2360</v>
      </c>
      <c r="AP167" s="22"/>
      <c r="AQ167" s="139" t="s">
        <v>2831</v>
      </c>
      <c r="AR167" s="139" t="s">
        <v>2361</v>
      </c>
      <c r="AS167" s="141" t="s">
        <v>2832</v>
      </c>
    </row>
    <row r="168" ht="15.75" customHeight="1">
      <c r="B168" s="147" t="s">
        <v>2320</v>
      </c>
      <c r="C168" s="147" t="s">
        <v>2356</v>
      </c>
      <c r="D168" s="36" t="s">
        <v>2629</v>
      </c>
      <c r="E168" s="32" t="str">
        <f>IFERROR(__xludf.DUMMYFUNCTION("IF(ISBLANK(D168), """", GOOGLETRANSLATE(D168, ""es"", ""en""))"),"Provider gender identity")</f>
        <v>Provider gender identity</v>
      </c>
      <c r="G168" s="141">
        <v>7.00009681E8</v>
      </c>
      <c r="H168" s="141">
        <v>969.0</v>
      </c>
      <c r="I168" s="141">
        <v>51477.0</v>
      </c>
      <c r="J168" s="139" t="s">
        <v>2884</v>
      </c>
      <c r="K168" s="141">
        <v>1.31249736E8</v>
      </c>
      <c r="L168" s="139" t="s">
        <v>2355</v>
      </c>
      <c r="M168" s="139" t="s">
        <v>2834</v>
      </c>
      <c r="N168" s="139" t="s">
        <v>2356</v>
      </c>
      <c r="O168" s="139" t="s">
        <v>2357</v>
      </c>
      <c r="P168" s="139" t="s">
        <v>2358</v>
      </c>
      <c r="Q168" s="141" t="s">
        <v>2885</v>
      </c>
      <c r="R168" s="142">
        <v>42250.333333333336</v>
      </c>
      <c r="S168" s="139" t="s">
        <v>2886</v>
      </c>
      <c r="T168" s="141" t="s">
        <v>2887</v>
      </c>
      <c r="U168" s="139" t="s">
        <v>423</v>
      </c>
      <c r="V168" s="139"/>
      <c r="W168" s="139" t="s">
        <v>2359</v>
      </c>
      <c r="X168" s="139" t="s">
        <v>423</v>
      </c>
      <c r="Y168" s="139"/>
      <c r="Z168" s="139"/>
      <c r="AA168" s="139" t="s">
        <v>2888</v>
      </c>
      <c r="AB168" s="139"/>
      <c r="AC168" s="139" t="s">
        <v>2889</v>
      </c>
      <c r="AD168" s="157" t="s">
        <v>2889</v>
      </c>
      <c r="AE168" s="22"/>
      <c r="AF168" s="139" t="s">
        <v>2362</v>
      </c>
      <c r="AG168" s="139" t="s">
        <v>920</v>
      </c>
      <c r="AH168" s="139" t="s">
        <v>932</v>
      </c>
      <c r="AI168" s="157" t="s">
        <v>932</v>
      </c>
      <c r="AJ168" s="22"/>
      <c r="AK168" s="139" t="s">
        <v>2850</v>
      </c>
      <c r="AL168" s="139"/>
      <c r="AM168" s="143" t="s">
        <v>2890</v>
      </c>
      <c r="AN168" s="139" t="s">
        <v>2359</v>
      </c>
      <c r="AO168" s="157" t="s">
        <v>2360</v>
      </c>
      <c r="AP168" s="22"/>
      <c r="AQ168" s="139" t="s">
        <v>2831</v>
      </c>
      <c r="AR168" s="139" t="s">
        <v>2361</v>
      </c>
      <c r="AS168" s="141" t="s">
        <v>2832</v>
      </c>
    </row>
    <row r="169" ht="15.75" customHeight="1">
      <c r="B169" s="147" t="s">
        <v>2321</v>
      </c>
      <c r="C169" s="147" t="s">
        <v>2823</v>
      </c>
      <c r="D169" s="36" t="s">
        <v>2891</v>
      </c>
      <c r="E169" s="32" t="str">
        <f>IFERROR(__xludf.DUMMYFUNCTION("IF(ISBLANK(D169), """", GOOGLETRANSLATE(D169, ""es"", ""en""))"),"Type of person (Example: Natural or Legal)")</f>
        <v>Type of person (Example: Natural or Legal)</v>
      </c>
      <c r="G169" s="141">
        <v>7.00009814E8</v>
      </c>
      <c r="H169" s="141">
        <v>982.0</v>
      </c>
      <c r="I169" s="141">
        <v>51458.0</v>
      </c>
      <c r="J169" s="139" t="s">
        <v>2892</v>
      </c>
      <c r="K169" s="141">
        <v>1.24031494E8</v>
      </c>
      <c r="L169" s="139" t="s">
        <v>2355</v>
      </c>
      <c r="M169" s="139" t="s">
        <v>2368</v>
      </c>
      <c r="N169" s="139" t="s">
        <v>2356</v>
      </c>
      <c r="O169" s="139" t="s">
        <v>2357</v>
      </c>
      <c r="P169" s="139" t="s">
        <v>2358</v>
      </c>
      <c r="Q169" s="141" t="s">
        <v>2893</v>
      </c>
      <c r="R169" s="142">
        <v>42158.97222222222</v>
      </c>
      <c r="S169" s="139" t="s">
        <v>2894</v>
      </c>
      <c r="T169" s="141" t="s">
        <v>2895</v>
      </c>
      <c r="U169" s="139" t="s">
        <v>67</v>
      </c>
      <c r="V169" s="141" t="s">
        <v>2896</v>
      </c>
      <c r="W169" s="139" t="s">
        <v>2375</v>
      </c>
      <c r="X169" s="139" t="s">
        <v>423</v>
      </c>
      <c r="Y169" s="139"/>
      <c r="Z169" s="139"/>
      <c r="AA169" s="139" t="s">
        <v>2897</v>
      </c>
      <c r="AB169" s="139"/>
      <c r="AC169" s="139" t="s">
        <v>2898</v>
      </c>
      <c r="AD169" s="139" t="s">
        <v>2898</v>
      </c>
      <c r="AE169" s="139" t="s">
        <v>2899</v>
      </c>
      <c r="AF169" s="139" t="s">
        <v>2362</v>
      </c>
      <c r="AG169" s="139" t="s">
        <v>920</v>
      </c>
      <c r="AH169" s="139" t="s">
        <v>932</v>
      </c>
      <c r="AI169" s="157" t="s">
        <v>932</v>
      </c>
      <c r="AJ169" s="22"/>
      <c r="AK169" s="139" t="s">
        <v>2181</v>
      </c>
      <c r="AL169" s="139"/>
      <c r="AM169" s="143" t="s">
        <v>2900</v>
      </c>
      <c r="AN169" s="139" t="s">
        <v>2373</v>
      </c>
      <c r="AO169" s="157" t="s">
        <v>2374</v>
      </c>
      <c r="AP169" s="22"/>
      <c r="AQ169" s="139" t="s">
        <v>2831</v>
      </c>
      <c r="AR169" s="139" t="s">
        <v>2361</v>
      </c>
      <c r="AS169" s="141" t="s">
        <v>2832</v>
      </c>
    </row>
    <row r="170" ht="15.75" customHeight="1">
      <c r="B170" s="147" t="s">
        <v>2322</v>
      </c>
      <c r="C170" s="147" t="s">
        <v>2824</v>
      </c>
      <c r="D170" s="36" t="s">
        <v>2901</v>
      </c>
      <c r="E170" s="32" t="str">
        <f>IFERROR(__xludf.DUMMYFUNCTION("IF(ISBLANK(D170), """", GOOGLETRANSLATE(D170, ""es"", ""en""))"),"Legal form")</f>
        <v>Legal form</v>
      </c>
      <c r="G170" s="141">
        <v>7.00009822E8</v>
      </c>
      <c r="H170" s="141">
        <v>983.0</v>
      </c>
      <c r="I170" s="141">
        <v>51447.0</v>
      </c>
      <c r="J170" s="139" t="s">
        <v>2902</v>
      </c>
      <c r="K170" s="141">
        <v>1.01192267E8</v>
      </c>
      <c r="L170" s="139" t="s">
        <v>2355</v>
      </c>
      <c r="M170" s="139" t="s">
        <v>2834</v>
      </c>
      <c r="N170" s="139" t="s">
        <v>2356</v>
      </c>
      <c r="O170" s="139" t="s">
        <v>2357</v>
      </c>
      <c r="P170" s="139" t="s">
        <v>2358</v>
      </c>
      <c r="Q170" s="141" t="s">
        <v>2903</v>
      </c>
      <c r="R170" s="142">
        <v>42127.98819444444</v>
      </c>
      <c r="S170" s="139" t="s">
        <v>2904</v>
      </c>
      <c r="T170" s="141" t="s">
        <v>2905</v>
      </c>
      <c r="U170" s="139" t="s">
        <v>423</v>
      </c>
      <c r="V170" s="141" t="s">
        <v>2906</v>
      </c>
      <c r="W170" s="139"/>
      <c r="X170" s="139" t="s">
        <v>423</v>
      </c>
      <c r="Y170" s="139"/>
      <c r="Z170" s="139"/>
      <c r="AA170" s="139" t="s">
        <v>2907</v>
      </c>
      <c r="AB170" s="139"/>
      <c r="AC170" s="139" t="s">
        <v>2908</v>
      </c>
      <c r="AD170" s="139" t="s">
        <v>2909</v>
      </c>
      <c r="AE170" s="139" t="s">
        <v>2910</v>
      </c>
      <c r="AF170" s="139" t="s">
        <v>2362</v>
      </c>
      <c r="AG170" s="139" t="s">
        <v>920</v>
      </c>
      <c r="AH170" s="139" t="s">
        <v>932</v>
      </c>
      <c r="AI170" s="157" t="s">
        <v>932</v>
      </c>
      <c r="AJ170" s="22"/>
      <c r="AK170" s="139" t="s">
        <v>2850</v>
      </c>
      <c r="AL170" s="139"/>
      <c r="AM170" s="143" t="s">
        <v>2911</v>
      </c>
      <c r="AN170" s="139" t="s">
        <v>2359</v>
      </c>
      <c r="AO170" s="157" t="s">
        <v>2360</v>
      </c>
      <c r="AP170" s="22"/>
      <c r="AQ170" s="139" t="s">
        <v>2831</v>
      </c>
      <c r="AR170" s="139" t="s">
        <v>2361</v>
      </c>
      <c r="AS170" s="141" t="s">
        <v>2832</v>
      </c>
    </row>
    <row r="171" ht="15.75" customHeight="1">
      <c r="B171" s="147" t="s">
        <v>2803</v>
      </c>
      <c r="C171" s="147"/>
      <c r="D171" s="36" t="s">
        <v>2912</v>
      </c>
      <c r="E171" s="32" t="str">
        <f>IFERROR(__xludf.DUMMYFUNCTION("IF(ISBLANK(D171), """", GOOGLETRANSLATE(D171, ""es"", ""en""))"),"Creation date")</f>
        <v>Creation date</v>
      </c>
      <c r="G171" s="141">
        <v>7.00000193E8</v>
      </c>
      <c r="H171" s="141">
        <v>20.0</v>
      </c>
      <c r="I171" s="141">
        <v>51963.0</v>
      </c>
      <c r="J171" s="139" t="s">
        <v>2913</v>
      </c>
      <c r="K171" s="141">
        <v>1.30707774E8</v>
      </c>
      <c r="L171" s="139" t="s">
        <v>2355</v>
      </c>
      <c r="M171" s="139" t="s">
        <v>2834</v>
      </c>
      <c r="N171" s="139" t="s">
        <v>2400</v>
      </c>
      <c r="O171" s="139" t="s">
        <v>2357</v>
      </c>
      <c r="P171" s="139" t="s">
        <v>2358</v>
      </c>
      <c r="Q171" s="141" t="s">
        <v>2914</v>
      </c>
      <c r="R171" s="141" t="s">
        <v>2825</v>
      </c>
      <c r="S171" s="139" t="s">
        <v>2915</v>
      </c>
      <c r="T171" s="141" t="s">
        <v>2916</v>
      </c>
      <c r="U171" s="139" t="s">
        <v>423</v>
      </c>
      <c r="V171" s="139"/>
      <c r="W171" s="139" t="s">
        <v>2359</v>
      </c>
      <c r="X171" s="139" t="s">
        <v>423</v>
      </c>
      <c r="Y171" s="139"/>
      <c r="Z171" s="139"/>
      <c r="AA171" s="139" t="s">
        <v>2917</v>
      </c>
      <c r="AB171" s="139"/>
      <c r="AC171" s="139" t="s">
        <v>2918</v>
      </c>
      <c r="AD171" s="139" t="s">
        <v>2919</v>
      </c>
      <c r="AE171" s="139" t="s">
        <v>2920</v>
      </c>
      <c r="AF171" s="139" t="s">
        <v>2362</v>
      </c>
      <c r="AG171" s="139" t="s">
        <v>925</v>
      </c>
      <c r="AH171" s="139" t="s">
        <v>2921</v>
      </c>
      <c r="AI171" s="139" t="s">
        <v>2921</v>
      </c>
      <c r="AJ171" s="139"/>
      <c r="AK171" s="139" t="s">
        <v>2181</v>
      </c>
      <c r="AL171" s="139"/>
      <c r="AM171" s="143" t="s">
        <v>2922</v>
      </c>
      <c r="AN171" s="139" t="s">
        <v>2359</v>
      </c>
      <c r="AO171" s="157" t="s">
        <v>2360</v>
      </c>
      <c r="AP171" s="22"/>
      <c r="AQ171" s="139" t="s">
        <v>2831</v>
      </c>
      <c r="AR171" s="139" t="s">
        <v>2923</v>
      </c>
      <c r="AS171" s="141" t="s">
        <v>2832</v>
      </c>
    </row>
    <row r="172" ht="15.75" customHeight="1">
      <c r="B172" s="147" t="s">
        <v>2804</v>
      </c>
      <c r="C172" s="147" t="s">
        <v>2825</v>
      </c>
      <c r="D172" s="36" t="s">
        <v>2924</v>
      </c>
      <c r="E172" s="32" t="str">
        <f>IFERROR(__xludf.DUMMYFUNCTION("IF(ISBLANK(D172), """", GOOGLETRANSLATE(D172, ""es"", ""en""))"),"Supplier registration date in the supplier catalog")</f>
        <v>Supplier registration date in the supplier catalog</v>
      </c>
      <c r="G172" s="141">
        <v>7.00006448E8</v>
      </c>
      <c r="H172" s="141">
        <v>645.0</v>
      </c>
      <c r="I172" s="141">
        <v>46256.0</v>
      </c>
      <c r="J172" s="139" t="s">
        <v>2925</v>
      </c>
      <c r="K172" s="141">
        <v>2.0548128847E10</v>
      </c>
      <c r="L172" s="139" t="s">
        <v>2926</v>
      </c>
      <c r="M172" s="139" t="s">
        <v>2368</v>
      </c>
      <c r="N172" s="139" t="s">
        <v>2400</v>
      </c>
      <c r="O172" s="139" t="s">
        <v>2357</v>
      </c>
      <c r="P172" s="139" t="s">
        <v>2358</v>
      </c>
      <c r="Q172" s="141" t="s">
        <v>2927</v>
      </c>
      <c r="R172" s="141" t="s">
        <v>2928</v>
      </c>
      <c r="S172" s="139"/>
      <c r="T172" s="139"/>
      <c r="U172" s="139" t="s">
        <v>423</v>
      </c>
      <c r="V172" s="139"/>
      <c r="W172" s="139" t="s">
        <v>2359</v>
      </c>
      <c r="X172" s="139" t="s">
        <v>423</v>
      </c>
      <c r="Y172" s="139"/>
      <c r="Z172" s="139"/>
      <c r="AA172" s="139" t="s">
        <v>2929</v>
      </c>
      <c r="AB172" s="139"/>
      <c r="AC172" s="139" t="s">
        <v>2930</v>
      </c>
      <c r="AD172" s="157" t="s">
        <v>2930</v>
      </c>
      <c r="AE172" s="22"/>
      <c r="AF172" s="139"/>
      <c r="AG172" s="139" t="s">
        <v>2387</v>
      </c>
      <c r="AH172" s="139" t="s">
        <v>2387</v>
      </c>
      <c r="AI172" s="139"/>
      <c r="AJ172" s="139"/>
      <c r="AK172" s="139" t="s">
        <v>2181</v>
      </c>
      <c r="AL172" s="139"/>
      <c r="AM172" s="143" t="s">
        <v>2931</v>
      </c>
      <c r="AN172" s="139" t="s">
        <v>2359</v>
      </c>
      <c r="AO172" s="157" t="s">
        <v>2360</v>
      </c>
      <c r="AP172" s="22"/>
      <c r="AQ172" s="139" t="s">
        <v>2831</v>
      </c>
      <c r="AR172" s="139" t="s">
        <v>2387</v>
      </c>
      <c r="AS172" s="141" t="s">
        <v>2832</v>
      </c>
    </row>
    <row r="173" ht="15.75" customHeight="1">
      <c r="B173" s="147" t="s">
        <v>2805</v>
      </c>
      <c r="C173" s="147"/>
      <c r="D173" s="36" t="s">
        <v>2932</v>
      </c>
      <c r="E173" s="32" t="str">
        <f>IFERROR(__xludf.DUMMYFUNCTION("IF(ISBLANK(D173), """", GOOGLETRANSLATE(D173, ""es"", ""en""))"),"Commercial Registry Number")</f>
        <v>Commercial Registry Number</v>
      </c>
      <c r="G173" s="141">
        <v>7.00006463E8</v>
      </c>
      <c r="H173" s="141">
        <v>647.0</v>
      </c>
      <c r="I173" s="141">
        <v>45955.0</v>
      </c>
      <c r="J173" s="139" t="s">
        <v>2933</v>
      </c>
      <c r="K173" s="141">
        <v>2049341.0</v>
      </c>
      <c r="L173" s="139" t="s">
        <v>2926</v>
      </c>
      <c r="M173" s="139" t="s">
        <v>2368</v>
      </c>
      <c r="N173" s="139" t="s">
        <v>2356</v>
      </c>
      <c r="O173" s="139" t="s">
        <v>2357</v>
      </c>
      <c r="P173" s="139" t="s">
        <v>2358</v>
      </c>
      <c r="Q173" s="141" t="s">
        <v>2934</v>
      </c>
      <c r="R173" s="142">
        <v>41680.70208333333</v>
      </c>
      <c r="S173" s="139"/>
      <c r="T173" s="139"/>
      <c r="U173" s="139" t="s">
        <v>423</v>
      </c>
      <c r="V173" s="139"/>
      <c r="W173" s="139" t="s">
        <v>2359</v>
      </c>
      <c r="X173" s="139" t="s">
        <v>423</v>
      </c>
      <c r="Y173" s="139"/>
      <c r="Z173" s="139"/>
      <c r="AA173" s="139" t="s">
        <v>2935</v>
      </c>
      <c r="AB173" s="139"/>
      <c r="AC173" s="139" t="s">
        <v>2936</v>
      </c>
      <c r="AD173" s="157" t="s">
        <v>2936</v>
      </c>
      <c r="AE173" s="22"/>
      <c r="AF173" s="139"/>
      <c r="AG173" s="139" t="s">
        <v>2387</v>
      </c>
      <c r="AH173" s="139" t="s">
        <v>2387</v>
      </c>
      <c r="AI173" s="139"/>
      <c r="AJ173" s="139"/>
      <c r="AK173" s="139" t="s">
        <v>2181</v>
      </c>
      <c r="AL173" s="139"/>
      <c r="AM173" s="143" t="s">
        <v>2937</v>
      </c>
      <c r="AN173" s="139" t="s">
        <v>2359</v>
      </c>
      <c r="AO173" s="157" t="s">
        <v>2360</v>
      </c>
      <c r="AP173" s="22"/>
      <c r="AQ173" s="139" t="s">
        <v>2831</v>
      </c>
      <c r="AR173" s="139" t="s">
        <v>2387</v>
      </c>
      <c r="AS173" s="141" t="s">
        <v>2832</v>
      </c>
    </row>
    <row r="174" ht="15.75" customHeight="1">
      <c r="B174" s="147" t="s">
        <v>2806</v>
      </c>
      <c r="C174" s="147"/>
      <c r="D174" s="36" t="s">
        <v>2938</v>
      </c>
      <c r="E174" s="32" t="str">
        <f>IFERROR(__xludf.DUMMYFUNCTION("IF(ISBLANK(D174), """", GOOGLETRANSLATE(D174, ""es"", ""en""))"),"Commercial registration date of the supplier")</f>
        <v>Commercial registration date of the supplier</v>
      </c>
      <c r="G174" s="141">
        <v>7.00006513E8</v>
      </c>
      <c r="H174" s="141">
        <v>652.0</v>
      </c>
      <c r="I174" s="141">
        <v>43548.0</v>
      </c>
      <c r="J174" s="139" t="s">
        <v>2939</v>
      </c>
      <c r="K174" s="139" t="s">
        <v>2940</v>
      </c>
      <c r="L174" s="139" t="s">
        <v>2926</v>
      </c>
      <c r="M174" s="139" t="s">
        <v>2834</v>
      </c>
      <c r="N174" s="139" t="s">
        <v>2356</v>
      </c>
      <c r="O174" s="139" t="s">
        <v>2357</v>
      </c>
      <c r="P174" s="139" t="s">
        <v>2358</v>
      </c>
      <c r="Q174" s="141" t="s">
        <v>2941</v>
      </c>
      <c r="R174" s="142">
        <v>41858.90138888889</v>
      </c>
      <c r="S174" s="160">
        <v>3.5200653554E10</v>
      </c>
      <c r="T174" s="141" t="s">
        <v>2942</v>
      </c>
      <c r="U174" s="139" t="s">
        <v>423</v>
      </c>
      <c r="V174" s="139"/>
      <c r="W174" s="139" t="s">
        <v>2359</v>
      </c>
      <c r="X174" s="139" t="s">
        <v>423</v>
      </c>
      <c r="Y174" s="139"/>
      <c r="Z174" s="139"/>
      <c r="AA174" s="139" t="s">
        <v>2943</v>
      </c>
      <c r="AB174" s="139"/>
      <c r="AC174" s="139" t="s">
        <v>2944</v>
      </c>
      <c r="AD174" s="157" t="s">
        <v>2944</v>
      </c>
      <c r="AE174" s="20"/>
      <c r="AF174" s="22"/>
      <c r="AG174" s="139" t="s">
        <v>2387</v>
      </c>
      <c r="AH174" s="139" t="s">
        <v>2387</v>
      </c>
      <c r="AI174" s="139"/>
      <c r="AJ174" s="139"/>
      <c r="AK174" s="139" t="s">
        <v>2945</v>
      </c>
      <c r="AL174" s="139"/>
      <c r="AM174" s="143" t="s">
        <v>2946</v>
      </c>
      <c r="AN174" s="139" t="s">
        <v>2359</v>
      </c>
      <c r="AO174" s="157" t="s">
        <v>2360</v>
      </c>
      <c r="AP174" s="22"/>
      <c r="AQ174" s="139" t="s">
        <v>2831</v>
      </c>
      <c r="AR174" s="139" t="s">
        <v>2387</v>
      </c>
      <c r="AS174" s="141" t="s">
        <v>2832</v>
      </c>
    </row>
    <row r="175" ht="15.75" customHeight="1">
      <c r="B175" s="147" t="s">
        <v>2324</v>
      </c>
      <c r="C175" s="147" t="s">
        <v>423</v>
      </c>
      <c r="D175" s="36"/>
      <c r="E175" s="32" t="str">
        <f>IFERROR(__xludf.DUMMYFUNCTION("IF(ISBLANK(D175), """", GOOGLETRANSLATE(D175, ""es"", ""en""))"),"")</f>
        <v/>
      </c>
      <c r="G175" s="141">
        <v>7.00006539E8</v>
      </c>
      <c r="H175" s="141">
        <v>654.0</v>
      </c>
      <c r="I175" s="141">
        <v>42749.0</v>
      </c>
      <c r="J175" s="139" t="s">
        <v>2947</v>
      </c>
      <c r="K175" s="141">
        <v>4.0220069591E10</v>
      </c>
      <c r="L175" s="139" t="s">
        <v>2822</v>
      </c>
      <c r="M175" s="139" t="s">
        <v>2368</v>
      </c>
      <c r="N175" s="139" t="s">
        <v>2356</v>
      </c>
      <c r="O175" s="139" t="s">
        <v>2823</v>
      </c>
      <c r="P175" s="139" t="s">
        <v>2824</v>
      </c>
      <c r="Q175" s="139"/>
      <c r="R175" s="142">
        <v>41796.333333333336</v>
      </c>
      <c r="S175" s="139"/>
      <c r="T175" s="139"/>
      <c r="U175" s="139" t="s">
        <v>67</v>
      </c>
      <c r="V175" s="141" t="s">
        <v>2948</v>
      </c>
      <c r="W175" s="139" t="s">
        <v>2444</v>
      </c>
      <c r="X175" s="139" t="s">
        <v>423</v>
      </c>
      <c r="Y175" s="139"/>
      <c r="Z175" s="139" t="s">
        <v>2949</v>
      </c>
      <c r="AA175" s="139" t="s">
        <v>2950</v>
      </c>
      <c r="AB175" s="139"/>
      <c r="AC175" s="139" t="s">
        <v>2951</v>
      </c>
      <c r="AD175" s="157" t="s">
        <v>2951</v>
      </c>
      <c r="AE175" s="22"/>
      <c r="AF175" s="139" t="s">
        <v>2362</v>
      </c>
      <c r="AG175" s="139" t="s">
        <v>920</v>
      </c>
      <c r="AH175" s="139" t="s">
        <v>921</v>
      </c>
      <c r="AI175" s="157" t="s">
        <v>2498</v>
      </c>
      <c r="AJ175" s="22"/>
      <c r="AK175" s="139" t="s">
        <v>2017</v>
      </c>
      <c r="AL175" s="139"/>
      <c r="AM175" s="143" t="s">
        <v>2952</v>
      </c>
      <c r="AN175" s="139" t="s">
        <v>2443</v>
      </c>
      <c r="AO175" s="157" t="s">
        <v>2374</v>
      </c>
      <c r="AP175" s="22"/>
      <c r="AQ175" s="139" t="s">
        <v>2831</v>
      </c>
      <c r="AR175" s="139" t="s">
        <v>2361</v>
      </c>
      <c r="AS175" s="141" t="s">
        <v>2832</v>
      </c>
    </row>
    <row r="176" ht="15.75" customHeight="1">
      <c r="B176" s="147" t="s">
        <v>2807</v>
      </c>
      <c r="C176" s="147"/>
      <c r="D176" s="36" t="s">
        <v>2953</v>
      </c>
      <c r="E176" s="32" t="str">
        <f>IFERROR(__xludf.DUMMYFUNCTION("IF(ISBLANK(D176), """", GOOGLETRANSLATE(D176, ""es"", ""en""))"),"Certification Expiration Date")</f>
        <v>Certification Expiration Date</v>
      </c>
      <c r="G176" s="141">
        <v>7.00006604E8</v>
      </c>
      <c r="H176" s="141">
        <v>661.0</v>
      </c>
      <c r="I176" s="141">
        <v>41695.0</v>
      </c>
      <c r="J176" s="139" t="s">
        <v>2954</v>
      </c>
      <c r="K176" s="141">
        <v>1.31129862E8</v>
      </c>
      <c r="L176" s="139" t="s">
        <v>2355</v>
      </c>
      <c r="M176" s="139" t="s">
        <v>2834</v>
      </c>
      <c r="N176" s="139" t="s">
        <v>2356</v>
      </c>
      <c r="O176" s="139" t="s">
        <v>2357</v>
      </c>
      <c r="P176" s="139" t="s">
        <v>2358</v>
      </c>
      <c r="Q176" s="141" t="s">
        <v>2955</v>
      </c>
      <c r="R176" s="141" t="s">
        <v>2956</v>
      </c>
      <c r="S176" s="139" t="s">
        <v>2957</v>
      </c>
      <c r="T176" s="141" t="s">
        <v>2958</v>
      </c>
      <c r="U176" s="139" t="s">
        <v>67</v>
      </c>
      <c r="V176" s="141" t="s">
        <v>2959</v>
      </c>
      <c r="W176" s="139" t="s">
        <v>2375</v>
      </c>
      <c r="X176" s="139" t="s">
        <v>423</v>
      </c>
      <c r="Y176" s="139"/>
      <c r="Z176" s="139"/>
      <c r="AA176" s="139" t="s">
        <v>2960</v>
      </c>
      <c r="AB176" s="139"/>
      <c r="AC176" s="139" t="s">
        <v>2961</v>
      </c>
      <c r="AD176" s="157" t="s">
        <v>2961</v>
      </c>
      <c r="AE176" s="22"/>
      <c r="AF176" s="139" t="s">
        <v>2362</v>
      </c>
      <c r="AG176" s="139" t="s">
        <v>920</v>
      </c>
      <c r="AH176" s="139" t="s">
        <v>921</v>
      </c>
      <c r="AI176" s="157" t="s">
        <v>2408</v>
      </c>
      <c r="AJ176" s="22"/>
      <c r="AK176" s="139" t="s">
        <v>2945</v>
      </c>
      <c r="AL176" s="139"/>
      <c r="AM176" s="143" t="s">
        <v>2962</v>
      </c>
      <c r="AN176" s="139" t="s">
        <v>2373</v>
      </c>
      <c r="AO176" s="157" t="s">
        <v>2374</v>
      </c>
      <c r="AP176" s="22"/>
      <c r="AQ176" s="139" t="s">
        <v>2831</v>
      </c>
      <c r="AR176" s="139" t="s">
        <v>2361</v>
      </c>
      <c r="AS176" s="141" t="s">
        <v>2832</v>
      </c>
    </row>
    <row r="177" ht="15.75" customHeight="1">
      <c r="B177" s="147" t="s">
        <v>2332</v>
      </c>
      <c r="C177" s="147"/>
      <c r="D177" s="36" t="s">
        <v>2638</v>
      </c>
      <c r="E177" s="32" t="str">
        <f>IFERROR(__xludf.DUMMYFUNCTION("IF(ISBLANK(D177), """", GOOGLETRANSLATE(D177, ""es"", ""en""))"),"MICM classification description")</f>
        <v>MICM classification description</v>
      </c>
      <c r="G177" s="141">
        <v>7.0000662E8</v>
      </c>
      <c r="H177" s="141">
        <v>663.0</v>
      </c>
      <c r="I177" s="141">
        <v>40736.0</v>
      </c>
      <c r="J177" s="139" t="s">
        <v>2963</v>
      </c>
      <c r="K177" s="141">
        <v>1.11909396E8</v>
      </c>
      <c r="L177" s="139" t="s">
        <v>2822</v>
      </c>
      <c r="M177" s="139" t="s">
        <v>2368</v>
      </c>
      <c r="N177" s="139" t="s">
        <v>2356</v>
      </c>
      <c r="O177" s="139" t="s">
        <v>2823</v>
      </c>
      <c r="P177" s="139" t="s">
        <v>2824</v>
      </c>
      <c r="Q177" s="139"/>
      <c r="R177" s="141" t="s">
        <v>2964</v>
      </c>
      <c r="S177" s="139"/>
      <c r="T177" s="139"/>
      <c r="U177" s="139" t="s">
        <v>67</v>
      </c>
      <c r="V177" s="141" t="s">
        <v>2965</v>
      </c>
      <c r="W177" s="139" t="s">
        <v>2444</v>
      </c>
      <c r="X177" s="139" t="s">
        <v>423</v>
      </c>
      <c r="Y177" s="139"/>
      <c r="Z177" s="139" t="s">
        <v>2949</v>
      </c>
      <c r="AA177" s="139" t="s">
        <v>2966</v>
      </c>
      <c r="AB177" s="139"/>
      <c r="AC177" s="139" t="s">
        <v>2967</v>
      </c>
      <c r="AD177" s="139" t="s">
        <v>2967</v>
      </c>
      <c r="AE177" s="139" t="s">
        <v>2968</v>
      </c>
      <c r="AF177" s="139" t="s">
        <v>2362</v>
      </c>
      <c r="AG177" s="139" t="s">
        <v>920</v>
      </c>
      <c r="AH177" s="139" t="s">
        <v>932</v>
      </c>
      <c r="AI177" s="157" t="s">
        <v>932</v>
      </c>
      <c r="AJ177" s="22"/>
      <c r="AK177" s="139" t="s">
        <v>2945</v>
      </c>
      <c r="AL177" s="139"/>
      <c r="AM177" s="143" t="s">
        <v>2969</v>
      </c>
      <c r="AN177" s="139" t="s">
        <v>2443</v>
      </c>
      <c r="AO177" s="157" t="s">
        <v>2374</v>
      </c>
      <c r="AP177" s="22"/>
      <c r="AQ177" s="139" t="s">
        <v>2831</v>
      </c>
      <c r="AR177" s="139" t="s">
        <v>2361</v>
      </c>
      <c r="AS177" s="141" t="s">
        <v>2832</v>
      </c>
    </row>
    <row r="178" ht="15.75" customHeight="1">
      <c r="B178" s="147" t="s">
        <v>2808</v>
      </c>
      <c r="C178" s="147" t="s">
        <v>423</v>
      </c>
      <c r="D178" s="36" t="s">
        <v>2970</v>
      </c>
      <c r="E178" s="32" t="str">
        <f>IFERROR(__xludf.DUMMYFUNCTION("IF(ISBLANK(D178), """", GOOGLETRANSLATE(D178, ""es"", ""en""))"),"Is it a national producer?")</f>
        <v>Is it a national producer?</v>
      </c>
      <c r="G178" s="141">
        <v>7.00009699E8</v>
      </c>
      <c r="H178" s="141">
        <v>970.0</v>
      </c>
      <c r="I178" s="141">
        <v>51476.0</v>
      </c>
      <c r="J178" s="139" t="s">
        <v>2971</v>
      </c>
      <c r="K178" s="141">
        <v>2.0096695E8</v>
      </c>
      <c r="L178" s="139" t="s">
        <v>2822</v>
      </c>
      <c r="M178" s="139" t="s">
        <v>2368</v>
      </c>
      <c r="N178" s="139" t="s">
        <v>2356</v>
      </c>
      <c r="O178" s="139" t="s">
        <v>2823</v>
      </c>
      <c r="P178" s="139" t="s">
        <v>2824</v>
      </c>
      <c r="Q178" s="139"/>
      <c r="R178" s="142">
        <v>42250.333333333336</v>
      </c>
      <c r="S178" s="139"/>
      <c r="T178" s="139"/>
      <c r="U178" s="139" t="s">
        <v>423</v>
      </c>
      <c r="V178" s="139"/>
      <c r="W178" s="139"/>
      <c r="X178" s="139" t="s">
        <v>423</v>
      </c>
      <c r="Y178" s="139"/>
      <c r="Z178" s="139" t="s">
        <v>2972</v>
      </c>
      <c r="AA178" s="139" t="s">
        <v>2973</v>
      </c>
      <c r="AB178" s="139"/>
      <c r="AC178" s="139" t="s">
        <v>2974</v>
      </c>
      <c r="AD178" s="157" t="s">
        <v>2974</v>
      </c>
      <c r="AE178" s="22"/>
      <c r="AF178" s="139" t="s">
        <v>2362</v>
      </c>
      <c r="AG178" s="139" t="s">
        <v>920</v>
      </c>
      <c r="AH178" s="139" t="s">
        <v>921</v>
      </c>
      <c r="AI178" s="157" t="s">
        <v>2498</v>
      </c>
      <c r="AJ178" s="22"/>
      <c r="AK178" s="139" t="s">
        <v>2181</v>
      </c>
      <c r="AL178" s="139"/>
      <c r="AM178" s="143" t="s">
        <v>2975</v>
      </c>
      <c r="AN178" s="139" t="s">
        <v>2359</v>
      </c>
      <c r="AO178" s="139" t="s">
        <v>2830</v>
      </c>
      <c r="AP178" s="139"/>
      <c r="AQ178" s="139" t="s">
        <v>2831</v>
      </c>
      <c r="AR178" s="139" t="s">
        <v>2361</v>
      </c>
      <c r="AS178" s="141" t="s">
        <v>2832</v>
      </c>
    </row>
    <row r="179" ht="15.75" customHeight="1">
      <c r="B179" s="147" t="s">
        <v>2809</v>
      </c>
      <c r="C179" s="147"/>
      <c r="D179" s="36" t="s">
        <v>2976</v>
      </c>
      <c r="E179" s="32" t="str">
        <f>IFERROR(__xludf.DUMMYFUNCTION("IF(ISBLANK(D179), """", GOOGLETRANSLATE(D179, ""es"", ""en""))"),"Industrial Registration")</f>
        <v>Industrial Registration</v>
      </c>
      <c r="G179" s="141">
        <v>7.00009715E8</v>
      </c>
      <c r="H179" s="141">
        <v>972.0</v>
      </c>
      <c r="I179" s="141">
        <v>51474.0</v>
      </c>
      <c r="J179" s="139" t="s">
        <v>2977</v>
      </c>
      <c r="K179" s="141">
        <v>1.05510887E8</v>
      </c>
      <c r="L179" s="139" t="s">
        <v>2822</v>
      </c>
      <c r="M179" s="139" t="s">
        <v>2368</v>
      </c>
      <c r="N179" s="139" t="s">
        <v>2356</v>
      </c>
      <c r="O179" s="139" t="s">
        <v>2823</v>
      </c>
      <c r="P179" s="139" t="s">
        <v>2824</v>
      </c>
      <c r="Q179" s="139"/>
      <c r="R179" s="142">
        <v>42250.333333333336</v>
      </c>
      <c r="S179" s="139"/>
      <c r="T179" s="139"/>
      <c r="U179" s="139" t="s">
        <v>423</v>
      </c>
      <c r="V179" s="139"/>
      <c r="W179" s="139"/>
      <c r="X179" s="139" t="s">
        <v>423</v>
      </c>
      <c r="Y179" s="139"/>
      <c r="Z179" s="139" t="s">
        <v>2949</v>
      </c>
      <c r="AA179" s="139" t="s">
        <v>2978</v>
      </c>
      <c r="AB179" s="139"/>
      <c r="AC179" s="139" t="s">
        <v>2979</v>
      </c>
      <c r="AD179" s="157" t="s">
        <v>2979</v>
      </c>
      <c r="AE179" s="22"/>
      <c r="AF179" s="139" t="s">
        <v>2362</v>
      </c>
      <c r="AG179" s="139" t="s">
        <v>920</v>
      </c>
      <c r="AH179" s="139" t="s">
        <v>932</v>
      </c>
      <c r="AI179" s="157" t="s">
        <v>932</v>
      </c>
      <c r="AJ179" s="22"/>
      <c r="AK179" s="139" t="s">
        <v>2945</v>
      </c>
      <c r="AL179" s="139"/>
      <c r="AM179" s="143" t="s">
        <v>2980</v>
      </c>
      <c r="AN179" s="139" t="s">
        <v>2359</v>
      </c>
      <c r="AO179" s="139" t="s">
        <v>2830</v>
      </c>
      <c r="AP179" s="139"/>
      <c r="AQ179" s="139" t="s">
        <v>2831</v>
      </c>
      <c r="AR179" s="139" t="s">
        <v>2361</v>
      </c>
      <c r="AS179" s="141" t="s">
        <v>2832</v>
      </c>
    </row>
    <row r="180" ht="15.75" customHeight="1">
      <c r="B180" s="147" t="s">
        <v>2810</v>
      </c>
      <c r="C180" s="147" t="s">
        <v>2826</v>
      </c>
      <c r="D180" s="36" t="s">
        <v>2981</v>
      </c>
      <c r="E180" s="32" t="str">
        <f>IFERROR(__xludf.DUMMYFUNCTION("IF(ISBLANK(D180), """", GOOGLETRANSLATE(D180, ""es"", ""en""))"),"Provider Occupation Description")</f>
        <v>Provider Occupation Description</v>
      </c>
      <c r="G180" s="141">
        <v>7.0000978E8</v>
      </c>
      <c r="H180" s="141">
        <v>979.0</v>
      </c>
      <c r="I180" s="141">
        <v>51467.0</v>
      </c>
      <c r="J180" s="139" t="s">
        <v>2982</v>
      </c>
      <c r="K180" s="141">
        <v>1.11361416E8</v>
      </c>
      <c r="L180" s="139" t="s">
        <v>2822</v>
      </c>
      <c r="M180" s="139" t="s">
        <v>2368</v>
      </c>
      <c r="N180" s="139" t="s">
        <v>2400</v>
      </c>
      <c r="O180" s="139" t="s">
        <v>2823</v>
      </c>
      <c r="P180" s="139" t="s">
        <v>2824</v>
      </c>
      <c r="Q180" s="139"/>
      <c r="R180" s="142">
        <v>42250.333333333336</v>
      </c>
      <c r="S180" s="139"/>
      <c r="T180" s="139"/>
      <c r="U180" s="139" t="s">
        <v>423</v>
      </c>
      <c r="V180" s="139"/>
      <c r="W180" s="139"/>
      <c r="X180" s="139" t="s">
        <v>423</v>
      </c>
      <c r="Y180" s="139"/>
      <c r="Z180" s="139" t="s">
        <v>2983</v>
      </c>
      <c r="AA180" s="139" t="s">
        <v>2984</v>
      </c>
      <c r="AB180" s="139"/>
      <c r="AC180" s="139" t="s">
        <v>2985</v>
      </c>
      <c r="AD180" s="139" t="s">
        <v>2985</v>
      </c>
      <c r="AE180" s="139" t="s">
        <v>2986</v>
      </c>
      <c r="AF180" s="139" t="s">
        <v>2362</v>
      </c>
      <c r="AG180" s="139" t="s">
        <v>920</v>
      </c>
      <c r="AH180" s="139" t="s">
        <v>921</v>
      </c>
      <c r="AI180" s="157" t="s">
        <v>2408</v>
      </c>
      <c r="AJ180" s="22"/>
      <c r="AK180" s="139" t="s">
        <v>2181</v>
      </c>
      <c r="AL180" s="139"/>
      <c r="AM180" s="143" t="s">
        <v>2987</v>
      </c>
      <c r="AN180" s="139" t="s">
        <v>2359</v>
      </c>
      <c r="AO180" s="139" t="s">
        <v>2830</v>
      </c>
      <c r="AP180" s="139"/>
      <c r="AQ180" s="139" t="s">
        <v>2831</v>
      </c>
      <c r="AR180" s="139" t="s">
        <v>2361</v>
      </c>
      <c r="AS180" s="141" t="s">
        <v>2832</v>
      </c>
    </row>
    <row r="181" ht="15.75" customHeight="1">
      <c r="B181" s="147" t="s">
        <v>2811</v>
      </c>
      <c r="C181" s="147" t="s">
        <v>2827</v>
      </c>
      <c r="D181" s="36" t="s">
        <v>2988</v>
      </c>
      <c r="E181" s="32" t="str">
        <f>IFERROR(__xludf.DUMMYFUNCTION("IF(ISBLANK(D181), """", GOOGLETRANSLATE(D181, ""es"", ""en""))"),"Supplier contact telephone number")</f>
        <v>Supplier contact telephone number</v>
      </c>
    </row>
    <row r="182" ht="15.75" customHeight="1">
      <c r="B182" s="147" t="s">
        <v>2812</v>
      </c>
      <c r="C182" s="147"/>
      <c r="D182" s="36" t="s">
        <v>2989</v>
      </c>
      <c r="E182" s="32" t="str">
        <f>IFERROR(__xludf.DUMMYFUNCTION("IF(ISBLANK(D182), """", GOOGLETRANSLATE(D182, ""es"", ""en""))"),"Business Telephone Number")</f>
        <v>Business Telephone Number</v>
      </c>
    </row>
    <row r="183" ht="15.75" customHeight="1">
      <c r="B183" s="147" t="s">
        <v>2813</v>
      </c>
      <c r="C183" s="147" t="s">
        <v>2828</v>
      </c>
      <c r="D183" s="36" t="s">
        <v>2990</v>
      </c>
      <c r="E183" s="32" t="str">
        <f>IFERROR(__xludf.DUMMYFUNCTION("IF(ISBLANK(D183), """", GOOGLETRANSLATE(D183, ""es"", ""en""))"),"Business Email")</f>
        <v>Business Email</v>
      </c>
    </row>
    <row r="184" ht="15.75" customHeight="1">
      <c r="B184" s="147" t="s">
        <v>2814</v>
      </c>
      <c r="C184" s="147" t="s">
        <v>2828</v>
      </c>
      <c r="D184" s="36" t="s">
        <v>2991</v>
      </c>
      <c r="E184" s="32" t="str">
        <f>IFERROR(__xludf.DUMMYFUNCTION("IF(ISBLANK(D184), """", GOOGLETRANSLATE(D184, ""es"", ""en""))"),"Email for notifications")</f>
        <v>Email for notifications</v>
      </c>
    </row>
    <row r="185" ht="15.75" customHeight="1">
      <c r="B185" s="147" t="s">
        <v>2815</v>
      </c>
      <c r="C185" s="36"/>
      <c r="D185" s="36" t="s">
        <v>2992</v>
      </c>
      <c r="E185" s="32" t="str">
        <f>IFERROR(__xludf.DUMMYFUNCTION("IF(ISBLANK(D185), """", GOOGLETRANSLATE(D185, ""es"", ""en""))"),"Supplier address")</f>
        <v>Supplier address</v>
      </c>
    </row>
    <row r="186" ht="15.75" customHeight="1">
      <c r="B186" s="147" t="s">
        <v>2331</v>
      </c>
      <c r="C186" s="147" t="s">
        <v>2362</v>
      </c>
      <c r="D186" s="36" t="s">
        <v>2993</v>
      </c>
      <c r="E186" s="32" t="str">
        <f>IFERROR(__xludf.DUMMYFUNCTION("IF(ISBLANK(D186), """", GOOGLETRANSLATE(D186, ""es"", ""en""))"),"Name of the country of origin of the supplier")</f>
        <v>Name of the country of origin of the supplier</v>
      </c>
    </row>
    <row r="187" ht="15.75" customHeight="1">
      <c r="B187" s="147" t="s">
        <v>2329</v>
      </c>
      <c r="C187" s="147" t="s">
        <v>920</v>
      </c>
      <c r="D187" s="36" t="s">
        <v>2636</v>
      </c>
      <c r="E187" s="32" t="str">
        <f>IFERROR(__xludf.DUMMYFUNCTION("IF(ISBLANK(D187), """", GOOGLETRANSLATE(D187, ""es"", ""en""))"),"Region name")</f>
        <v>Region name</v>
      </c>
    </row>
    <row r="188" ht="15.75" customHeight="1">
      <c r="B188" s="147" t="s">
        <v>2328</v>
      </c>
      <c r="C188" s="147" t="s">
        <v>921</v>
      </c>
      <c r="D188" s="36" t="s">
        <v>2635</v>
      </c>
      <c r="E188" s="32" t="str">
        <f>IFERROR(__xludf.DUMMYFUNCTION("IF(ISBLANK(D188), """", GOOGLETRANSLATE(D188, ""es"", ""en""))"),"Province name")</f>
        <v>Province name</v>
      </c>
    </row>
    <row r="189" ht="15.75" customHeight="1">
      <c r="B189" s="147" t="s">
        <v>2327</v>
      </c>
      <c r="C189" s="147" t="s">
        <v>2498</v>
      </c>
      <c r="D189" s="36" t="s">
        <v>2634</v>
      </c>
      <c r="E189" s="32" t="str">
        <f>IFERROR(__xludf.DUMMYFUNCTION("IF(ISBLANK(D189), """", GOOGLETRANSLATE(D189, ""es"", ""en""))"),"Municipality name")</f>
        <v>Municipality name</v>
      </c>
    </row>
    <row r="190" ht="15.75" customHeight="1">
      <c r="B190" s="147" t="s">
        <v>2816</v>
      </c>
      <c r="C190" s="36"/>
      <c r="D190" s="36" t="s">
        <v>2994</v>
      </c>
      <c r="E190" s="32" t="str">
        <f>IFERROR(__xludf.DUMMYFUNCTION("IF(ISBLANK(D190), """", GOOGLETRANSLATE(D190, ""es"", ""en""))"),"Municipal District")</f>
        <v>Municipal District</v>
      </c>
    </row>
    <row r="191" ht="15.75" customHeight="1">
      <c r="B191" s="147" t="s">
        <v>2817</v>
      </c>
      <c r="C191" s="147" t="s">
        <v>2181</v>
      </c>
      <c r="D191" s="36" t="s">
        <v>2995</v>
      </c>
      <c r="E191" s="32" t="str">
        <f>IFERROR(__xludf.DUMMYFUNCTION("IF(ISBLANK(D191), """", GOOGLETRANSLATE(D191, ""es"", ""en""))"),"Product or service provider?")</f>
        <v>Product or service provider?</v>
      </c>
    </row>
    <row r="192" ht="15.75" customHeight="1">
      <c r="B192" s="147" t="s">
        <v>2818</v>
      </c>
      <c r="C192" s="147"/>
      <c r="D192" s="36" t="s">
        <v>2996</v>
      </c>
      <c r="E192" s="32" t="str">
        <f>IFERROR(__xludf.DUMMYFUNCTION("IF(ISBLANK(D192), """", GOOGLETRANSLATE(D192, ""es"", ""en""))"),"Contact Telephone Number")</f>
        <v>Contact Telephone Number</v>
      </c>
    </row>
    <row r="193" ht="15.75" customHeight="1">
      <c r="B193" s="147" t="s">
        <v>2819</v>
      </c>
      <c r="C193" s="161" t="s">
        <v>2829</v>
      </c>
      <c r="D193" s="36"/>
      <c r="E193" s="32" t="str">
        <f>IFERROR(__xludf.DUMMYFUNCTION("IF(ISBLANK(D193), """", GOOGLETRANSLATE(D193, ""es"", ""en""))"),"")</f>
        <v/>
      </c>
    </row>
    <row r="194" ht="15.75" customHeight="1">
      <c r="B194" s="147" t="s">
        <v>2325</v>
      </c>
      <c r="C194" s="147" t="s">
        <v>2359</v>
      </c>
      <c r="D194" s="36" t="s">
        <v>2632</v>
      </c>
      <c r="E194" s="32" t="str">
        <f>IFERROR(__xludf.DUMMYFUNCTION("IF(ISBLANK(D194), """", GOOGLETRANSLATE(D194, ""es"", ""en""))"),"Level 1 Business Classification")</f>
        <v>Level 1 Business Classification</v>
      </c>
    </row>
    <row r="195" ht="15.75" customHeight="1">
      <c r="B195" s="147" t="s">
        <v>2326</v>
      </c>
      <c r="C195" s="147" t="s">
        <v>2830</v>
      </c>
      <c r="D195" s="36" t="s">
        <v>2633</v>
      </c>
      <c r="E195" s="32" t="str">
        <f>IFERROR(__xludf.DUMMYFUNCTION("IF(ISBLANK(D195), """", GOOGLETRANSLATE(D195, ""es"", ""en""))"),"Level 2 Business Classification")</f>
        <v>Level 2 Business Classification</v>
      </c>
    </row>
    <row r="196" ht="15.75" customHeight="1">
      <c r="B196" s="147" t="s">
        <v>2820</v>
      </c>
      <c r="C196" s="147"/>
      <c r="D196" s="36"/>
      <c r="E196" s="32" t="str">
        <f>IFERROR(__xludf.DUMMYFUNCTION("IF(ISBLANK(D196), """", GOOGLETRANSLATE(D196, ""es"", ""en""))"),"")</f>
        <v/>
      </c>
    </row>
    <row r="197" ht="15.75" customHeight="1">
      <c r="B197" s="147" t="s">
        <v>1998</v>
      </c>
      <c r="C197" s="147" t="s">
        <v>2831</v>
      </c>
      <c r="D197" s="36" t="s">
        <v>2997</v>
      </c>
      <c r="E197" s="32" t="str">
        <f>IFERROR(__xludf.DUMMYFUNCTION("IF(ISBLANK(D197), """", GOOGLETRANSLATE(D197, ""es"", ""en""))"),"Last modified date")</f>
        <v>Last modified date</v>
      </c>
    </row>
    <row r="198" ht="15.75" customHeight="1">
      <c r="B198" s="147" t="s">
        <v>2330</v>
      </c>
      <c r="C198" s="147" t="s">
        <v>2361</v>
      </c>
      <c r="D198" s="36" t="s">
        <v>2637</v>
      </c>
      <c r="E198" s="32" t="str">
        <f>IFERROR(__xludf.DUMMYFUNCTION("IF(ISBLANK(D198), """", GOOGLETRANSLATE(D198, ""es"", ""en""))"),"Name of the Macroregion")</f>
        <v>Name of the Macroregion</v>
      </c>
    </row>
    <row r="199" ht="15.75" customHeight="1">
      <c r="B199" s="147" t="s">
        <v>2002</v>
      </c>
      <c r="C199" s="147" t="s">
        <v>2832</v>
      </c>
      <c r="D199" s="36" t="s">
        <v>2293</v>
      </c>
      <c r="E199" s="32" t="str">
        <f>IFERROR(__xludf.DUMMYFUNCTION("IF(ISBLANK(D199), """", GOOGLETRANSLATE(D199, ""es"", ""en""))"),"Update date")</f>
        <v>Update date</v>
      </c>
    </row>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1">
    <mergeCell ref="B6:C6"/>
    <mergeCell ref="D6:E6"/>
    <mergeCell ref="B50:C50"/>
    <mergeCell ref="D50:E50"/>
    <mergeCell ref="B107:C107"/>
    <mergeCell ref="D107:E107"/>
    <mergeCell ref="AI161:AJ161"/>
    <mergeCell ref="AD161:AE161"/>
    <mergeCell ref="AI162:AJ162"/>
    <mergeCell ref="AO162:AP162"/>
    <mergeCell ref="AI163:AJ163"/>
    <mergeCell ref="AO163:AP163"/>
    <mergeCell ref="AI164:AJ164"/>
    <mergeCell ref="AO164:AP164"/>
    <mergeCell ref="AO167:AP167"/>
    <mergeCell ref="AO168:AP168"/>
    <mergeCell ref="AO171:AP171"/>
    <mergeCell ref="AO172:AP172"/>
    <mergeCell ref="AO173:AP173"/>
    <mergeCell ref="AO174:AP174"/>
    <mergeCell ref="AO177:AP177"/>
    <mergeCell ref="AI165:AJ165"/>
    <mergeCell ref="AK165:AL165"/>
    <mergeCell ref="AI166:AJ166"/>
    <mergeCell ref="AK166:AL166"/>
    <mergeCell ref="AO166:AP166"/>
    <mergeCell ref="AI167:AJ167"/>
    <mergeCell ref="AI168:AJ168"/>
    <mergeCell ref="AD175:AE175"/>
    <mergeCell ref="AD176:AE176"/>
    <mergeCell ref="AD178:AE178"/>
    <mergeCell ref="AD179:AE179"/>
    <mergeCell ref="AD162:AE162"/>
    <mergeCell ref="AD165:AE165"/>
    <mergeCell ref="AD167:AE167"/>
    <mergeCell ref="AD168:AE168"/>
    <mergeCell ref="AD172:AE172"/>
    <mergeCell ref="AD173:AE173"/>
    <mergeCell ref="AD174:AF174"/>
    <mergeCell ref="AI176:AJ176"/>
    <mergeCell ref="AI177:AJ177"/>
    <mergeCell ref="AI178:AJ178"/>
    <mergeCell ref="AI179:AJ179"/>
    <mergeCell ref="AI180:AJ180"/>
    <mergeCell ref="AI169:AJ169"/>
    <mergeCell ref="AO169:AP169"/>
    <mergeCell ref="AI170:AJ170"/>
    <mergeCell ref="AO170:AP170"/>
    <mergeCell ref="AI175:AJ175"/>
    <mergeCell ref="AO175:AP175"/>
    <mergeCell ref="AO176:AP176"/>
  </mergeCells>
  <hyperlinks>
    <hyperlink r:id="rId1" ref="B2"/>
    <hyperlink r:id="rId2" ref="B5"/>
    <hyperlink r:id="rId3" ref="AN8"/>
    <hyperlink r:id="rId4" ref="AN9"/>
    <hyperlink r:id="rId5" ref="AN10"/>
    <hyperlink r:id="rId6" ref="AN11"/>
    <hyperlink r:id="rId7" ref="AN12"/>
    <hyperlink r:id="rId8" ref="AN13"/>
    <hyperlink r:id="rId9" ref="AN14"/>
    <hyperlink r:id="rId10" ref="AN15"/>
    <hyperlink r:id="rId11" ref="AN16"/>
    <hyperlink r:id="rId12" ref="AN17"/>
    <hyperlink r:id="rId13" ref="AN18"/>
    <hyperlink r:id="rId14" ref="AN19"/>
    <hyperlink r:id="rId15" ref="AN20"/>
    <hyperlink r:id="rId16" ref="AN21"/>
    <hyperlink r:id="rId17" ref="AN22"/>
    <hyperlink r:id="rId18" ref="AN23"/>
    <hyperlink r:id="rId19" ref="AN24"/>
    <hyperlink r:id="rId20" ref="AN25"/>
    <hyperlink r:id="rId21" ref="AN26"/>
    <hyperlink r:id="rId22" ref="AN27"/>
    <hyperlink r:id="rId23" ref="AN28"/>
    <hyperlink r:id="rId24" ref="AN29"/>
    <hyperlink r:id="rId25" ref="AN30"/>
    <hyperlink r:id="rId26" ref="AN31"/>
    <hyperlink r:id="rId27" ref="AN32"/>
    <hyperlink r:id="rId28" ref="C41"/>
    <hyperlink r:id="rId29" ref="B49"/>
    <hyperlink r:id="rId30" ref="AH52"/>
    <hyperlink r:id="rId31" ref="AM52"/>
    <hyperlink r:id="rId32" ref="AH53"/>
    <hyperlink r:id="rId33" ref="AM53"/>
    <hyperlink r:id="rId34" ref="AH54"/>
    <hyperlink r:id="rId35" ref="AM54"/>
    <hyperlink r:id="rId36" ref="AH55"/>
    <hyperlink r:id="rId37" ref="AM55"/>
    <hyperlink r:id="rId38" ref="AH56"/>
    <hyperlink r:id="rId39" ref="AM56"/>
    <hyperlink r:id="rId40" ref="AH57"/>
    <hyperlink r:id="rId41" ref="AM57"/>
    <hyperlink r:id="rId42" ref="AH58"/>
    <hyperlink r:id="rId43" ref="AM58"/>
    <hyperlink r:id="rId44" ref="AH59"/>
    <hyperlink r:id="rId45" ref="AM59"/>
    <hyperlink r:id="rId46" ref="AH60"/>
    <hyperlink r:id="rId47" ref="AM60"/>
    <hyperlink r:id="rId48" ref="AH61"/>
    <hyperlink r:id="rId49" ref="AM61"/>
    <hyperlink r:id="rId50" ref="AH62"/>
    <hyperlink r:id="rId51" ref="AM62"/>
    <hyperlink r:id="rId52" ref="AH63"/>
    <hyperlink r:id="rId53" ref="AM63"/>
    <hyperlink r:id="rId54" ref="AH64"/>
    <hyperlink r:id="rId55" ref="AM64"/>
    <hyperlink r:id="rId56" ref="AH65"/>
    <hyperlink r:id="rId57" ref="AM65"/>
    <hyperlink r:id="rId58" ref="AH66"/>
    <hyperlink r:id="rId59" ref="AM66"/>
    <hyperlink r:id="rId60" ref="AH67"/>
    <hyperlink r:id="rId61" ref="AM67"/>
    <hyperlink r:id="rId62" ref="AH68"/>
    <hyperlink r:id="rId63" ref="AM68"/>
    <hyperlink r:id="rId64" ref="AH69"/>
    <hyperlink r:id="rId65" ref="AM69"/>
    <hyperlink r:id="rId66" ref="AH70"/>
    <hyperlink r:id="rId67" ref="AM70"/>
    <hyperlink r:id="rId68" ref="AH71"/>
    <hyperlink r:id="rId69" ref="AM71"/>
    <hyperlink r:id="rId70" ref="AH72"/>
    <hyperlink r:id="rId71" ref="AM72"/>
    <hyperlink r:id="rId72" ref="AH73"/>
    <hyperlink r:id="rId73" ref="AM73"/>
    <hyperlink r:id="rId74" ref="AH74"/>
    <hyperlink r:id="rId75" ref="AM74"/>
    <hyperlink r:id="rId76" ref="AH75"/>
    <hyperlink r:id="rId77" ref="AM75"/>
    <hyperlink r:id="rId78" ref="AH76"/>
    <hyperlink r:id="rId79" ref="AM76"/>
    <hyperlink r:id="rId80" ref="C79"/>
    <hyperlink r:id="rId81" ref="C84"/>
    <hyperlink r:id="rId82" ref="B106"/>
    <hyperlink r:id="rId83" ref="B125"/>
    <hyperlink r:id="rId84" ref="B158"/>
    <hyperlink r:id="rId85" ref="AM161"/>
    <hyperlink r:id="rId86" ref="AM162"/>
    <hyperlink r:id="rId87" ref="AM163"/>
    <hyperlink r:id="rId88" ref="AM164"/>
    <hyperlink r:id="rId89" ref="AM165"/>
    <hyperlink r:id="rId90" ref="AM166"/>
    <hyperlink r:id="rId91" ref="AM167"/>
    <hyperlink r:id="rId92" ref="AM168"/>
    <hyperlink r:id="rId93" ref="AM169"/>
    <hyperlink r:id="rId94" ref="AM170"/>
    <hyperlink r:id="rId95" ref="AM171"/>
    <hyperlink r:id="rId96" ref="AM172"/>
    <hyperlink r:id="rId97" ref="AM173"/>
    <hyperlink r:id="rId98" ref="AM174"/>
    <hyperlink r:id="rId99" ref="AM175"/>
    <hyperlink r:id="rId100" ref="AM176"/>
    <hyperlink r:id="rId101" ref="AM177"/>
    <hyperlink r:id="rId102" ref="AM178"/>
    <hyperlink r:id="rId103" ref="AM179"/>
    <hyperlink r:id="rId104" ref="AM180"/>
    <hyperlink r:id="rId105" ref="C193"/>
  </hyperlinks>
  <drawing r:id="rId106"/>
</worksheet>
</file>