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dbg.sharepoint.com/teams/ez-VPS/WSA/Office Administration/Publicaciones WSA/Publicaciones WSA 2023/RG-T3524 Estrategia de sostenibilidad financiera/"/>
    </mc:Choice>
  </mc:AlternateContent>
  <xr:revisionPtr revIDLastSave="550" documentId="13_ncr:1_{47D2471B-DBF3-4613-A3B5-2896248E5500}" xr6:coauthVersionLast="47" xr6:coauthVersionMax="47" xr10:uidLastSave="{9A643AD7-FDB4-4533-BE97-127D3944FBBB}"/>
  <bookViews>
    <workbookView xWindow="-110" yWindow="-110" windowWidth="19420" windowHeight="10420" xr2:uid="{3ACAFB1C-7226-4888-8167-3A82597C7409}"/>
  </bookViews>
  <sheets>
    <sheet name="Indice" sheetId="22" r:id="rId1"/>
    <sheet name="Fase preliminar" sheetId="2" r:id="rId2"/>
    <sheet name="Proyección de Costos" sheetId="1" r:id="rId3"/>
    <sheet name="Proyeccion de fuentes de fondeo" sheetId="3" r:id="rId4"/>
    <sheet name="Fuentes de financiamiento" sheetId="6" r:id="rId5"/>
    <sheet name="Esquemas de ejecución" sheetId="5" r:id="rId6"/>
    <sheet name="Construcción Modelo financiero" sheetId="7" r:id="rId7"/>
    <sheet name="Estado de Resultados" sheetId="8" r:id="rId8"/>
    <sheet name="Flujo de Caja" sheetId="9" r:id="rId9"/>
    <sheet name="Flujo de Caja Financiado" sheetId="17" r:id="rId10"/>
    <sheet name="Indexación" sheetId="16" r:id="rId11"/>
    <sheet name="Costos PTAR" sheetId="11" r:id="rId12"/>
    <sheet name="EEFF" sheetId="15" r:id="rId13"/>
  </sheets>
  <externalReferences>
    <externalReference r:id="rId14"/>
  </externalReferences>
  <definedNames>
    <definedName name="_Hlk117011667" localSheetId="0">Indice!$A$9</definedName>
    <definedName name="año_DCAL">[1]PROY_SUSC!$M$20</definedName>
    <definedName name="AÑOBASE287">'[1]VPIRER-287'!$A$2</definedName>
    <definedName name="AP">[1]AP!$M$16</definedName>
    <definedName name="BCR0ac">[1]BCR0!$I$68</definedName>
    <definedName name="BCR0al">[1]BCR0!$I$69</definedName>
    <definedName name="BDICAP">#REF!</definedName>
    <definedName name="BDICON">#REF!</definedName>
    <definedName name="BDICONl_afec">#REF!</definedName>
    <definedName name="BDIQRac">#REF!</definedName>
    <definedName name="BDIQRal">#REF!</definedName>
    <definedName name="CA0ac">[1]CA!$U$38</definedName>
    <definedName name="CA0al">[1]CA!$V$38</definedName>
    <definedName name="CAb_ac">[1]CA!$W$38</definedName>
    <definedName name="CAb_al">[1]CA!$X$38</definedName>
    <definedName name="CAredu_ac">[1]TARIFAS287!$B$5</definedName>
    <definedName name="CAredu_al">[1]TARIFAS287!$B$20</definedName>
    <definedName name="CAU0ac">[1]CMA!$G$5</definedName>
    <definedName name="CAU0al">[1]CMA!$G$16</definedName>
    <definedName name="CAUb_ac">[1]CMA!$K$5</definedName>
    <definedName name="CAUb_al">[1]CMA!$K$16</definedName>
    <definedName name="CAUxac">[1]CMA!$J$5</definedName>
    <definedName name="CAUxal">[1]CMA!$J$16</definedName>
    <definedName name="CED0ac">[1]CE0!$J$17</definedName>
    <definedName name="CEP0ac">[1]CE0!$J$16</definedName>
    <definedName name="CICON">#REF!</definedName>
    <definedName name="CIQR">#REF!</definedName>
    <definedName name="CMAac">[1]CMA!$B$11</definedName>
    <definedName name="CMAal">[1]CMA!$B$22</definedName>
    <definedName name="CMAca_ac">[1]CMA!$T$13</definedName>
    <definedName name="CMAca_al">[1]CMA!$T$24</definedName>
    <definedName name="CMAicta_ac">[1]CMA!$U$13</definedName>
    <definedName name="CMAicta_al">[1]CMA!$U$24</definedName>
    <definedName name="CMIac">[1]CMI!$B$16</definedName>
    <definedName name="CMIac287VPIRER">'[1]CMI-287'!$E$3</definedName>
    <definedName name="CMIal">[1]CMI!$L$16</definedName>
    <definedName name="CMIal287VPIRER">'[1]CMI-287'!$E$5</definedName>
    <definedName name="CMOac">[1]CMO!$B$11</definedName>
    <definedName name="CMOal">[1]CMO!$B$22</definedName>
    <definedName name="CMOcac">[1]CMO!$X$13</definedName>
    <definedName name="CMOcal">[1]CMO!$X$24</definedName>
    <definedName name="CMOcRedu_ac">[1]TARIFAS287!$B$8</definedName>
    <definedName name="CMOcRedu_al">[1]TARIFAS287!$B$23</definedName>
    <definedName name="CMOitoac">[1]CMO!$Z$13</definedName>
    <definedName name="CMOitoal">[1]CMO!$Z$24</definedName>
    <definedName name="CMOpac">[1]CMO!$Y$13</definedName>
    <definedName name="CMOpal">[1]CMO!$Y$24</definedName>
    <definedName name="CMTac">[1]CMT!$D$18</definedName>
    <definedName name="CMTalsc">[1]CMT!$M$12</definedName>
    <definedName name="CO0ac">[1]CO!$U$35</definedName>
    <definedName name="CO0al">[1]CO!$V$35</definedName>
    <definedName name="COb_ac">[1]CO!$W$35</definedName>
    <definedName name="COb_al">[1]CO!$X$35</definedName>
    <definedName name="Costos_de_Operación_y_Mantenimiento">'Proyección de Costos'!$C$5:$I$20</definedName>
    <definedName name="Costos_PTAR">'Costos PTAR'!$C$5:$E$13</definedName>
    <definedName name="COUb_ac">[1]CMO!$O$5</definedName>
    <definedName name="COUb_al">[1]CMO!$O$16</definedName>
    <definedName name="criterios_deuda">'Fuentes de financiamiento'!$D$6:$G$14</definedName>
    <definedName name="CUP_IQi">[1]IQ!$C$3</definedName>
    <definedName name="DACALNR0">[1]PROY_SUSC!$Q$3</definedName>
    <definedName name="DACALR0">[1]PROY_SUSC!$P$3</definedName>
    <definedName name="Deuda_fuente_A">'Fuentes de financiamiento'!$J$8:$N$130</definedName>
    <definedName name="Deuda_fuente_B">'Fuentes de financiamiento'!$P$8:$T$154</definedName>
    <definedName name="DICAPs">#REF!</definedName>
    <definedName name="DIQRS_ac">#REF!</definedName>
    <definedName name="DIQRS_al">#REF!</definedName>
    <definedName name="DmaxICAP">#REF!</definedName>
    <definedName name="DmaxICON">#REF!</definedName>
    <definedName name="DmaxIQRac">#REF!</definedName>
    <definedName name="DmaxIQRal">#REF!</definedName>
    <definedName name="EEFF">EEFF!$C$4:$E$24</definedName>
    <definedName name="Esquemas_ejecución">'Esquemas de ejecución'!$D$4:$G$14</definedName>
    <definedName name="Estado_de_resultados">'Estado de Resultados'!$C$5:$W$33</definedName>
    <definedName name="FdCMA">#REF!</definedName>
    <definedName name="FdCMI">#REF!</definedName>
    <definedName name="FdCMO">#REF!</definedName>
    <definedName name="Flujo_de_caja">'Flujo de Caja'!$C$4:$X$24</definedName>
    <definedName name="Flujo_de_caja_financiado">'Flujo de Caja Financiado'!$C$5:$X$30</definedName>
    <definedName name="FPICAP">#REF!</definedName>
    <definedName name="FPICON">#REF!</definedName>
    <definedName name="FR_ICAP">#REF!</definedName>
    <definedName name="FR_ICON">#REF!</definedName>
    <definedName name="FR_IQR">#REF!</definedName>
    <definedName name="FRC">[1]REMUN_ACTIVOS!$B$2</definedName>
    <definedName name="fVR">[1]PROY_SUSC!$B$19</definedName>
    <definedName name="gi">[1]CE0!$C$15</definedName>
    <definedName name="h">[1]CE0!$E$15</definedName>
    <definedName name="ICAP">#REF!</definedName>
    <definedName name="ICIac">[1]VI287!$E$38</definedName>
    <definedName name="ICIal">[1]VI287!$E$39</definedName>
    <definedName name="ICON_dcp">#REF!</definedName>
    <definedName name="ICON_dfm">#REF!</definedName>
    <definedName name="ICON_m">#REF!</definedName>
    <definedName name="ICON_MICON">#REF!</definedName>
    <definedName name="ICON_NTUTOTAL">#REF!</definedName>
    <definedName name="ICONm_TOTAL">#REF!</definedName>
    <definedName name="ICTAac">[1]ICTA!$L$19</definedName>
    <definedName name="ICTAal">[1]ICTA!$M$19</definedName>
    <definedName name="ICUF0ac">[1]PROY_CONS!$J$3</definedName>
    <definedName name="ICUF0al">[1]PROY_CONS!$J$20</definedName>
    <definedName name="Index_2003_12a2014_12">[1]IPC!$D$14</definedName>
    <definedName name="Index_2014_12a2015_08">[1]TARIFAS688!$C$23</definedName>
    <definedName name="Index_2015_08a2016_01">[1]TARIFAS688!$C$24</definedName>
    <definedName name="Index_2015_12a2014_12">1+[1]IPC!$B$15</definedName>
    <definedName name="Index_2016_01a2016_05">[1]TARIFAS688!$C$25</definedName>
    <definedName name="index13">[1]IPC!$D$19</definedName>
    <definedName name="index14">[1]IPC!$D$20</definedName>
    <definedName name="indexación">Indexación!$C$9:$E$15</definedName>
    <definedName name="Indicadores_financieros">'Flujo de Caja'!$C$28:$D$31</definedName>
    <definedName name="Ingresos">'Proyeccion de fuentes de fondeo'!$C$5:$H$8</definedName>
    <definedName name="INICac">[1]VI287!$G$38</definedName>
    <definedName name="INICal">[1]VI287!$G$39</definedName>
    <definedName name="IPIac">[1]VI287!$C$38</definedName>
    <definedName name="IPIal">[1]VI287!$C$39</definedName>
    <definedName name="IPUFx">[1]PROY_CONS!$Q$15</definedName>
    <definedName name="IQR_m">#REF!</definedName>
    <definedName name="IQRm">#REF!</definedName>
    <definedName name="ITOac">[1]ITO!$L$9</definedName>
    <definedName name="ITOal">[1]ITO!$M$9</definedName>
    <definedName name="mc">[1]PROY_SUSC!$B$16</definedName>
    <definedName name="mf">#REF!</definedName>
    <definedName name="MIQRi">#REF!</definedName>
    <definedName name="MIQRm">#REF!</definedName>
    <definedName name="Modelo_financiero">'Construcción Modelo financiero'!$D$5:$Z$38</definedName>
    <definedName name="N0ac">[1]Nb!$C$17</definedName>
    <definedName name="N0al">[1]Nb!$F$17</definedName>
    <definedName name="Nbac">[1]Nb!$D$17</definedName>
    <definedName name="Nbal">[1]Nb!$G$17</definedName>
    <definedName name="NC0R_ac">[1]PROY_SUSC!$E$3</definedName>
    <definedName name="NC0R_al">[1]PROY_SUSC!$L$3</definedName>
    <definedName name="NCmcR_ac">[1]PROY_SUSC!$B$20</definedName>
    <definedName name="NCmcR_al">[1]PROY_SUSC!$M$18</definedName>
    <definedName name="NCNR0ac">[1]HIST_SUSC!$L$13</definedName>
    <definedName name="NCNR0al">[1]HIST_SUSC!$O$13</definedName>
    <definedName name="NCR0ac">[1]HIST_SUSC!$K$13</definedName>
    <definedName name="NCR0al">[1]HIST_SUSC!$N$13</definedName>
    <definedName name="NTU">#REF!</definedName>
    <definedName name="NTUafec_ac">#REF!</definedName>
    <definedName name="NTUafec_al">#REF!</definedName>
    <definedName name="Parametros_generales">#REF!</definedName>
    <definedName name="PDEACMA">[1]CMA!$N$5</definedName>
    <definedName name="PDEACMO">[1]CMO!$R$5</definedName>
    <definedName name="PNCDEACMA">[1]CMA!$O$5</definedName>
    <definedName name="PNCDEACMO">[1]CMO!$S$5</definedName>
    <definedName name="r_287">'[1]VPIRER-287'!$A$3</definedName>
    <definedName name="r_688">[1]CMI!$I$2</definedName>
    <definedName name="rct">[1]CMA!$J$2</definedName>
    <definedName name="spvR">[1]VSS!$D$8</definedName>
    <definedName name="TIENE_DEA">[1]TARIFAS688!$K$2</definedName>
    <definedName name="TIMICON">#REF!</definedName>
    <definedName name="VAac287">'[1]CMI-287'!$C$3</definedName>
    <definedName name="VAal287">'[1]CMI-287'!$C$5</definedName>
    <definedName name="VCI_TL">#REF!</definedName>
    <definedName name="VCls">#REF!</definedName>
    <definedName name="VCs">#REF!</definedName>
    <definedName name="VI287ac">[1]VI287!$J$38</definedName>
    <definedName name="VI287al">[1]VI287!$J$39</definedName>
    <definedName name="VICAP">#REF!</definedName>
    <definedName name="VICON">#REF!</definedName>
    <definedName name="VIQRac">#REF!</definedName>
    <definedName name="VIQRal">#REF!</definedName>
    <definedName name="VNF">[1]PROY_SUSC!$B$18</definedName>
    <definedName name="VPDac_287">'[1]VPD-287'!$B$8</definedName>
    <definedName name="VPDal_287">'[1]VPD-287'!$B$29</definedName>
    <definedName name="VPIRERac287">'[1]VPIRER-287'!$B$13</definedName>
    <definedName name="VPIRERal287">'[1]VPIRER-287'!$B$18</definedName>
    <definedName name="VPQac">'[1]VPD-287'!$B$13</definedName>
    <definedName name="VPQal">'[1]VPD-287'!$B$34</definedName>
    <definedName name="VSSac">[1]VSS!$G$4</definedName>
    <definedName name="VSSal">[1]VSS!$D$9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17" l="1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E30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E29" i="17"/>
  <c r="G13" i="1"/>
  <c r="I13" i="2"/>
  <c r="G17" i="1" l="1"/>
  <c r="G14" i="5"/>
  <c r="D22" i="17"/>
  <c r="C22" i="17"/>
  <c r="J21" i="17"/>
  <c r="D21" i="17"/>
  <c r="C21" i="17"/>
  <c r="D20" i="17"/>
  <c r="C20" i="17"/>
  <c r="D19" i="17"/>
  <c r="C19" i="17"/>
  <c r="E12" i="17"/>
  <c r="E11" i="17" s="1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E8" i="8"/>
  <c r="F8" i="8"/>
  <c r="G8" i="8"/>
  <c r="H8" i="8"/>
  <c r="E15" i="16"/>
  <c r="E11" i="16"/>
  <c r="D18" i="17" l="1"/>
  <c r="D24" i="17" s="1"/>
  <c r="D27" i="17" l="1"/>
  <c r="D34" i="17" l="1"/>
  <c r="E35" i="17" s="1"/>
  <c r="D27" i="8" s="1"/>
  <c r="E28" i="17"/>
  <c r="E36" i="17" s="1"/>
  <c r="E34" i="17" s="1"/>
  <c r="F35" i="17" s="1"/>
  <c r="E47" i="17"/>
  <c r="D30" i="17"/>
  <c r="E27" i="8" l="1"/>
  <c r="D29" i="8"/>
  <c r="F28" i="17"/>
  <c r="G28" i="17" s="1"/>
  <c r="H28" i="17" s="1"/>
  <c r="I28" i="17" s="1"/>
  <c r="J28" i="17" s="1"/>
  <c r="K28" i="17" s="1"/>
  <c r="L28" i="17" s="1"/>
  <c r="M28" i="17" s="1"/>
  <c r="N28" i="17" s="1"/>
  <c r="O28" i="17" s="1"/>
  <c r="P28" i="17" s="1"/>
  <c r="Q28" i="17" s="1"/>
  <c r="R28" i="17" s="1"/>
  <c r="S28" i="17" s="1"/>
  <c r="T28" i="17" s="1"/>
  <c r="E48" i="17"/>
  <c r="D10" i="11"/>
  <c r="D12" i="11" s="1"/>
  <c r="E10" i="11"/>
  <c r="E12" i="11" s="1"/>
  <c r="F36" i="17" l="1"/>
  <c r="F34" i="17" s="1"/>
  <c r="G35" i="17" s="1"/>
  <c r="E29" i="8"/>
  <c r="E13" i="11"/>
  <c r="G36" i="17" l="1"/>
  <c r="G34" i="17" s="1"/>
  <c r="F27" i="8"/>
  <c r="F29" i="8" s="1"/>
  <c r="J20" i="9"/>
  <c r="H35" i="17" l="1"/>
  <c r="D19" i="9"/>
  <c r="D20" i="9"/>
  <c r="D21" i="9"/>
  <c r="D18" i="9"/>
  <c r="C19" i="9"/>
  <c r="C20" i="9"/>
  <c r="C21" i="9"/>
  <c r="C18" i="9"/>
  <c r="E11" i="9"/>
  <c r="E10" i="9" s="1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12" i="8"/>
  <c r="D11" i="8" s="1"/>
  <c r="D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H36" i="17" l="1"/>
  <c r="H34" i="17" s="1"/>
  <c r="G27" i="8"/>
  <c r="G29" i="8" s="1"/>
  <c r="D17" i="9"/>
  <c r="D23" i="9" s="1"/>
  <c r="D24" i="9" s="1"/>
  <c r="H13" i="7"/>
  <c r="I13" i="7" s="1"/>
  <c r="J13" i="7" s="1"/>
  <c r="K13" i="7" s="1"/>
  <c r="L13" i="7" s="1"/>
  <c r="M13" i="7" s="1"/>
  <c r="N13" i="7" s="1"/>
  <c r="O13" i="7" s="1"/>
  <c r="H12" i="7"/>
  <c r="I12" i="7" s="1"/>
  <c r="J12" i="7" s="1"/>
  <c r="K12" i="7" s="1"/>
  <c r="L12" i="7" s="1"/>
  <c r="M12" i="7" s="1"/>
  <c r="N12" i="7" s="1"/>
  <c r="O12" i="7" s="1"/>
  <c r="H11" i="7"/>
  <c r="I11" i="7" s="1"/>
  <c r="J11" i="7" s="1"/>
  <c r="K11" i="7" s="1"/>
  <c r="L11" i="7" s="1"/>
  <c r="M11" i="7" s="1"/>
  <c r="N11" i="7" s="1"/>
  <c r="O11" i="7" s="1"/>
  <c r="H10" i="7"/>
  <c r="I10" i="7" s="1"/>
  <c r="J10" i="7" s="1"/>
  <c r="K10" i="7" s="1"/>
  <c r="L10" i="7" s="1"/>
  <c r="M10" i="7" s="1"/>
  <c r="N10" i="7" s="1"/>
  <c r="O10" i="7" s="1"/>
  <c r="H19" i="7"/>
  <c r="I19" i="7" s="1"/>
  <c r="J19" i="7" s="1"/>
  <c r="K19" i="7" s="1"/>
  <c r="L19" i="7" s="1"/>
  <c r="M19" i="7" s="1"/>
  <c r="N19" i="7" s="1"/>
  <c r="O19" i="7" s="1"/>
  <c r="P19" i="7" s="1"/>
  <c r="Q19" i="7" s="1"/>
  <c r="R19" i="7" s="1"/>
  <c r="S19" i="7" s="1"/>
  <c r="T19" i="7" s="1"/>
  <c r="U19" i="7" s="1"/>
  <c r="V19" i="7" s="1"/>
  <c r="W19" i="7" s="1"/>
  <c r="X19" i="7" s="1"/>
  <c r="Y19" i="7" s="1"/>
  <c r="Z19" i="7" s="1"/>
  <c r="J9" i="7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 s="1"/>
  <c r="Y9" i="7" s="1"/>
  <c r="Z9" i="7" s="1"/>
  <c r="G33" i="7"/>
  <c r="O7" i="7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H34" i="7"/>
  <c r="F12" i="17" s="1"/>
  <c r="F11" i="17" s="1"/>
  <c r="L8" i="7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G26" i="7"/>
  <c r="H26" i="7"/>
  <c r="I26" i="7"/>
  <c r="J26" i="7"/>
  <c r="K26" i="7"/>
  <c r="L26" i="7"/>
  <c r="M26" i="7"/>
  <c r="N26" i="7"/>
  <c r="F26" i="7"/>
  <c r="G18" i="7"/>
  <c r="I35" i="17" l="1"/>
  <c r="I34" i="7"/>
  <c r="G12" i="17" s="1"/>
  <c r="G11" i="17" s="1"/>
  <c r="E12" i="8"/>
  <c r="E11" i="8" s="1"/>
  <c r="F11" i="9"/>
  <c r="F10" i="9" s="1"/>
  <c r="P11" i="7"/>
  <c r="Q11" i="7" s="1"/>
  <c r="R11" i="7" s="1"/>
  <c r="S11" i="7" s="1"/>
  <c r="T11" i="7" s="1"/>
  <c r="U11" i="7" s="1"/>
  <c r="V11" i="7" s="1"/>
  <c r="W11" i="7" s="1"/>
  <c r="X11" i="7" s="1"/>
  <c r="Y11" i="7" s="1"/>
  <c r="Z11" i="7" s="1"/>
  <c r="E23" i="8"/>
  <c r="I23" i="8"/>
  <c r="M23" i="8"/>
  <c r="Q23" i="8"/>
  <c r="U23" i="8"/>
  <c r="G23" i="8"/>
  <c r="H23" i="8"/>
  <c r="L23" i="8"/>
  <c r="P23" i="8"/>
  <c r="T23" i="8"/>
  <c r="D23" i="8"/>
  <c r="F23" i="8"/>
  <c r="J23" i="8"/>
  <c r="N23" i="8"/>
  <c r="R23" i="8"/>
  <c r="V23" i="8"/>
  <c r="K23" i="8"/>
  <c r="O23" i="8"/>
  <c r="S23" i="8"/>
  <c r="W23" i="8"/>
  <c r="P12" i="7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P10" i="7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P13" i="7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H18" i="7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Z18" i="7" s="1"/>
  <c r="G20" i="7"/>
  <c r="I33" i="7"/>
  <c r="H33" i="7"/>
  <c r="I36" i="17" l="1"/>
  <c r="I34" i="17" s="1"/>
  <c r="J35" i="17" s="1"/>
  <c r="H27" i="8"/>
  <c r="H29" i="8" s="1"/>
  <c r="J34" i="7"/>
  <c r="H12" i="17" s="1"/>
  <c r="H11" i="17" s="1"/>
  <c r="G11" i="9"/>
  <c r="G10" i="9" s="1"/>
  <c r="F12" i="8"/>
  <c r="F11" i="8" s="1"/>
  <c r="G23" i="7"/>
  <c r="G36" i="7"/>
  <c r="E14" i="17" s="1"/>
  <c r="G38" i="7"/>
  <c r="E16" i="17" s="1"/>
  <c r="G37" i="7"/>
  <c r="E15" i="17" s="1"/>
  <c r="I20" i="7"/>
  <c r="H20" i="7"/>
  <c r="O20" i="7"/>
  <c r="J20" i="7"/>
  <c r="J38" i="7" s="1"/>
  <c r="H16" i="17" s="1"/>
  <c r="L20" i="7"/>
  <c r="M20" i="7"/>
  <c r="K20" i="7"/>
  <c r="N20" i="7"/>
  <c r="P20" i="7"/>
  <c r="P23" i="7" s="1"/>
  <c r="J36" i="17" l="1"/>
  <c r="J34" i="17" s="1"/>
  <c r="K35" i="17" s="1"/>
  <c r="I27" i="8"/>
  <c r="I29" i="8" s="1"/>
  <c r="E13" i="17"/>
  <c r="E10" i="17" s="1"/>
  <c r="N6" i="9"/>
  <c r="N5" i="9" s="1"/>
  <c r="N7" i="17"/>
  <c r="N6" i="17" s="1"/>
  <c r="E6" i="9"/>
  <c r="E5" i="9" s="1"/>
  <c r="E7" i="17"/>
  <c r="E6" i="17" s="1"/>
  <c r="K34" i="7"/>
  <c r="I12" i="17" s="1"/>
  <c r="I11" i="17" s="1"/>
  <c r="H11" i="9"/>
  <c r="H10" i="9" s="1"/>
  <c r="G12" i="8"/>
  <c r="G11" i="8" s="1"/>
  <c r="J33" i="7"/>
  <c r="E15" i="9"/>
  <c r="D16" i="8"/>
  <c r="E14" i="9"/>
  <c r="D15" i="8"/>
  <c r="G16" i="8"/>
  <c r="H15" i="9"/>
  <c r="D14" i="8"/>
  <c r="E13" i="9"/>
  <c r="P22" i="7"/>
  <c r="M7" i="8"/>
  <c r="G22" i="7"/>
  <c r="D7" i="8"/>
  <c r="J37" i="7"/>
  <c r="H15" i="17" s="1"/>
  <c r="H36" i="7"/>
  <c r="F14" i="17" s="1"/>
  <c r="H37" i="7"/>
  <c r="F15" i="17" s="1"/>
  <c r="H38" i="7"/>
  <c r="F16" i="17" s="1"/>
  <c r="I23" i="7"/>
  <c r="I38" i="7"/>
  <c r="G16" i="17" s="1"/>
  <c r="I37" i="7"/>
  <c r="G15" i="17" s="1"/>
  <c r="J36" i="7"/>
  <c r="H14" i="17" s="1"/>
  <c r="K37" i="7"/>
  <c r="I15" i="17" s="1"/>
  <c r="I36" i="7"/>
  <c r="G14" i="17" s="1"/>
  <c r="K38" i="7"/>
  <c r="I16" i="17" s="1"/>
  <c r="G35" i="7"/>
  <c r="G32" i="7" s="1"/>
  <c r="K23" i="7"/>
  <c r="O23" i="7"/>
  <c r="M23" i="7"/>
  <c r="H23" i="7"/>
  <c r="L23" i="7"/>
  <c r="N23" i="7"/>
  <c r="J23" i="7"/>
  <c r="Q20" i="7"/>
  <c r="Q23" i="7" s="1"/>
  <c r="K36" i="17" l="1"/>
  <c r="K34" i="17" s="1"/>
  <c r="J27" i="8"/>
  <c r="J29" i="8" s="1"/>
  <c r="D6" i="8"/>
  <c r="G13" i="17"/>
  <c r="G10" i="17" s="1"/>
  <c r="F13" i="17"/>
  <c r="F10" i="17" s="1"/>
  <c r="H13" i="17"/>
  <c r="H10" i="17" s="1"/>
  <c r="J6" i="9"/>
  <c r="J5" i="9" s="1"/>
  <c r="J7" i="17"/>
  <c r="J6" i="17" s="1"/>
  <c r="I6" i="9"/>
  <c r="I5" i="9" s="1"/>
  <c r="I7" i="17"/>
  <c r="I6" i="17" s="1"/>
  <c r="G6" i="9"/>
  <c r="G5" i="9" s="1"/>
  <c r="G7" i="17"/>
  <c r="G6" i="17" s="1"/>
  <c r="L6" i="9"/>
  <c r="L5" i="9" s="1"/>
  <c r="L7" i="17"/>
  <c r="L6" i="17" s="1"/>
  <c r="M6" i="9"/>
  <c r="M5" i="9" s="1"/>
  <c r="M7" i="17"/>
  <c r="M6" i="17" s="1"/>
  <c r="F6" i="9"/>
  <c r="F5" i="9" s="1"/>
  <c r="F7" i="17"/>
  <c r="F6" i="17" s="1"/>
  <c r="O6" i="9"/>
  <c r="O5" i="9" s="1"/>
  <c r="O7" i="17"/>
  <c r="O6" i="17" s="1"/>
  <c r="H6" i="9"/>
  <c r="H5" i="9" s="1"/>
  <c r="H7" i="17"/>
  <c r="H6" i="17" s="1"/>
  <c r="K6" i="9"/>
  <c r="K5" i="9" s="1"/>
  <c r="K7" i="17"/>
  <c r="K6" i="17" s="1"/>
  <c r="E12" i="9"/>
  <c r="E9" i="9" s="1"/>
  <c r="L34" i="7"/>
  <c r="J12" i="17" s="1"/>
  <c r="J11" i="17" s="1"/>
  <c r="I11" i="9"/>
  <c r="I10" i="9" s="1"/>
  <c r="H12" i="8"/>
  <c r="H11" i="8" s="1"/>
  <c r="K33" i="7"/>
  <c r="D13" i="8"/>
  <c r="D10" i="8" s="1"/>
  <c r="G14" i="9"/>
  <c r="F15" i="8"/>
  <c r="I14" i="9"/>
  <c r="H15" i="8"/>
  <c r="H14" i="9"/>
  <c r="G15" i="8"/>
  <c r="H16" i="8"/>
  <c r="I15" i="9"/>
  <c r="F14" i="9"/>
  <c r="E15" i="8"/>
  <c r="G15" i="9"/>
  <c r="F16" i="8"/>
  <c r="F15" i="9"/>
  <c r="E16" i="8"/>
  <c r="G13" i="9"/>
  <c r="F14" i="8"/>
  <c r="E14" i="8"/>
  <c r="F13" i="9"/>
  <c r="H13" i="9"/>
  <c r="G14" i="8"/>
  <c r="J22" i="7"/>
  <c r="G7" i="8"/>
  <c r="M22" i="7"/>
  <c r="J7" i="8"/>
  <c r="N22" i="7"/>
  <c r="K7" i="8"/>
  <c r="O22" i="7"/>
  <c r="L7" i="8"/>
  <c r="Q22" i="7"/>
  <c r="N7" i="8"/>
  <c r="L22" i="7"/>
  <c r="I7" i="8"/>
  <c r="K22" i="7"/>
  <c r="H7" i="8"/>
  <c r="I22" i="7"/>
  <c r="F7" i="8"/>
  <c r="H22" i="7"/>
  <c r="E7" i="8"/>
  <c r="I35" i="7"/>
  <c r="I32" i="7" s="1"/>
  <c r="L38" i="7"/>
  <c r="J16" i="17" s="1"/>
  <c r="L37" i="7"/>
  <c r="J15" i="17" s="1"/>
  <c r="K36" i="7"/>
  <c r="I14" i="17" s="1"/>
  <c r="I13" i="17" s="1"/>
  <c r="I10" i="17" s="1"/>
  <c r="H35" i="7"/>
  <c r="H32" i="7" s="1"/>
  <c r="J35" i="7"/>
  <c r="J32" i="7" s="1"/>
  <c r="R20" i="7"/>
  <c r="R23" i="7" s="1"/>
  <c r="L35" i="17" l="1"/>
  <c r="D31" i="8"/>
  <c r="E22" i="9" s="1"/>
  <c r="E23" i="9" s="1"/>
  <c r="F6" i="8"/>
  <c r="I6" i="8"/>
  <c r="L6" i="8"/>
  <c r="J6" i="8"/>
  <c r="D20" i="8"/>
  <c r="D21" i="8" s="1"/>
  <c r="E6" i="8"/>
  <c r="H6" i="8"/>
  <c r="K6" i="8"/>
  <c r="G6" i="8"/>
  <c r="G20" i="8"/>
  <c r="G21" i="8" s="1"/>
  <c r="D18" i="8"/>
  <c r="P6" i="9"/>
  <c r="P5" i="9" s="1"/>
  <c r="P7" i="17"/>
  <c r="P6" i="17" s="1"/>
  <c r="M34" i="7"/>
  <c r="K12" i="17" s="1"/>
  <c r="K11" i="17" s="1"/>
  <c r="I12" i="8"/>
  <c r="I11" i="8" s="1"/>
  <c r="J11" i="9"/>
  <c r="J10" i="9" s="1"/>
  <c r="L33" i="7"/>
  <c r="E13" i="8"/>
  <c r="E10" i="8" s="1"/>
  <c r="E20" i="8" s="1"/>
  <c r="E21" i="8" s="1"/>
  <c r="G13" i="8"/>
  <c r="G10" i="8" s="1"/>
  <c r="G31" i="8" s="1"/>
  <c r="H12" i="9"/>
  <c r="H9" i="9" s="1"/>
  <c r="F12" i="9"/>
  <c r="F9" i="9" s="1"/>
  <c r="G12" i="9"/>
  <c r="G9" i="9" s="1"/>
  <c r="F13" i="8"/>
  <c r="F10" i="8" s="1"/>
  <c r="I15" i="8"/>
  <c r="J14" i="9"/>
  <c r="I16" i="8"/>
  <c r="J15" i="9"/>
  <c r="K35" i="7"/>
  <c r="K32" i="7" s="1"/>
  <c r="H14" i="8"/>
  <c r="H13" i="8" s="1"/>
  <c r="H10" i="8" s="1"/>
  <c r="H31" i="8" s="1"/>
  <c r="I13" i="9"/>
  <c r="I12" i="9" s="1"/>
  <c r="I9" i="9" s="1"/>
  <c r="R22" i="7"/>
  <c r="O7" i="8"/>
  <c r="M6" i="8"/>
  <c r="M37" i="7"/>
  <c r="K15" i="17" s="1"/>
  <c r="L36" i="7"/>
  <c r="J14" i="17" s="1"/>
  <c r="J13" i="17" s="1"/>
  <c r="J10" i="17" s="1"/>
  <c r="M38" i="7"/>
  <c r="K16" i="17" s="1"/>
  <c r="S20" i="7"/>
  <c r="S23" i="7" s="1"/>
  <c r="L36" i="17" l="1"/>
  <c r="L34" i="17" s="1"/>
  <c r="K27" i="8"/>
  <c r="K29" i="8" s="1"/>
  <c r="E23" i="17"/>
  <c r="E24" i="17" s="1"/>
  <c r="E27" i="17" s="1"/>
  <c r="D25" i="8"/>
  <c r="D19" i="8"/>
  <c r="D33" i="8"/>
  <c r="D34" i="8" s="1"/>
  <c r="F31" i="8"/>
  <c r="G23" i="17" s="1"/>
  <c r="G24" i="17" s="1"/>
  <c r="F20" i="8"/>
  <c r="F21" i="8" s="1"/>
  <c r="H20" i="8"/>
  <c r="H21" i="8" s="1"/>
  <c r="E18" i="8"/>
  <c r="G18" i="8"/>
  <c r="E31" i="8"/>
  <c r="F22" i="9" s="1"/>
  <c r="F23" i="9" s="1"/>
  <c r="H18" i="8"/>
  <c r="F18" i="8"/>
  <c r="Q6" i="9"/>
  <c r="Q5" i="9" s="1"/>
  <c r="Q7" i="17"/>
  <c r="Q6" i="17" s="1"/>
  <c r="I22" i="9"/>
  <c r="I23" i="9" s="1"/>
  <c r="I23" i="17"/>
  <c r="I24" i="17" s="1"/>
  <c r="E24" i="9"/>
  <c r="H22" i="9"/>
  <c r="H23" i="9" s="1"/>
  <c r="H23" i="17"/>
  <c r="H24" i="17" s="1"/>
  <c r="N34" i="7"/>
  <c r="L12" i="17" s="1"/>
  <c r="L11" i="17" s="1"/>
  <c r="K11" i="9"/>
  <c r="K10" i="9" s="1"/>
  <c r="J12" i="8"/>
  <c r="J11" i="8" s="1"/>
  <c r="M33" i="7"/>
  <c r="K14" i="9"/>
  <c r="J15" i="8"/>
  <c r="K15" i="9"/>
  <c r="J16" i="8"/>
  <c r="L35" i="7"/>
  <c r="L32" i="7" s="1"/>
  <c r="I14" i="8"/>
  <c r="I13" i="8" s="1"/>
  <c r="I10" i="8" s="1"/>
  <c r="I20" i="8" s="1"/>
  <c r="I21" i="8" s="1"/>
  <c r="J13" i="9"/>
  <c r="J12" i="9" s="1"/>
  <c r="J9" i="9" s="1"/>
  <c r="G33" i="8"/>
  <c r="G34" i="8" s="1"/>
  <c r="H33" i="8"/>
  <c r="H34" i="8" s="1"/>
  <c r="S22" i="7"/>
  <c r="P7" i="8"/>
  <c r="N6" i="8"/>
  <c r="M36" i="7"/>
  <c r="K14" i="17" s="1"/>
  <c r="K13" i="17" s="1"/>
  <c r="K10" i="17" s="1"/>
  <c r="N38" i="7"/>
  <c r="L16" i="17" s="1"/>
  <c r="N37" i="7"/>
  <c r="L15" i="17" s="1"/>
  <c r="T20" i="7"/>
  <c r="T23" i="7" s="1"/>
  <c r="M35" i="17" l="1"/>
  <c r="G22" i="9"/>
  <c r="G23" i="9" s="1"/>
  <c r="F47" i="17"/>
  <c r="H25" i="8"/>
  <c r="H19" i="8"/>
  <c r="G25" i="8"/>
  <c r="G19" i="8"/>
  <c r="F33" i="8"/>
  <c r="F34" i="8" s="1"/>
  <c r="F25" i="8"/>
  <c r="F19" i="8"/>
  <c r="E25" i="8"/>
  <c r="E19" i="8"/>
  <c r="F23" i="17"/>
  <c r="F24" i="17" s="1"/>
  <c r="F27" i="17" s="1"/>
  <c r="E33" i="8"/>
  <c r="E34" i="8" s="1"/>
  <c r="I31" i="8"/>
  <c r="J23" i="17" s="1"/>
  <c r="J24" i="17" s="1"/>
  <c r="I18" i="8"/>
  <c r="R6" i="9"/>
  <c r="R5" i="9" s="1"/>
  <c r="R7" i="17"/>
  <c r="R6" i="17" s="1"/>
  <c r="G27" i="17"/>
  <c r="I27" i="17"/>
  <c r="H27" i="17"/>
  <c r="F24" i="9"/>
  <c r="L11" i="9"/>
  <c r="L10" i="9" s="1"/>
  <c r="K12" i="8"/>
  <c r="K11" i="8" s="1"/>
  <c r="O34" i="7"/>
  <c r="M12" i="17" s="1"/>
  <c r="M11" i="17" s="1"/>
  <c r="N33" i="7"/>
  <c r="K15" i="8"/>
  <c r="L14" i="9"/>
  <c r="K16" i="8"/>
  <c r="L15" i="9"/>
  <c r="M35" i="7"/>
  <c r="M32" i="7" s="1"/>
  <c r="K13" i="9"/>
  <c r="K12" i="9" s="1"/>
  <c r="K9" i="9" s="1"/>
  <c r="J14" i="8"/>
  <c r="J13" i="8" s="1"/>
  <c r="J10" i="8" s="1"/>
  <c r="J20" i="8" s="1"/>
  <c r="J21" i="8" s="1"/>
  <c r="T22" i="7"/>
  <c r="Q7" i="8"/>
  <c r="O6" i="8"/>
  <c r="O38" i="7"/>
  <c r="M16" i="17" s="1"/>
  <c r="O37" i="7"/>
  <c r="M15" i="17" s="1"/>
  <c r="N36" i="7"/>
  <c r="L14" i="17" s="1"/>
  <c r="L13" i="17" s="1"/>
  <c r="L10" i="17" s="1"/>
  <c r="U20" i="7"/>
  <c r="U23" i="7" s="1"/>
  <c r="M36" i="17" l="1"/>
  <c r="M34" i="17" s="1"/>
  <c r="N35" i="17" s="1"/>
  <c r="L27" i="8"/>
  <c r="L29" i="8" s="1"/>
  <c r="G24" i="9"/>
  <c r="H24" i="9" s="1"/>
  <c r="I24" i="9" s="1"/>
  <c r="I25" i="8"/>
  <c r="I19" i="8"/>
  <c r="J22" i="9"/>
  <c r="J23" i="9" s="1"/>
  <c r="J24" i="9" s="1"/>
  <c r="J31" i="8"/>
  <c r="J18" i="8"/>
  <c r="I33" i="8"/>
  <c r="I34" i="8" s="1"/>
  <c r="S6" i="9"/>
  <c r="S5" i="9" s="1"/>
  <c r="S7" i="17"/>
  <c r="S6" i="17" s="1"/>
  <c r="J27" i="17"/>
  <c r="O33" i="7"/>
  <c r="M11" i="9"/>
  <c r="M10" i="9" s="1"/>
  <c r="L12" i="8"/>
  <c r="L11" i="8" s="1"/>
  <c r="P34" i="7"/>
  <c r="N12" i="17" s="1"/>
  <c r="N11" i="17" s="1"/>
  <c r="L15" i="8"/>
  <c r="M14" i="9"/>
  <c r="L16" i="8"/>
  <c r="M15" i="9"/>
  <c r="N35" i="7"/>
  <c r="N32" i="7" s="1"/>
  <c r="L13" i="9"/>
  <c r="L12" i="9" s="1"/>
  <c r="L9" i="9" s="1"/>
  <c r="K14" i="8"/>
  <c r="K13" i="8" s="1"/>
  <c r="K10" i="8" s="1"/>
  <c r="K20" i="8" s="1"/>
  <c r="K21" i="8" s="1"/>
  <c r="U22" i="7"/>
  <c r="R7" i="8"/>
  <c r="P6" i="8"/>
  <c r="P37" i="7"/>
  <c r="N15" i="17" s="1"/>
  <c r="O36" i="7"/>
  <c r="M14" i="17" s="1"/>
  <c r="M13" i="17" s="1"/>
  <c r="M10" i="17" s="1"/>
  <c r="P38" i="7"/>
  <c r="N16" i="17" s="1"/>
  <c r="V20" i="7"/>
  <c r="V23" i="7" s="1"/>
  <c r="N36" i="17" l="1"/>
  <c r="N34" i="17" s="1"/>
  <c r="O35" i="17" s="1"/>
  <c r="M27" i="8"/>
  <c r="M29" i="8" s="1"/>
  <c r="J25" i="8"/>
  <c r="J19" i="8"/>
  <c r="K31" i="8"/>
  <c r="K18" i="8"/>
  <c r="T6" i="9"/>
  <c r="T5" i="9" s="1"/>
  <c r="T7" i="17"/>
  <c r="T6" i="17" s="1"/>
  <c r="K22" i="9"/>
  <c r="K23" i="9" s="1"/>
  <c r="K24" i="9" s="1"/>
  <c r="K23" i="17"/>
  <c r="K24" i="17" s="1"/>
  <c r="P33" i="7"/>
  <c r="M12" i="8"/>
  <c r="M11" i="8" s="1"/>
  <c r="N11" i="9"/>
  <c r="N10" i="9" s="1"/>
  <c r="Q34" i="7"/>
  <c r="O12" i="17" s="1"/>
  <c r="O11" i="17" s="1"/>
  <c r="N15" i="9"/>
  <c r="M16" i="8"/>
  <c r="N14" i="9"/>
  <c r="M15" i="8"/>
  <c r="J33" i="8"/>
  <c r="J34" i="8" s="1"/>
  <c r="O35" i="7"/>
  <c r="O32" i="7" s="1"/>
  <c r="L14" i="8"/>
  <c r="L13" i="8" s="1"/>
  <c r="L10" i="8" s="1"/>
  <c r="L20" i="8" s="1"/>
  <c r="L21" i="8" s="1"/>
  <c r="M13" i="9"/>
  <c r="M12" i="9" s="1"/>
  <c r="M9" i="9" s="1"/>
  <c r="V22" i="7"/>
  <c r="S7" i="8"/>
  <c r="Q6" i="8"/>
  <c r="P36" i="7"/>
  <c r="N14" i="17" s="1"/>
  <c r="N13" i="17" s="1"/>
  <c r="N10" i="17" s="1"/>
  <c r="Q38" i="7"/>
  <c r="O16" i="17" s="1"/>
  <c r="Q37" i="7"/>
  <c r="O15" i="17" s="1"/>
  <c r="W20" i="7"/>
  <c r="W23" i="7" s="1"/>
  <c r="O36" i="17" l="1"/>
  <c r="O34" i="17" s="1"/>
  <c r="N27" i="8"/>
  <c r="N29" i="8" s="1"/>
  <c r="K25" i="8"/>
  <c r="K19" i="8"/>
  <c r="L31" i="8"/>
  <c r="L18" i="8"/>
  <c r="U6" i="9"/>
  <c r="U5" i="9" s="1"/>
  <c r="U7" i="17"/>
  <c r="U6" i="17" s="1"/>
  <c r="K27" i="17"/>
  <c r="L22" i="9"/>
  <c r="L23" i="9" s="1"/>
  <c r="L24" i="9" s="1"/>
  <c r="L23" i="17"/>
  <c r="L24" i="17" s="1"/>
  <c r="Q33" i="7"/>
  <c r="O11" i="9"/>
  <c r="O10" i="9" s="1"/>
  <c r="N12" i="8"/>
  <c r="N11" i="8" s="1"/>
  <c r="R34" i="7"/>
  <c r="P12" i="17" s="1"/>
  <c r="P11" i="17" s="1"/>
  <c r="O15" i="9"/>
  <c r="N16" i="8"/>
  <c r="O14" i="9"/>
  <c r="N15" i="8"/>
  <c r="K33" i="8"/>
  <c r="K34" i="8" s="1"/>
  <c r="P35" i="7"/>
  <c r="P32" i="7" s="1"/>
  <c r="M14" i="8"/>
  <c r="M13" i="8" s="1"/>
  <c r="M10" i="8" s="1"/>
  <c r="M20" i="8" s="1"/>
  <c r="M21" i="8" s="1"/>
  <c r="N13" i="9"/>
  <c r="N12" i="9" s="1"/>
  <c r="N9" i="9" s="1"/>
  <c r="W22" i="7"/>
  <c r="T7" i="8"/>
  <c r="R6" i="8"/>
  <c r="R38" i="7"/>
  <c r="P16" i="17" s="1"/>
  <c r="R37" i="7"/>
  <c r="P15" i="17" s="1"/>
  <c r="Q36" i="7"/>
  <c r="O14" i="17" s="1"/>
  <c r="O13" i="17" s="1"/>
  <c r="O10" i="17" s="1"/>
  <c r="X20" i="7"/>
  <c r="X23" i="7" s="1"/>
  <c r="P35" i="17" l="1"/>
  <c r="L25" i="8"/>
  <c r="L19" i="8"/>
  <c r="M18" i="8"/>
  <c r="V6" i="9"/>
  <c r="V5" i="9" s="1"/>
  <c r="V7" i="17"/>
  <c r="V6" i="17" s="1"/>
  <c r="M22" i="9"/>
  <c r="M23" i="9" s="1"/>
  <c r="M24" i="9" s="1"/>
  <c r="M23" i="17"/>
  <c r="M24" i="17" s="1"/>
  <c r="L27" i="17"/>
  <c r="R33" i="7"/>
  <c r="P11" i="9"/>
  <c r="P10" i="9" s="1"/>
  <c r="O12" i="8"/>
  <c r="O11" i="8" s="1"/>
  <c r="S34" i="7"/>
  <c r="Q12" i="17" s="1"/>
  <c r="Q11" i="17" s="1"/>
  <c r="L33" i="8"/>
  <c r="L34" i="8" s="1"/>
  <c r="O16" i="8"/>
  <c r="P15" i="9"/>
  <c r="P14" i="9"/>
  <c r="O15" i="8"/>
  <c r="M31" i="8"/>
  <c r="Q35" i="7"/>
  <c r="Q32" i="7" s="1"/>
  <c r="O13" i="9"/>
  <c r="O12" i="9" s="1"/>
  <c r="O9" i="9" s="1"/>
  <c r="N14" i="8"/>
  <c r="N13" i="8" s="1"/>
  <c r="N10" i="8" s="1"/>
  <c r="N20" i="8" s="1"/>
  <c r="N21" i="8" s="1"/>
  <c r="X22" i="7"/>
  <c r="U7" i="8"/>
  <c r="S6" i="8"/>
  <c r="S37" i="7"/>
  <c r="Q15" i="17" s="1"/>
  <c r="R36" i="7"/>
  <c r="P14" i="17" s="1"/>
  <c r="P13" i="17" s="1"/>
  <c r="P10" i="17" s="1"/>
  <c r="S38" i="7"/>
  <c r="Q16" i="17" s="1"/>
  <c r="Y20" i="7"/>
  <c r="Y23" i="7" s="1"/>
  <c r="Z20" i="7"/>
  <c r="Z23" i="7" s="1"/>
  <c r="P36" i="17" l="1"/>
  <c r="P34" i="17" s="1"/>
  <c r="O27" i="8"/>
  <c r="O29" i="8" s="1"/>
  <c r="M25" i="8"/>
  <c r="M19" i="8"/>
  <c r="N31" i="8"/>
  <c r="N18" i="8"/>
  <c r="X6" i="9"/>
  <c r="X5" i="9" s="1"/>
  <c r="X7" i="17"/>
  <c r="X6" i="17" s="1"/>
  <c r="W6" i="9"/>
  <c r="W5" i="9" s="1"/>
  <c r="W7" i="17"/>
  <c r="W6" i="17" s="1"/>
  <c r="M27" i="17"/>
  <c r="N22" i="9"/>
  <c r="N23" i="9" s="1"/>
  <c r="N24" i="9" s="1"/>
  <c r="N23" i="17"/>
  <c r="N24" i="17" s="1"/>
  <c r="S33" i="7"/>
  <c r="Q11" i="9"/>
  <c r="Q10" i="9" s="1"/>
  <c r="P12" i="8"/>
  <c r="P11" i="8" s="1"/>
  <c r="T34" i="7"/>
  <c r="R12" i="17" s="1"/>
  <c r="R11" i="17" s="1"/>
  <c r="M33" i="8"/>
  <c r="M34" i="8" s="1"/>
  <c r="Q14" i="9"/>
  <c r="P15" i="8"/>
  <c r="P16" i="8"/>
  <c r="Q15" i="9"/>
  <c r="R35" i="7"/>
  <c r="R32" i="7" s="1"/>
  <c r="P13" i="9"/>
  <c r="P12" i="9" s="1"/>
  <c r="P9" i="9" s="1"/>
  <c r="O14" i="8"/>
  <c r="O13" i="8" s="1"/>
  <c r="O10" i="8" s="1"/>
  <c r="O20" i="8" s="1"/>
  <c r="O21" i="8" s="1"/>
  <c r="Z22" i="7"/>
  <c r="W7" i="8"/>
  <c r="Y22" i="7"/>
  <c r="V7" i="8"/>
  <c r="T6" i="8"/>
  <c r="S36" i="7"/>
  <c r="Q14" i="17" s="1"/>
  <c r="Q13" i="17" s="1"/>
  <c r="Q10" i="17" s="1"/>
  <c r="T38" i="7"/>
  <c r="R16" i="17" s="1"/>
  <c r="T37" i="7"/>
  <c r="R15" i="17" s="1"/>
  <c r="Q35" i="17" l="1"/>
  <c r="N25" i="8"/>
  <c r="N19" i="8"/>
  <c r="O31" i="8"/>
  <c r="O18" i="8"/>
  <c r="O22" i="9"/>
  <c r="O23" i="9" s="1"/>
  <c r="O24" i="9" s="1"/>
  <c r="O23" i="17"/>
  <c r="O24" i="17" s="1"/>
  <c r="N27" i="17"/>
  <c r="N33" i="8"/>
  <c r="N34" i="8" s="1"/>
  <c r="T33" i="7"/>
  <c r="Q12" i="8"/>
  <c r="Q11" i="8" s="1"/>
  <c r="R11" i="9"/>
  <c r="R10" i="9" s="1"/>
  <c r="U34" i="7"/>
  <c r="S12" i="17" s="1"/>
  <c r="S11" i="17" s="1"/>
  <c r="Q15" i="8"/>
  <c r="R14" i="9"/>
  <c r="Q16" i="8"/>
  <c r="R15" i="9"/>
  <c r="S35" i="7"/>
  <c r="S32" i="7" s="1"/>
  <c r="P14" i="8"/>
  <c r="P13" i="8" s="1"/>
  <c r="P10" i="8" s="1"/>
  <c r="P20" i="8" s="1"/>
  <c r="P21" i="8" s="1"/>
  <c r="Q13" i="9"/>
  <c r="Q12" i="9" s="1"/>
  <c r="Q9" i="9" s="1"/>
  <c r="U6" i="8"/>
  <c r="U38" i="7"/>
  <c r="S16" i="17" s="1"/>
  <c r="U37" i="7"/>
  <c r="S15" i="17" s="1"/>
  <c r="T36" i="7"/>
  <c r="R14" i="17" s="1"/>
  <c r="R13" i="17" s="1"/>
  <c r="R10" i="17" s="1"/>
  <c r="Q36" i="17" l="1"/>
  <c r="Q34" i="17" s="1"/>
  <c r="R35" i="17" s="1"/>
  <c r="P27" i="8"/>
  <c r="P29" i="8" s="1"/>
  <c r="O25" i="8"/>
  <c r="O19" i="8"/>
  <c r="P18" i="8"/>
  <c r="O27" i="17"/>
  <c r="P22" i="9"/>
  <c r="P23" i="9" s="1"/>
  <c r="P24" i="9" s="1"/>
  <c r="P23" i="17"/>
  <c r="P24" i="17" s="1"/>
  <c r="U33" i="7"/>
  <c r="S11" i="9"/>
  <c r="S10" i="9" s="1"/>
  <c r="R12" i="8"/>
  <c r="R11" i="8" s="1"/>
  <c r="V34" i="7"/>
  <c r="T12" i="17" s="1"/>
  <c r="T11" i="17" s="1"/>
  <c r="S14" i="9"/>
  <c r="R15" i="8"/>
  <c r="S15" i="9"/>
  <c r="R16" i="8"/>
  <c r="O33" i="8"/>
  <c r="O34" i="8" s="1"/>
  <c r="T35" i="7"/>
  <c r="T32" i="7" s="1"/>
  <c r="Q14" i="8"/>
  <c r="Q13" i="8" s="1"/>
  <c r="Q10" i="8" s="1"/>
  <c r="Q20" i="8" s="1"/>
  <c r="Q21" i="8" s="1"/>
  <c r="R13" i="9"/>
  <c r="R12" i="9" s="1"/>
  <c r="R9" i="9" s="1"/>
  <c r="P31" i="8"/>
  <c r="W6" i="8"/>
  <c r="V6" i="8"/>
  <c r="V37" i="7"/>
  <c r="T15" i="17" s="1"/>
  <c r="U36" i="7"/>
  <c r="S14" i="17" s="1"/>
  <c r="S13" i="17" s="1"/>
  <c r="S10" i="17" s="1"/>
  <c r="V38" i="7"/>
  <c r="T16" i="17" s="1"/>
  <c r="R36" i="17" l="1"/>
  <c r="R34" i="17" s="1"/>
  <c r="S35" i="17" s="1"/>
  <c r="Q27" i="8"/>
  <c r="Q29" i="8" s="1"/>
  <c r="P25" i="8"/>
  <c r="P19" i="8"/>
  <c r="Q31" i="8"/>
  <c r="Q18" i="8"/>
  <c r="Q22" i="9"/>
  <c r="Q23" i="9" s="1"/>
  <c r="Q24" i="9" s="1"/>
  <c r="Q23" i="17"/>
  <c r="Q24" i="17" s="1"/>
  <c r="P27" i="17"/>
  <c r="V33" i="7"/>
  <c r="T11" i="9"/>
  <c r="T10" i="9" s="1"/>
  <c r="S12" i="8"/>
  <c r="S11" i="8" s="1"/>
  <c r="W34" i="7"/>
  <c r="U12" i="17" s="1"/>
  <c r="U11" i="17" s="1"/>
  <c r="S16" i="8"/>
  <c r="T15" i="9"/>
  <c r="S15" i="8"/>
  <c r="T14" i="9"/>
  <c r="P33" i="8"/>
  <c r="P34" i="8" s="1"/>
  <c r="U35" i="7"/>
  <c r="U32" i="7" s="1"/>
  <c r="S13" i="9"/>
  <c r="S12" i="9" s="1"/>
  <c r="S9" i="9" s="1"/>
  <c r="R14" i="8"/>
  <c r="R13" i="8" s="1"/>
  <c r="R10" i="8" s="1"/>
  <c r="R20" i="8" s="1"/>
  <c r="R21" i="8" s="1"/>
  <c r="V36" i="7"/>
  <c r="T14" i="17" s="1"/>
  <c r="T13" i="17" s="1"/>
  <c r="T10" i="17" s="1"/>
  <c r="W38" i="7"/>
  <c r="U16" i="17" s="1"/>
  <c r="W37" i="7"/>
  <c r="U15" i="17" s="1"/>
  <c r="S36" i="17" l="1"/>
  <c r="S34" i="17" s="1"/>
  <c r="R27" i="8"/>
  <c r="R29" i="8" s="1"/>
  <c r="Q25" i="8"/>
  <c r="Q19" i="8"/>
  <c r="R31" i="8"/>
  <c r="R18" i="8"/>
  <c r="R22" i="9"/>
  <c r="R23" i="9" s="1"/>
  <c r="R24" i="9" s="1"/>
  <c r="R23" i="17"/>
  <c r="R24" i="17" s="1"/>
  <c r="Q27" i="17"/>
  <c r="W33" i="7"/>
  <c r="U11" i="9"/>
  <c r="U10" i="9" s="1"/>
  <c r="T12" i="8"/>
  <c r="T11" i="8" s="1"/>
  <c r="X34" i="7"/>
  <c r="V12" i="17" s="1"/>
  <c r="V11" i="17" s="1"/>
  <c r="T16" i="8"/>
  <c r="U15" i="9"/>
  <c r="T15" i="8"/>
  <c r="U14" i="9"/>
  <c r="Q33" i="8"/>
  <c r="Q34" i="8" s="1"/>
  <c r="V35" i="7"/>
  <c r="V32" i="7" s="1"/>
  <c r="T13" i="9"/>
  <c r="T12" i="9" s="1"/>
  <c r="T9" i="9" s="1"/>
  <c r="S14" i="8"/>
  <c r="S13" i="8" s="1"/>
  <c r="S10" i="8" s="1"/>
  <c r="S20" i="8" s="1"/>
  <c r="S21" i="8" s="1"/>
  <c r="X38" i="7"/>
  <c r="V16" i="17" s="1"/>
  <c r="X37" i="7"/>
  <c r="V15" i="17" s="1"/>
  <c r="W36" i="7"/>
  <c r="U14" i="17" s="1"/>
  <c r="U13" i="17" s="1"/>
  <c r="U10" i="17" s="1"/>
  <c r="R25" i="8" l="1"/>
  <c r="R19" i="8"/>
  <c r="S18" i="8"/>
  <c r="R27" i="17"/>
  <c r="S22" i="9"/>
  <c r="S23" i="9" s="1"/>
  <c r="S24" i="9" s="1"/>
  <c r="S23" i="17"/>
  <c r="S24" i="17" s="1"/>
  <c r="X33" i="7"/>
  <c r="U12" i="8"/>
  <c r="U11" i="8" s="1"/>
  <c r="V11" i="9"/>
  <c r="V10" i="9" s="1"/>
  <c r="Y34" i="7"/>
  <c r="W12" i="17" s="1"/>
  <c r="W11" i="17" s="1"/>
  <c r="V14" i="9"/>
  <c r="U15" i="8"/>
  <c r="V15" i="9"/>
  <c r="U16" i="8"/>
  <c r="R33" i="8"/>
  <c r="R34" i="8" s="1"/>
  <c r="W35" i="7"/>
  <c r="W32" i="7" s="1"/>
  <c r="T14" i="8"/>
  <c r="T13" i="8" s="1"/>
  <c r="T10" i="8" s="1"/>
  <c r="T20" i="8" s="1"/>
  <c r="T21" i="8" s="1"/>
  <c r="U13" i="9"/>
  <c r="U12" i="9" s="1"/>
  <c r="U9" i="9" s="1"/>
  <c r="Z37" i="7"/>
  <c r="X15" i="17" s="1"/>
  <c r="Y37" i="7"/>
  <c r="W15" i="17" s="1"/>
  <c r="X36" i="7"/>
  <c r="V14" i="17" s="1"/>
  <c r="V13" i="17" s="1"/>
  <c r="V10" i="17" s="1"/>
  <c r="Z38" i="7"/>
  <c r="X16" i="17" s="1"/>
  <c r="Y38" i="7"/>
  <c r="W16" i="17" s="1"/>
  <c r="S25" i="8" l="1"/>
  <c r="S19" i="8"/>
  <c r="T18" i="8"/>
  <c r="S27" i="17"/>
  <c r="S27" i="8" s="1"/>
  <c r="S29" i="8" s="1"/>
  <c r="S31" i="8" s="1"/>
  <c r="T22" i="9" s="1"/>
  <c r="T23" i="9" s="1"/>
  <c r="T24" i="9" s="1"/>
  <c r="Y33" i="7"/>
  <c r="W11" i="9"/>
  <c r="W10" i="9" s="1"/>
  <c r="V12" i="8"/>
  <c r="V11" i="8" s="1"/>
  <c r="Z34" i="7"/>
  <c r="X12" i="17" s="1"/>
  <c r="X11" i="17" s="1"/>
  <c r="W15" i="9"/>
  <c r="V16" i="8"/>
  <c r="X15" i="9"/>
  <c r="W16" i="8"/>
  <c r="W15" i="8"/>
  <c r="X14" i="9"/>
  <c r="W14" i="9"/>
  <c r="V15" i="8"/>
  <c r="X35" i="7"/>
  <c r="X32" i="7" s="1"/>
  <c r="U14" i="8"/>
  <c r="U13" i="8" s="1"/>
  <c r="U10" i="8" s="1"/>
  <c r="U20" i="8" s="1"/>
  <c r="U21" i="8" s="1"/>
  <c r="V13" i="9"/>
  <c r="V12" i="9" s="1"/>
  <c r="V9" i="9" s="1"/>
  <c r="Z36" i="7"/>
  <c r="X14" i="17" s="1"/>
  <c r="X13" i="17" s="1"/>
  <c r="Y36" i="7"/>
  <c r="W14" i="17" s="1"/>
  <c r="W13" i="17" s="1"/>
  <c r="W10" i="17" s="1"/>
  <c r="S33" i="8" l="1"/>
  <c r="S34" i="8" s="1"/>
  <c r="T23" i="17"/>
  <c r="T24" i="17" s="1"/>
  <c r="T27" i="17" s="1"/>
  <c r="T27" i="8" s="1"/>
  <c r="T29" i="8" s="1"/>
  <c r="T31" i="8" s="1"/>
  <c r="U22" i="9" s="1"/>
  <c r="U23" i="9" s="1"/>
  <c r="U24" i="9" s="1"/>
  <c r="T25" i="8"/>
  <c r="T19" i="8"/>
  <c r="U18" i="8"/>
  <c r="X10" i="17"/>
  <c r="Z33" i="7"/>
  <c r="X11" i="9"/>
  <c r="X10" i="9" s="1"/>
  <c r="W12" i="8"/>
  <c r="W11" i="8" s="1"/>
  <c r="Y35" i="7"/>
  <c r="Y32" i="7" s="1"/>
  <c r="W13" i="9"/>
  <c r="W12" i="9" s="1"/>
  <c r="W9" i="9" s="1"/>
  <c r="V14" i="8"/>
  <c r="V13" i="8" s="1"/>
  <c r="V10" i="8" s="1"/>
  <c r="V20" i="8" s="1"/>
  <c r="V21" i="8" s="1"/>
  <c r="Z35" i="7"/>
  <c r="Z32" i="7" s="1"/>
  <c r="X13" i="9"/>
  <c r="X12" i="9" s="1"/>
  <c r="X9" i="9" s="1"/>
  <c r="W14" i="8"/>
  <c r="W13" i="8" s="1"/>
  <c r="T9" i="6"/>
  <c r="N9" i="6"/>
  <c r="K9" i="6"/>
  <c r="Q6" i="6"/>
  <c r="R10" i="6" s="1"/>
  <c r="K6" i="6"/>
  <c r="K7" i="6" s="1"/>
  <c r="N5" i="6"/>
  <c r="F14" i="5"/>
  <c r="T33" i="8" l="1"/>
  <c r="T34" i="8" s="1"/>
  <c r="U23" i="17"/>
  <c r="U24" i="17" s="1"/>
  <c r="U27" i="17" s="1"/>
  <c r="U27" i="8" s="1"/>
  <c r="U29" i="8" s="1"/>
  <c r="U31" i="8" s="1"/>
  <c r="V23" i="17" s="1"/>
  <c r="V24" i="17" s="1"/>
  <c r="U25" i="8"/>
  <c r="U19" i="8"/>
  <c r="V18" i="8"/>
  <c r="W10" i="8"/>
  <c r="W20" i="8" s="1"/>
  <c r="W21" i="8" s="1"/>
  <c r="K129" i="6"/>
  <c r="K128" i="6"/>
  <c r="K127" i="6"/>
  <c r="K126" i="6"/>
  <c r="K125" i="6"/>
  <c r="K124" i="6"/>
  <c r="K123" i="6"/>
  <c r="K121" i="6"/>
  <c r="K119" i="6"/>
  <c r="K117" i="6"/>
  <c r="K115" i="6"/>
  <c r="K113" i="6"/>
  <c r="K111" i="6"/>
  <c r="K109" i="6"/>
  <c r="K107" i="6"/>
  <c r="K105" i="6"/>
  <c r="K103" i="6"/>
  <c r="K101" i="6"/>
  <c r="K116" i="6"/>
  <c r="K108" i="6"/>
  <c r="K122" i="6"/>
  <c r="K114" i="6"/>
  <c r="K106" i="6"/>
  <c r="K100" i="6"/>
  <c r="K98" i="6"/>
  <c r="K96" i="6"/>
  <c r="K94" i="6"/>
  <c r="K92" i="6"/>
  <c r="K90" i="6"/>
  <c r="K88" i="6"/>
  <c r="K86" i="6"/>
  <c r="K84" i="6"/>
  <c r="K82" i="6"/>
  <c r="K80" i="6"/>
  <c r="K78" i="6"/>
  <c r="K76" i="6"/>
  <c r="K74" i="6"/>
  <c r="K72" i="6"/>
  <c r="K70" i="6"/>
  <c r="K68" i="6"/>
  <c r="K66" i="6"/>
  <c r="K64" i="6"/>
  <c r="K62" i="6"/>
  <c r="K60" i="6"/>
  <c r="K58" i="6"/>
  <c r="K56" i="6"/>
  <c r="K54" i="6"/>
  <c r="K52" i="6"/>
  <c r="K50" i="6"/>
  <c r="K48" i="6"/>
  <c r="K46" i="6"/>
  <c r="K44" i="6"/>
  <c r="K42" i="6"/>
  <c r="K41" i="6"/>
  <c r="K40" i="6"/>
  <c r="K39" i="6"/>
  <c r="K38" i="6"/>
  <c r="K37" i="6"/>
  <c r="K36" i="6"/>
  <c r="K35" i="6"/>
  <c r="K34" i="6"/>
  <c r="K112" i="6"/>
  <c r="K110" i="6"/>
  <c r="K97" i="6"/>
  <c r="K93" i="6"/>
  <c r="K89" i="6"/>
  <c r="K85" i="6"/>
  <c r="K81" i="6"/>
  <c r="K77" i="6"/>
  <c r="K73" i="6"/>
  <c r="K69" i="6"/>
  <c r="K65" i="6"/>
  <c r="K61" i="6"/>
  <c r="K57" i="6"/>
  <c r="K53" i="6"/>
  <c r="K49" i="6"/>
  <c r="K45" i="6"/>
  <c r="K43" i="6"/>
  <c r="K59" i="6"/>
  <c r="K87" i="6"/>
  <c r="K95" i="6"/>
  <c r="K118" i="6"/>
  <c r="K63" i="6"/>
  <c r="K79" i="6"/>
  <c r="K104" i="6"/>
  <c r="K51" i="6"/>
  <c r="K67" i="6"/>
  <c r="K83" i="6"/>
  <c r="K91" i="6"/>
  <c r="K99" i="6"/>
  <c r="K102" i="6"/>
  <c r="K75" i="6"/>
  <c r="K47" i="6"/>
  <c r="Q7" i="6"/>
  <c r="L10" i="6"/>
  <c r="K55" i="6"/>
  <c r="K71" i="6"/>
  <c r="K120" i="6"/>
  <c r="U33" i="8" l="1"/>
  <c r="U34" i="8" s="1"/>
  <c r="V22" i="9"/>
  <c r="V23" i="9" s="1"/>
  <c r="V24" i="9" s="1"/>
  <c r="V25" i="8"/>
  <c r="V19" i="8"/>
  <c r="W18" i="8"/>
  <c r="V27" i="17"/>
  <c r="V27" i="8" s="1"/>
  <c r="V29" i="8" s="1"/>
  <c r="V31" i="8" s="1"/>
  <c r="W23" i="17" s="1"/>
  <c r="W24" i="17" s="1"/>
  <c r="K10" i="6"/>
  <c r="Q129" i="6"/>
  <c r="Q128" i="6"/>
  <c r="Q127" i="6"/>
  <c r="Q126" i="6"/>
  <c r="Q125" i="6"/>
  <c r="Q124" i="6"/>
  <c r="Q123" i="6"/>
  <c r="Q122" i="6"/>
  <c r="Q152" i="6"/>
  <c r="Q150" i="6"/>
  <c r="Q148" i="6"/>
  <c r="Q146" i="6"/>
  <c r="Q144" i="6"/>
  <c r="Q142" i="6"/>
  <c r="Q140" i="6"/>
  <c r="Q138" i="6"/>
  <c r="Q136" i="6"/>
  <c r="Q134" i="6"/>
  <c r="Q132" i="6"/>
  <c r="Q130" i="6"/>
  <c r="Q151" i="6"/>
  <c r="Q143" i="6"/>
  <c r="Q135" i="6"/>
  <c r="Q120" i="6"/>
  <c r="Q119" i="6"/>
  <c r="Q112" i="6"/>
  <c r="Q111" i="6"/>
  <c r="Q104" i="6"/>
  <c r="Q103" i="6"/>
  <c r="Q99" i="6"/>
  <c r="Q97" i="6"/>
  <c r="Q95" i="6"/>
  <c r="Q93" i="6"/>
  <c r="Q91" i="6"/>
  <c r="Q89" i="6"/>
  <c r="Q87" i="6"/>
  <c r="Q85" i="6"/>
  <c r="Q83" i="6"/>
  <c r="Q81" i="6"/>
  <c r="Q79" i="6"/>
  <c r="Q77" i="6"/>
  <c r="Q75" i="6"/>
  <c r="Q73" i="6"/>
  <c r="Q71" i="6"/>
  <c r="Q69" i="6"/>
  <c r="Q67" i="6"/>
  <c r="Q65" i="6"/>
  <c r="Q63" i="6"/>
  <c r="Q61" i="6"/>
  <c r="Q59" i="6"/>
  <c r="Q57" i="6"/>
  <c r="Q55" i="6"/>
  <c r="Q53" i="6"/>
  <c r="Q51" i="6"/>
  <c r="Q49" i="6"/>
  <c r="Q47" i="6"/>
  <c r="Q45" i="6"/>
  <c r="Q43" i="6"/>
  <c r="Q153" i="6"/>
  <c r="Q145" i="6"/>
  <c r="Q137" i="6"/>
  <c r="Q118" i="6"/>
  <c r="Q117" i="6"/>
  <c r="Q110" i="6"/>
  <c r="Q109" i="6"/>
  <c r="Q102" i="6"/>
  <c r="Q101" i="6"/>
  <c r="Q41" i="6"/>
  <c r="Q40" i="6"/>
  <c r="Q39" i="6"/>
  <c r="Q38" i="6"/>
  <c r="Q37" i="6"/>
  <c r="Q36" i="6"/>
  <c r="Q35" i="6"/>
  <c r="Q34" i="6"/>
  <c r="Q33" i="6"/>
  <c r="Q32" i="6"/>
  <c r="Q147" i="6"/>
  <c r="Q131" i="6"/>
  <c r="Q115" i="6"/>
  <c r="Q108" i="6"/>
  <c r="Q98" i="6"/>
  <c r="Q94" i="6"/>
  <c r="Q90" i="6"/>
  <c r="Q86" i="6"/>
  <c r="Q141" i="6"/>
  <c r="Q113" i="6"/>
  <c r="Q106" i="6"/>
  <c r="Q31" i="6"/>
  <c r="Q29" i="6"/>
  <c r="Q27" i="6"/>
  <c r="Q25" i="6"/>
  <c r="Q139" i="6"/>
  <c r="Q116" i="6"/>
  <c r="Q96" i="6"/>
  <c r="Q88" i="6"/>
  <c r="Q74" i="6"/>
  <c r="Q72" i="6"/>
  <c r="Q58" i="6"/>
  <c r="Q56" i="6"/>
  <c r="Q42" i="6"/>
  <c r="Q26" i="6"/>
  <c r="Q12" i="6"/>
  <c r="Q11" i="6"/>
  <c r="Q18" i="6"/>
  <c r="Q14" i="6"/>
  <c r="Q80" i="6"/>
  <c r="Q64" i="6"/>
  <c r="Q50" i="6"/>
  <c r="Q10" i="6"/>
  <c r="Q133" i="6"/>
  <c r="Q78" i="6"/>
  <c r="Q60" i="6"/>
  <c r="Q44" i="6"/>
  <c r="Q28" i="6"/>
  <c r="Q23" i="6"/>
  <c r="Q21" i="6"/>
  <c r="Q17" i="6"/>
  <c r="Q149" i="6"/>
  <c r="Q105" i="6"/>
  <c r="Q70" i="6"/>
  <c r="Q68" i="6"/>
  <c r="Q54" i="6"/>
  <c r="Q52" i="6"/>
  <c r="Q24" i="6"/>
  <c r="Q22" i="6"/>
  <c r="Q20" i="6"/>
  <c r="Q16" i="6"/>
  <c r="Q13" i="6"/>
  <c r="Q107" i="6"/>
  <c r="Q100" i="6"/>
  <c r="Q92" i="6"/>
  <c r="Q84" i="6"/>
  <c r="Q82" i="6"/>
  <c r="Q66" i="6"/>
  <c r="Q48" i="6"/>
  <c r="Q30" i="6"/>
  <c r="Q121" i="6"/>
  <c r="Q114" i="6"/>
  <c r="Q76" i="6"/>
  <c r="Q62" i="6"/>
  <c r="Q46" i="6"/>
  <c r="Q19" i="6"/>
  <c r="Q15" i="6"/>
  <c r="W22" i="9" l="1"/>
  <c r="W23" i="9" s="1"/>
  <c r="W24" i="9" s="1"/>
  <c r="V33" i="8"/>
  <c r="V34" i="8" s="1"/>
  <c r="W25" i="8"/>
  <c r="W19" i="8"/>
  <c r="W27" i="17"/>
  <c r="W27" i="8" s="1"/>
  <c r="W29" i="8" s="1"/>
  <c r="W31" i="8" s="1"/>
  <c r="X22" i="9" s="1"/>
  <c r="X23" i="9" s="1"/>
  <c r="D30" i="9" s="1"/>
  <c r="M10" i="6"/>
  <c r="Q154" i="6"/>
  <c r="G12" i="6" s="1"/>
  <c r="S10" i="6"/>
  <c r="X24" i="9" l="1"/>
  <c r="D31" i="9" s="1"/>
  <c r="X23" i="17"/>
  <c r="X24" i="17" s="1"/>
  <c r="X27" i="17" s="1"/>
  <c r="D29" i="9"/>
  <c r="W33" i="8"/>
  <c r="W34" i="8" s="1"/>
  <c r="T10" i="6"/>
  <c r="N10" i="6"/>
  <c r="L11" i="6" l="1"/>
  <c r="R11" i="6"/>
  <c r="S11" i="6" l="1"/>
  <c r="K11" i="6"/>
  <c r="M11" i="6" l="1"/>
  <c r="T11" i="6"/>
  <c r="R12" i="6" l="1"/>
  <c r="N11" i="6"/>
  <c r="L12" i="6" l="1"/>
  <c r="S12" i="6"/>
  <c r="T12" i="6" l="1"/>
  <c r="K12" i="6"/>
  <c r="R13" i="6" l="1"/>
  <c r="M12" i="6"/>
  <c r="N12" i="6" l="1"/>
  <c r="S13" i="6"/>
  <c r="T13" i="6" l="1"/>
  <c r="L13" i="6"/>
  <c r="K13" i="6" l="1"/>
  <c r="R14" i="6"/>
  <c r="S14" i="6" s="1"/>
  <c r="T14" i="6"/>
  <c r="R15" i="6" l="1"/>
  <c r="S15" i="6" s="1"/>
  <c r="T15" i="6" s="1"/>
  <c r="M13" i="6"/>
  <c r="N13" i="6" l="1"/>
  <c r="R16" i="6"/>
  <c r="S16" i="6" s="1"/>
  <c r="T16" i="6" s="1"/>
  <c r="R17" i="6" l="1"/>
  <c r="S17" i="6" s="1"/>
  <c r="T17" i="6"/>
  <c r="L14" i="6"/>
  <c r="K14" i="6" l="1"/>
  <c r="R18" i="6"/>
  <c r="S18" i="6" s="1"/>
  <c r="T18" i="6" s="1"/>
  <c r="R19" i="6" l="1"/>
  <c r="S19" i="6" s="1"/>
  <c r="T19" i="6" s="1"/>
  <c r="M14" i="6"/>
  <c r="N14" i="6" l="1"/>
  <c r="R20" i="6"/>
  <c r="S20" i="6" s="1"/>
  <c r="T20" i="6" s="1"/>
  <c r="R21" i="6" l="1"/>
  <c r="S21" i="6" s="1"/>
  <c r="T21" i="6" s="1"/>
  <c r="L15" i="6"/>
  <c r="K15" i="6" s="1"/>
  <c r="M15" i="6" s="1"/>
  <c r="N15" i="6" s="1"/>
  <c r="L16" i="6" l="1"/>
  <c r="K16" i="6" s="1"/>
  <c r="M16" i="6" s="1"/>
  <c r="N16" i="6" s="1"/>
  <c r="R22" i="6"/>
  <c r="S22" i="6" s="1"/>
  <c r="T22" i="6" s="1"/>
  <c r="R23" i="6" l="1"/>
  <c r="S23" i="6" s="1"/>
  <c r="T23" i="6" s="1"/>
  <c r="L17" i="6"/>
  <c r="K17" i="6" s="1"/>
  <c r="M17" i="6" s="1"/>
  <c r="N17" i="6" s="1"/>
  <c r="L18" i="6" l="1"/>
  <c r="K18" i="6" s="1"/>
  <c r="M18" i="6" s="1"/>
  <c r="N18" i="6" s="1"/>
  <c r="R24" i="6"/>
  <c r="S24" i="6" s="1"/>
  <c r="T24" i="6" s="1"/>
  <c r="R25" i="6" l="1"/>
  <c r="S25" i="6" s="1"/>
  <c r="T25" i="6" s="1"/>
  <c r="L19" i="6"/>
  <c r="K19" i="6" s="1"/>
  <c r="M19" i="6" s="1"/>
  <c r="N19" i="6" s="1"/>
  <c r="R26" i="6" l="1"/>
  <c r="S26" i="6" s="1"/>
  <c r="T26" i="6"/>
  <c r="L20" i="6"/>
  <c r="K20" i="6" s="1"/>
  <c r="M20" i="6" s="1"/>
  <c r="N20" i="6" s="1"/>
  <c r="L21" i="6" l="1"/>
  <c r="K21" i="6" s="1"/>
  <c r="M21" i="6" s="1"/>
  <c r="N21" i="6" s="1"/>
  <c r="R27" i="6"/>
  <c r="S27" i="6" s="1"/>
  <c r="T27" i="6" s="1"/>
  <c r="R28" i="6" l="1"/>
  <c r="S28" i="6" s="1"/>
  <c r="T28" i="6" s="1"/>
  <c r="L22" i="6"/>
  <c r="K22" i="6" s="1"/>
  <c r="M22" i="6" s="1"/>
  <c r="N22" i="6" s="1"/>
  <c r="R29" i="6" l="1"/>
  <c r="S29" i="6" s="1"/>
  <c r="T29" i="6" s="1"/>
  <c r="L23" i="6"/>
  <c r="K23" i="6" s="1"/>
  <c r="M23" i="6" s="1"/>
  <c r="N23" i="6" s="1"/>
  <c r="L24" i="6" l="1"/>
  <c r="K24" i="6" s="1"/>
  <c r="M24" i="6" s="1"/>
  <c r="N24" i="6" s="1"/>
  <c r="R30" i="6"/>
  <c r="S30" i="6" s="1"/>
  <c r="T30" i="6" s="1"/>
  <c r="R31" i="6" l="1"/>
  <c r="S31" i="6" s="1"/>
  <c r="T31" i="6" s="1"/>
  <c r="L25" i="6"/>
  <c r="K25" i="6" s="1"/>
  <c r="M25" i="6" s="1"/>
  <c r="N25" i="6" s="1"/>
  <c r="L26" i="6" l="1"/>
  <c r="K26" i="6" s="1"/>
  <c r="M26" i="6" s="1"/>
  <c r="N26" i="6" s="1"/>
  <c r="R32" i="6"/>
  <c r="S32" i="6" s="1"/>
  <c r="T32" i="6" s="1"/>
  <c r="R33" i="6" l="1"/>
  <c r="S33" i="6" s="1"/>
  <c r="T33" i="6" s="1"/>
  <c r="L27" i="6"/>
  <c r="K27" i="6" s="1"/>
  <c r="M27" i="6" s="1"/>
  <c r="N27" i="6" s="1"/>
  <c r="L28" i="6" l="1"/>
  <c r="K28" i="6" s="1"/>
  <c r="M28" i="6" s="1"/>
  <c r="N28" i="6" s="1"/>
  <c r="R34" i="6"/>
  <c r="S34" i="6" s="1"/>
  <c r="T34" i="6" s="1"/>
  <c r="R35" i="6" l="1"/>
  <c r="S35" i="6" s="1"/>
  <c r="T35" i="6" s="1"/>
  <c r="L29" i="6"/>
  <c r="K29" i="6" s="1"/>
  <c r="M29" i="6" s="1"/>
  <c r="N29" i="6" s="1"/>
  <c r="L30" i="6" l="1"/>
  <c r="K30" i="6" s="1"/>
  <c r="M30" i="6" s="1"/>
  <c r="N30" i="6" s="1"/>
  <c r="R36" i="6"/>
  <c r="S36" i="6" s="1"/>
  <c r="T36" i="6" s="1"/>
  <c r="R37" i="6" l="1"/>
  <c r="S37" i="6" s="1"/>
  <c r="T37" i="6" s="1"/>
  <c r="L31" i="6"/>
  <c r="K31" i="6" s="1"/>
  <c r="M31" i="6" s="1"/>
  <c r="N31" i="6" s="1"/>
  <c r="L32" i="6" l="1"/>
  <c r="K32" i="6" s="1"/>
  <c r="M32" i="6" s="1"/>
  <c r="N32" i="6" s="1"/>
  <c r="R38" i="6"/>
  <c r="S38" i="6" s="1"/>
  <c r="T38" i="6" s="1"/>
  <c r="L33" i="6" l="1"/>
  <c r="K33" i="6" s="1"/>
  <c r="R39" i="6"/>
  <c r="S39" i="6" s="1"/>
  <c r="T39" i="6" s="1"/>
  <c r="R40" i="6" l="1"/>
  <c r="S40" i="6" s="1"/>
  <c r="T40" i="6" s="1"/>
  <c r="M33" i="6"/>
  <c r="N33" i="6" s="1"/>
  <c r="K130" i="6"/>
  <c r="F12" i="6" s="1"/>
  <c r="R41" i="6" l="1"/>
  <c r="S41" i="6" s="1"/>
  <c r="T41" i="6" s="1"/>
  <c r="L34" i="6"/>
  <c r="M34" i="6" s="1"/>
  <c r="N34" i="6" s="1"/>
  <c r="L35" i="6" l="1"/>
  <c r="M35" i="6" s="1"/>
  <c r="N35" i="6" s="1"/>
  <c r="R42" i="6"/>
  <c r="S42" i="6" s="1"/>
  <c r="T42" i="6" s="1"/>
  <c r="R43" i="6" l="1"/>
  <c r="S43" i="6" s="1"/>
  <c r="T43" i="6" s="1"/>
  <c r="L36" i="6"/>
  <c r="M36" i="6" s="1"/>
  <c r="N36" i="6" s="1"/>
  <c r="L37" i="6" l="1"/>
  <c r="M37" i="6" s="1"/>
  <c r="N37" i="6" s="1"/>
  <c r="R44" i="6"/>
  <c r="S44" i="6" s="1"/>
  <c r="T44" i="6" s="1"/>
  <c r="R45" i="6" l="1"/>
  <c r="S45" i="6" s="1"/>
  <c r="T45" i="6" s="1"/>
  <c r="L38" i="6"/>
  <c r="M38" i="6" s="1"/>
  <c r="N38" i="6" s="1"/>
  <c r="L39" i="6" l="1"/>
  <c r="M39" i="6" s="1"/>
  <c r="N39" i="6" s="1"/>
  <c r="R46" i="6"/>
  <c r="S46" i="6" s="1"/>
  <c r="T46" i="6" s="1"/>
  <c r="R47" i="6" l="1"/>
  <c r="S47" i="6" s="1"/>
  <c r="T47" i="6" s="1"/>
  <c r="L40" i="6"/>
  <c r="M40" i="6" s="1"/>
  <c r="N40" i="6" s="1"/>
  <c r="L41" i="6" l="1"/>
  <c r="M41" i="6" s="1"/>
  <c r="N41" i="6" s="1"/>
  <c r="R48" i="6"/>
  <c r="S48" i="6" s="1"/>
  <c r="T48" i="6" s="1"/>
  <c r="R49" i="6" l="1"/>
  <c r="S49" i="6" s="1"/>
  <c r="T49" i="6" s="1"/>
  <c r="L42" i="6"/>
  <c r="M42" i="6" s="1"/>
  <c r="N42" i="6" s="1"/>
  <c r="L43" i="6" l="1"/>
  <c r="M43" i="6" s="1"/>
  <c r="N43" i="6" s="1"/>
  <c r="R50" i="6"/>
  <c r="S50" i="6" s="1"/>
  <c r="T50" i="6" s="1"/>
  <c r="R51" i="6" l="1"/>
  <c r="S51" i="6" s="1"/>
  <c r="T51" i="6" s="1"/>
  <c r="L44" i="6"/>
  <c r="M44" i="6" s="1"/>
  <c r="N44" i="6" s="1"/>
  <c r="L45" i="6" l="1"/>
  <c r="M45" i="6" s="1"/>
  <c r="N45" i="6" s="1"/>
  <c r="R52" i="6"/>
  <c r="S52" i="6" s="1"/>
  <c r="T52" i="6" s="1"/>
  <c r="R53" i="6" l="1"/>
  <c r="S53" i="6" s="1"/>
  <c r="T53" i="6" s="1"/>
  <c r="L46" i="6"/>
  <c r="M46" i="6" s="1"/>
  <c r="N46" i="6" s="1"/>
  <c r="L47" i="6" l="1"/>
  <c r="M47" i="6" s="1"/>
  <c r="N47" i="6" s="1"/>
  <c r="R54" i="6"/>
  <c r="S54" i="6" s="1"/>
  <c r="T54" i="6" s="1"/>
  <c r="R55" i="6" l="1"/>
  <c r="S55" i="6" s="1"/>
  <c r="T55" i="6" s="1"/>
  <c r="L48" i="6"/>
  <c r="M48" i="6" s="1"/>
  <c r="N48" i="6" s="1"/>
  <c r="L49" i="6" l="1"/>
  <c r="M49" i="6" s="1"/>
  <c r="N49" i="6" s="1"/>
  <c r="R56" i="6"/>
  <c r="S56" i="6" s="1"/>
  <c r="T56" i="6" s="1"/>
  <c r="R57" i="6" l="1"/>
  <c r="S57" i="6" s="1"/>
  <c r="T57" i="6" s="1"/>
  <c r="L50" i="6"/>
  <c r="M50" i="6" s="1"/>
  <c r="N50" i="6" s="1"/>
  <c r="L51" i="6" l="1"/>
  <c r="M51" i="6" s="1"/>
  <c r="N51" i="6" s="1"/>
  <c r="R58" i="6"/>
  <c r="S58" i="6" s="1"/>
  <c r="T58" i="6" s="1"/>
  <c r="R59" i="6" l="1"/>
  <c r="S59" i="6" s="1"/>
  <c r="T59" i="6" s="1"/>
  <c r="L52" i="6"/>
  <c r="M52" i="6" s="1"/>
  <c r="N52" i="6" s="1"/>
  <c r="L53" i="6" l="1"/>
  <c r="M53" i="6" s="1"/>
  <c r="N53" i="6" s="1"/>
  <c r="R60" i="6"/>
  <c r="S60" i="6" s="1"/>
  <c r="T60" i="6" s="1"/>
  <c r="R61" i="6" l="1"/>
  <c r="S61" i="6" s="1"/>
  <c r="T61" i="6" s="1"/>
  <c r="L54" i="6"/>
  <c r="M54" i="6" s="1"/>
  <c r="N54" i="6" s="1"/>
  <c r="L55" i="6" l="1"/>
  <c r="M55" i="6" s="1"/>
  <c r="N55" i="6" s="1"/>
  <c r="R62" i="6"/>
  <c r="S62" i="6" s="1"/>
  <c r="T62" i="6" s="1"/>
  <c r="R63" i="6" l="1"/>
  <c r="S63" i="6" s="1"/>
  <c r="T63" i="6" s="1"/>
  <c r="L56" i="6"/>
  <c r="M56" i="6" s="1"/>
  <c r="N56" i="6" s="1"/>
  <c r="L57" i="6" l="1"/>
  <c r="M57" i="6" s="1"/>
  <c r="N57" i="6" s="1"/>
  <c r="R64" i="6"/>
  <c r="S64" i="6" s="1"/>
  <c r="T64" i="6" s="1"/>
  <c r="R65" i="6" l="1"/>
  <c r="S65" i="6" s="1"/>
  <c r="T65" i="6" s="1"/>
  <c r="L58" i="6"/>
  <c r="M58" i="6" s="1"/>
  <c r="N58" i="6" s="1"/>
  <c r="L59" i="6" l="1"/>
  <c r="M59" i="6" s="1"/>
  <c r="N59" i="6" s="1"/>
  <c r="R66" i="6"/>
  <c r="S66" i="6" s="1"/>
  <c r="T66" i="6" s="1"/>
  <c r="R67" i="6" l="1"/>
  <c r="S67" i="6" s="1"/>
  <c r="T67" i="6" s="1"/>
  <c r="L60" i="6"/>
  <c r="M60" i="6" s="1"/>
  <c r="N60" i="6" s="1"/>
  <c r="L61" i="6" l="1"/>
  <c r="M61" i="6" s="1"/>
  <c r="N61" i="6" s="1"/>
  <c r="R68" i="6"/>
  <c r="S68" i="6" s="1"/>
  <c r="T68" i="6" s="1"/>
  <c r="R69" i="6" l="1"/>
  <c r="S69" i="6" s="1"/>
  <c r="T69" i="6" s="1"/>
  <c r="L62" i="6"/>
  <c r="M62" i="6" s="1"/>
  <c r="N62" i="6" s="1"/>
  <c r="L63" i="6" l="1"/>
  <c r="M63" i="6" s="1"/>
  <c r="N63" i="6" s="1"/>
  <c r="R70" i="6"/>
  <c r="S70" i="6" s="1"/>
  <c r="T70" i="6" s="1"/>
  <c r="R71" i="6" l="1"/>
  <c r="S71" i="6" s="1"/>
  <c r="T71" i="6" s="1"/>
  <c r="L64" i="6"/>
  <c r="M64" i="6" s="1"/>
  <c r="N64" i="6" s="1"/>
  <c r="L65" i="6" l="1"/>
  <c r="M65" i="6" s="1"/>
  <c r="N65" i="6" s="1"/>
  <c r="R72" i="6"/>
  <c r="S72" i="6" s="1"/>
  <c r="T72" i="6" s="1"/>
  <c r="R73" i="6" l="1"/>
  <c r="S73" i="6" s="1"/>
  <c r="T73" i="6" s="1"/>
  <c r="L66" i="6"/>
  <c r="M66" i="6" s="1"/>
  <c r="N66" i="6" s="1"/>
  <c r="L67" i="6" l="1"/>
  <c r="M67" i="6" s="1"/>
  <c r="N67" i="6" s="1"/>
  <c r="R74" i="6"/>
  <c r="S74" i="6" s="1"/>
  <c r="T74" i="6" s="1"/>
  <c r="R75" i="6" l="1"/>
  <c r="S75" i="6" s="1"/>
  <c r="T75" i="6" s="1"/>
  <c r="L68" i="6"/>
  <c r="M68" i="6" s="1"/>
  <c r="N68" i="6" s="1"/>
  <c r="L69" i="6" l="1"/>
  <c r="M69" i="6" s="1"/>
  <c r="N69" i="6" s="1"/>
  <c r="R76" i="6"/>
  <c r="S76" i="6" s="1"/>
  <c r="T76" i="6" s="1"/>
  <c r="R77" i="6" l="1"/>
  <c r="S77" i="6" s="1"/>
  <c r="T77" i="6" s="1"/>
  <c r="L70" i="6"/>
  <c r="M70" i="6" s="1"/>
  <c r="N70" i="6" s="1"/>
  <c r="L71" i="6" l="1"/>
  <c r="M71" i="6" s="1"/>
  <c r="N71" i="6" s="1"/>
  <c r="R78" i="6"/>
  <c r="S78" i="6" s="1"/>
  <c r="T78" i="6" s="1"/>
  <c r="R79" i="6" l="1"/>
  <c r="S79" i="6" s="1"/>
  <c r="T79" i="6" s="1"/>
  <c r="L72" i="6"/>
  <c r="M72" i="6" s="1"/>
  <c r="N72" i="6" s="1"/>
  <c r="L73" i="6" l="1"/>
  <c r="M73" i="6" s="1"/>
  <c r="N73" i="6" s="1"/>
  <c r="R80" i="6"/>
  <c r="S80" i="6" s="1"/>
  <c r="T80" i="6" s="1"/>
  <c r="R81" i="6" l="1"/>
  <c r="S81" i="6" s="1"/>
  <c r="T81" i="6" s="1"/>
  <c r="L74" i="6"/>
  <c r="M74" i="6" s="1"/>
  <c r="N74" i="6" s="1"/>
  <c r="L75" i="6" l="1"/>
  <c r="M75" i="6" s="1"/>
  <c r="N75" i="6" s="1"/>
  <c r="R82" i="6"/>
  <c r="S82" i="6" s="1"/>
  <c r="T82" i="6" s="1"/>
  <c r="R83" i="6" l="1"/>
  <c r="S83" i="6" s="1"/>
  <c r="T83" i="6" s="1"/>
  <c r="L76" i="6"/>
  <c r="M76" i="6" s="1"/>
  <c r="N76" i="6" s="1"/>
  <c r="L77" i="6" l="1"/>
  <c r="M77" i="6" s="1"/>
  <c r="N77" i="6" s="1"/>
  <c r="R84" i="6"/>
  <c r="S84" i="6" s="1"/>
  <c r="T84" i="6" s="1"/>
  <c r="R85" i="6" l="1"/>
  <c r="S85" i="6" s="1"/>
  <c r="T85" i="6" s="1"/>
  <c r="L78" i="6"/>
  <c r="M78" i="6" s="1"/>
  <c r="N78" i="6" s="1"/>
  <c r="L79" i="6" l="1"/>
  <c r="M79" i="6" s="1"/>
  <c r="N79" i="6" s="1"/>
  <c r="R86" i="6"/>
  <c r="S86" i="6" s="1"/>
  <c r="T86" i="6" s="1"/>
  <c r="R87" i="6" l="1"/>
  <c r="S87" i="6" s="1"/>
  <c r="T87" i="6" s="1"/>
  <c r="L80" i="6"/>
  <c r="M80" i="6" s="1"/>
  <c r="N80" i="6" s="1"/>
  <c r="L81" i="6" l="1"/>
  <c r="M81" i="6" s="1"/>
  <c r="N81" i="6" s="1"/>
  <c r="R88" i="6"/>
  <c r="S88" i="6" s="1"/>
  <c r="T88" i="6" s="1"/>
  <c r="R89" i="6" l="1"/>
  <c r="S89" i="6" s="1"/>
  <c r="T89" i="6" s="1"/>
  <c r="L82" i="6"/>
  <c r="M82" i="6" s="1"/>
  <c r="N82" i="6" s="1"/>
  <c r="L83" i="6" l="1"/>
  <c r="M83" i="6" s="1"/>
  <c r="N83" i="6" s="1"/>
  <c r="R90" i="6"/>
  <c r="S90" i="6" s="1"/>
  <c r="T90" i="6" s="1"/>
  <c r="R91" i="6" l="1"/>
  <c r="S91" i="6" s="1"/>
  <c r="T91" i="6" s="1"/>
  <c r="L84" i="6"/>
  <c r="M84" i="6" s="1"/>
  <c r="N84" i="6" s="1"/>
  <c r="L85" i="6" l="1"/>
  <c r="M85" i="6" s="1"/>
  <c r="N85" i="6" s="1"/>
  <c r="R92" i="6"/>
  <c r="S92" i="6" s="1"/>
  <c r="T92" i="6" s="1"/>
  <c r="R93" i="6" l="1"/>
  <c r="S93" i="6" s="1"/>
  <c r="T93" i="6" s="1"/>
  <c r="L86" i="6"/>
  <c r="M86" i="6" s="1"/>
  <c r="N86" i="6" s="1"/>
  <c r="L87" i="6" l="1"/>
  <c r="M87" i="6" s="1"/>
  <c r="N87" i="6" s="1"/>
  <c r="R94" i="6"/>
  <c r="S94" i="6" s="1"/>
  <c r="T94" i="6" s="1"/>
  <c r="R95" i="6" l="1"/>
  <c r="S95" i="6" s="1"/>
  <c r="T95" i="6" s="1"/>
  <c r="L88" i="6"/>
  <c r="M88" i="6" s="1"/>
  <c r="N88" i="6" s="1"/>
  <c r="L89" i="6" l="1"/>
  <c r="M89" i="6" s="1"/>
  <c r="N89" i="6" s="1"/>
  <c r="R96" i="6"/>
  <c r="S96" i="6" s="1"/>
  <c r="T96" i="6" s="1"/>
  <c r="R97" i="6" l="1"/>
  <c r="S97" i="6" s="1"/>
  <c r="T97" i="6" s="1"/>
  <c r="L90" i="6"/>
  <c r="M90" i="6" s="1"/>
  <c r="N90" i="6" s="1"/>
  <c r="L91" i="6" l="1"/>
  <c r="M91" i="6" s="1"/>
  <c r="N91" i="6" s="1"/>
  <c r="R98" i="6"/>
  <c r="S98" i="6" s="1"/>
  <c r="T98" i="6" s="1"/>
  <c r="R99" i="6" l="1"/>
  <c r="S99" i="6" s="1"/>
  <c r="T99" i="6" s="1"/>
  <c r="L92" i="6"/>
  <c r="M92" i="6" s="1"/>
  <c r="N92" i="6" s="1"/>
  <c r="L93" i="6" l="1"/>
  <c r="M93" i="6" s="1"/>
  <c r="N93" i="6" s="1"/>
  <c r="R100" i="6"/>
  <c r="S100" i="6" s="1"/>
  <c r="T100" i="6" s="1"/>
  <c r="R101" i="6" l="1"/>
  <c r="S101" i="6" s="1"/>
  <c r="T101" i="6" s="1"/>
  <c r="L94" i="6"/>
  <c r="M94" i="6" s="1"/>
  <c r="N94" i="6" s="1"/>
  <c r="L95" i="6" l="1"/>
  <c r="M95" i="6" s="1"/>
  <c r="N95" i="6" s="1"/>
  <c r="R102" i="6"/>
  <c r="S102" i="6" s="1"/>
  <c r="T102" i="6" s="1"/>
  <c r="L96" i="6" l="1"/>
  <c r="M96" i="6" s="1"/>
  <c r="N96" i="6" s="1"/>
  <c r="R103" i="6"/>
  <c r="S103" i="6" s="1"/>
  <c r="T103" i="6" s="1"/>
  <c r="R104" i="6" l="1"/>
  <c r="S104" i="6" s="1"/>
  <c r="T104" i="6" s="1"/>
  <c r="L97" i="6"/>
  <c r="M97" i="6" s="1"/>
  <c r="N97" i="6" s="1"/>
  <c r="L98" i="6" l="1"/>
  <c r="M98" i="6" s="1"/>
  <c r="N98" i="6" s="1"/>
  <c r="R105" i="6"/>
  <c r="S105" i="6" s="1"/>
  <c r="T105" i="6" s="1"/>
  <c r="R106" i="6" l="1"/>
  <c r="S106" i="6" s="1"/>
  <c r="T106" i="6" s="1"/>
  <c r="L99" i="6"/>
  <c r="M99" i="6" s="1"/>
  <c r="N99" i="6" s="1"/>
  <c r="L100" i="6" l="1"/>
  <c r="M100" i="6" s="1"/>
  <c r="N100" i="6" s="1"/>
  <c r="R107" i="6"/>
  <c r="S107" i="6" s="1"/>
  <c r="T107" i="6" s="1"/>
  <c r="L101" i="6" l="1"/>
  <c r="M101" i="6" s="1"/>
  <c r="N101" i="6" s="1"/>
  <c r="R108" i="6"/>
  <c r="S108" i="6" s="1"/>
  <c r="T108" i="6" s="1"/>
  <c r="R109" i="6" l="1"/>
  <c r="S109" i="6" s="1"/>
  <c r="T109" i="6" s="1"/>
  <c r="L102" i="6"/>
  <c r="M102" i="6" s="1"/>
  <c r="N102" i="6" s="1"/>
  <c r="L103" i="6" l="1"/>
  <c r="M103" i="6" s="1"/>
  <c r="N103" i="6" s="1"/>
  <c r="R110" i="6"/>
  <c r="S110" i="6" s="1"/>
  <c r="T110" i="6"/>
  <c r="R111" i="6" l="1"/>
  <c r="S111" i="6" s="1"/>
  <c r="T111" i="6" s="1"/>
  <c r="L104" i="6"/>
  <c r="M104" i="6" s="1"/>
  <c r="N104" i="6" s="1"/>
  <c r="L105" i="6" l="1"/>
  <c r="M105" i="6" s="1"/>
  <c r="N105" i="6" s="1"/>
  <c r="R112" i="6"/>
  <c r="S112" i="6" s="1"/>
  <c r="T112" i="6" s="1"/>
  <c r="R113" i="6" l="1"/>
  <c r="S113" i="6" s="1"/>
  <c r="T113" i="6" s="1"/>
  <c r="L106" i="6"/>
  <c r="M106" i="6" s="1"/>
  <c r="N106" i="6"/>
  <c r="L107" i="6" l="1"/>
  <c r="M107" i="6" s="1"/>
  <c r="N107" i="6" s="1"/>
  <c r="R114" i="6"/>
  <c r="S114" i="6" s="1"/>
  <c r="T114" i="6" s="1"/>
  <c r="R115" i="6" l="1"/>
  <c r="S115" i="6" s="1"/>
  <c r="T115" i="6" s="1"/>
  <c r="L108" i="6"/>
  <c r="M108" i="6" s="1"/>
  <c r="N108" i="6" s="1"/>
  <c r="L109" i="6" l="1"/>
  <c r="M109" i="6" s="1"/>
  <c r="N109" i="6" s="1"/>
  <c r="R116" i="6"/>
  <c r="S116" i="6" s="1"/>
  <c r="T116" i="6" s="1"/>
  <c r="R117" i="6" l="1"/>
  <c r="S117" i="6" s="1"/>
  <c r="T117" i="6" s="1"/>
  <c r="L110" i="6"/>
  <c r="M110" i="6" s="1"/>
  <c r="N110" i="6" s="1"/>
  <c r="L111" i="6" l="1"/>
  <c r="M111" i="6" s="1"/>
  <c r="N111" i="6" s="1"/>
  <c r="R118" i="6"/>
  <c r="S118" i="6" s="1"/>
  <c r="T118" i="6" s="1"/>
  <c r="L112" i="6" l="1"/>
  <c r="M112" i="6" s="1"/>
  <c r="N112" i="6" s="1"/>
  <c r="R119" i="6"/>
  <c r="S119" i="6" s="1"/>
  <c r="T119" i="6" s="1"/>
  <c r="R120" i="6" l="1"/>
  <c r="S120" i="6" s="1"/>
  <c r="T120" i="6" s="1"/>
  <c r="L113" i="6"/>
  <c r="M113" i="6" s="1"/>
  <c r="N113" i="6" s="1"/>
  <c r="L114" i="6" l="1"/>
  <c r="M114" i="6" s="1"/>
  <c r="N114" i="6" s="1"/>
  <c r="R121" i="6"/>
  <c r="S121" i="6" s="1"/>
  <c r="T121" i="6" s="1"/>
  <c r="R122" i="6" l="1"/>
  <c r="S122" i="6" s="1"/>
  <c r="T122" i="6" s="1"/>
  <c r="L115" i="6"/>
  <c r="M115" i="6" s="1"/>
  <c r="N115" i="6" s="1"/>
  <c r="L116" i="6" l="1"/>
  <c r="M116" i="6" s="1"/>
  <c r="N116" i="6" s="1"/>
  <c r="R123" i="6"/>
  <c r="S123" i="6" s="1"/>
  <c r="T123" i="6" s="1"/>
  <c r="R124" i="6" l="1"/>
  <c r="S124" i="6" s="1"/>
  <c r="T124" i="6" s="1"/>
  <c r="L117" i="6"/>
  <c r="M117" i="6" s="1"/>
  <c r="N117" i="6" s="1"/>
  <c r="L118" i="6" l="1"/>
  <c r="M118" i="6" s="1"/>
  <c r="N118" i="6" s="1"/>
  <c r="R125" i="6"/>
  <c r="S125" i="6" s="1"/>
  <c r="T125" i="6" s="1"/>
  <c r="R126" i="6" l="1"/>
  <c r="S126" i="6" s="1"/>
  <c r="T126" i="6" s="1"/>
  <c r="L119" i="6"/>
  <c r="M119" i="6" s="1"/>
  <c r="N119" i="6" s="1"/>
  <c r="L120" i="6" l="1"/>
  <c r="M120" i="6" s="1"/>
  <c r="N120" i="6" s="1"/>
  <c r="R127" i="6"/>
  <c r="S127" i="6" s="1"/>
  <c r="T127" i="6" s="1"/>
  <c r="R128" i="6" l="1"/>
  <c r="S128" i="6" s="1"/>
  <c r="T128" i="6" s="1"/>
  <c r="L121" i="6"/>
  <c r="M121" i="6" s="1"/>
  <c r="N121" i="6" s="1"/>
  <c r="L122" i="6" l="1"/>
  <c r="M122" i="6" s="1"/>
  <c r="N122" i="6" s="1"/>
  <c r="R129" i="6"/>
  <c r="S129" i="6" s="1"/>
  <c r="T129" i="6" s="1"/>
  <c r="R130" i="6" l="1"/>
  <c r="S130" i="6" s="1"/>
  <c r="T130" i="6" s="1"/>
  <c r="L123" i="6"/>
  <c r="M123" i="6" s="1"/>
  <c r="N123" i="6" s="1"/>
  <c r="L124" i="6" l="1"/>
  <c r="M124" i="6" s="1"/>
  <c r="N124" i="6" s="1"/>
  <c r="R131" i="6"/>
  <c r="S131" i="6" s="1"/>
  <c r="T131" i="6" s="1"/>
  <c r="R132" i="6" l="1"/>
  <c r="S132" i="6" s="1"/>
  <c r="T132" i="6" s="1"/>
  <c r="L125" i="6"/>
  <c r="M125" i="6" s="1"/>
  <c r="N125" i="6" s="1"/>
  <c r="L126" i="6" l="1"/>
  <c r="M126" i="6" s="1"/>
  <c r="N126" i="6" s="1"/>
  <c r="R133" i="6"/>
  <c r="S133" i="6" s="1"/>
  <c r="T133" i="6" s="1"/>
  <c r="R134" i="6" l="1"/>
  <c r="S134" i="6" s="1"/>
  <c r="T134" i="6" s="1"/>
  <c r="L127" i="6"/>
  <c r="M127" i="6" s="1"/>
  <c r="N127" i="6" s="1"/>
  <c r="L128" i="6" l="1"/>
  <c r="M128" i="6" s="1"/>
  <c r="N128" i="6" s="1"/>
  <c r="R135" i="6"/>
  <c r="S135" i="6" s="1"/>
  <c r="T135" i="6" s="1"/>
  <c r="R136" i="6" l="1"/>
  <c r="S136" i="6" s="1"/>
  <c r="T136" i="6" s="1"/>
  <c r="L129" i="6"/>
  <c r="R137" i="6" l="1"/>
  <c r="S137" i="6" s="1"/>
  <c r="T137" i="6" s="1"/>
  <c r="M129" i="6"/>
  <c r="L130" i="6"/>
  <c r="F13" i="6" s="1"/>
  <c r="F14" i="6" s="1"/>
  <c r="M130" i="6" l="1"/>
  <c r="N129" i="6"/>
  <c r="R138" i="6"/>
  <c r="S138" i="6" s="1"/>
  <c r="T138" i="6" s="1"/>
  <c r="R139" i="6" l="1"/>
  <c r="S139" i="6" s="1"/>
  <c r="T139" i="6" s="1"/>
  <c r="R140" i="6" l="1"/>
  <c r="S140" i="6" s="1"/>
  <c r="T140" i="6" s="1"/>
  <c r="R141" i="6" l="1"/>
  <c r="S141" i="6" s="1"/>
  <c r="T141" i="6" s="1"/>
  <c r="R142" i="6" l="1"/>
  <c r="S142" i="6" s="1"/>
  <c r="T142" i="6" s="1"/>
  <c r="R143" i="6" l="1"/>
  <c r="S143" i="6" s="1"/>
  <c r="T143" i="6" s="1"/>
  <c r="R144" i="6" l="1"/>
  <c r="S144" i="6" s="1"/>
  <c r="T144" i="6" s="1"/>
  <c r="R145" i="6" l="1"/>
  <c r="S145" i="6" s="1"/>
  <c r="T145" i="6"/>
  <c r="G8" i="3"/>
  <c r="H8" i="3"/>
  <c r="F8" i="3"/>
  <c r="E9" i="2"/>
  <c r="F9" i="2"/>
  <c r="G9" i="2"/>
  <c r="H9" i="2"/>
  <c r="I9" i="2"/>
  <c r="J9" i="2"/>
  <c r="G9" i="1"/>
  <c r="G10" i="1" s="1"/>
  <c r="H9" i="1"/>
  <c r="H10" i="1" s="1"/>
  <c r="I9" i="1"/>
  <c r="I10" i="1" s="1"/>
  <c r="G14" i="1"/>
  <c r="F8" i="2"/>
  <c r="F20" i="2" s="1"/>
  <c r="K13" i="2"/>
  <c r="F13" i="2"/>
  <c r="G13" i="2" s="1"/>
  <c r="H13" i="2" s="1"/>
  <c r="J13" i="2" s="1"/>
  <c r="G11" i="1" l="1"/>
  <c r="G19" i="1" s="1"/>
  <c r="G18" i="1"/>
  <c r="H14" i="1"/>
  <c r="R146" i="6"/>
  <c r="S146" i="6" s="1"/>
  <c r="T146" i="6" s="1"/>
  <c r="H18" i="1"/>
  <c r="H11" i="1"/>
  <c r="H19" i="1" s="1"/>
  <c r="H17" i="1"/>
  <c r="I11" i="1"/>
  <c r="I19" i="1" s="1"/>
  <c r="I17" i="1"/>
  <c r="I18" i="1"/>
  <c r="F17" i="2"/>
  <c r="F21" i="2"/>
  <c r="G8" i="2"/>
  <c r="F16" i="2"/>
  <c r="G16" i="1" l="1"/>
  <c r="G20" i="1" s="1"/>
  <c r="I14" i="1"/>
  <c r="I13" i="1" s="1"/>
  <c r="H13" i="1"/>
  <c r="H16" i="1"/>
  <c r="H20" i="1" s="1"/>
  <c r="R147" i="6"/>
  <c r="S147" i="6" s="1"/>
  <c r="T147" i="6" s="1"/>
  <c r="I16" i="1"/>
  <c r="G21" i="2"/>
  <c r="G17" i="2"/>
  <c r="G20" i="2"/>
  <c r="G16" i="2"/>
  <c r="H8" i="2"/>
  <c r="I20" i="1" l="1"/>
  <c r="R148" i="6"/>
  <c r="S148" i="6" s="1"/>
  <c r="T148" i="6" s="1"/>
  <c r="H21" i="2"/>
  <c r="H17" i="2"/>
  <c r="I8" i="2"/>
  <c r="H20" i="2"/>
  <c r="H16" i="2"/>
  <c r="R149" i="6" l="1"/>
  <c r="S149" i="6" s="1"/>
  <c r="T149" i="6" s="1"/>
  <c r="I21" i="2"/>
  <c r="I17" i="2"/>
  <c r="J8" i="2"/>
  <c r="I20" i="2"/>
  <c r="I16" i="2"/>
  <c r="R150" i="6" l="1"/>
  <c r="S150" i="6" s="1"/>
  <c r="T150" i="6" s="1"/>
  <c r="J17" i="2"/>
  <c r="J21" i="2"/>
  <c r="J20" i="2"/>
  <c r="J16" i="2"/>
  <c r="R151" i="6" l="1"/>
  <c r="S151" i="6" s="1"/>
  <c r="T151" i="6" s="1"/>
  <c r="R152" i="6" l="1"/>
  <c r="S152" i="6" s="1"/>
  <c r="T152" i="6" s="1"/>
  <c r="R153" i="6" l="1"/>
  <c r="S153" i="6" l="1"/>
  <c r="R154" i="6"/>
  <c r="G13" i="6" s="1"/>
  <c r="G14" i="6" s="1"/>
  <c r="S154" i="6" l="1"/>
  <c r="T153" i="6"/>
</calcChain>
</file>

<file path=xl/sharedStrings.xml><?xml version="1.0" encoding="utf-8"?>
<sst xmlns="http://schemas.openxmlformats.org/spreadsheetml/2006/main" count="441" uniqueCount="212">
  <si>
    <t>Costos de Operación y Mantenimiento</t>
  </si>
  <si>
    <t xml:space="preserve">Químicos </t>
  </si>
  <si>
    <t>Mantenimiento</t>
  </si>
  <si>
    <t xml:space="preserve">Energía eléctrica </t>
  </si>
  <si>
    <t xml:space="preserve">Costos Variables </t>
  </si>
  <si>
    <t>Costos Fijos:</t>
  </si>
  <si>
    <t>Administración</t>
  </si>
  <si>
    <t>Año 1</t>
  </si>
  <si>
    <t>Año 2</t>
  </si>
  <si>
    <t>Año 3</t>
  </si>
  <si>
    <t>Caudal tratado</t>
  </si>
  <si>
    <t>Unidad</t>
  </si>
  <si>
    <t xml:space="preserve">Capacidad instalada </t>
  </si>
  <si>
    <t>Litros/Seg</t>
  </si>
  <si>
    <t xml:space="preserve">% de capacidad Instalada </t>
  </si>
  <si>
    <t>USD/año</t>
  </si>
  <si>
    <t>TOTAL COSTOS</t>
  </si>
  <si>
    <t>m3/año</t>
  </si>
  <si>
    <t>Valor unitario</t>
  </si>
  <si>
    <t>Consumo energético</t>
  </si>
  <si>
    <t>USD /m3 tratado</t>
  </si>
  <si>
    <t>Kwh/m3 tratado</t>
  </si>
  <si>
    <t>Año 4</t>
  </si>
  <si>
    <t>Año 5</t>
  </si>
  <si>
    <t>Inflación</t>
  </si>
  <si>
    <t>Demanda del servicio</t>
  </si>
  <si>
    <t>Usuarios a conectar</t>
  </si>
  <si>
    <t>Alternativa A</t>
  </si>
  <si>
    <t>Alternativa B</t>
  </si>
  <si>
    <t>Concepto</t>
  </si>
  <si>
    <t>%</t>
  </si>
  <si>
    <t>Número</t>
  </si>
  <si>
    <t>m3</t>
  </si>
  <si>
    <t xml:space="preserve">Año base </t>
  </si>
  <si>
    <t>Inflación acumulada</t>
  </si>
  <si>
    <t>USD/Usuario</t>
  </si>
  <si>
    <t>USD/m3</t>
  </si>
  <si>
    <t>Variables macroeconómicas</t>
  </si>
  <si>
    <t>Incremento salario mínimo</t>
  </si>
  <si>
    <t>M3 de agua residual total</t>
  </si>
  <si>
    <t xml:space="preserve">Costo Unitario   de Inversión </t>
  </si>
  <si>
    <t>Costos Unitario Operación</t>
  </si>
  <si>
    <t>Ingresos</t>
  </si>
  <si>
    <t>Ingresos (fuentes de fondeo)</t>
  </si>
  <si>
    <t>Tasa E.A</t>
  </si>
  <si>
    <t>Valor a  financiar  (USD)</t>
  </si>
  <si>
    <t xml:space="preserve">Criterio </t>
  </si>
  <si>
    <t>Fuente A</t>
  </si>
  <si>
    <t>Fuente B</t>
  </si>
  <si>
    <t>Tipo de pago</t>
  </si>
  <si>
    <t>Mensual, cuota fija</t>
  </si>
  <si>
    <t>Servicio a la deuda anual</t>
  </si>
  <si>
    <t>Total Intereses pagados</t>
  </si>
  <si>
    <t>Años</t>
  </si>
  <si>
    <t>USD</t>
  </si>
  <si>
    <t>Plazo</t>
  </si>
  <si>
    <t>Obra Tradicional</t>
  </si>
  <si>
    <t>APP</t>
  </si>
  <si>
    <t>Ingresos del proyecto 20 años</t>
  </si>
  <si>
    <t>Costos de supervisión</t>
  </si>
  <si>
    <t>Inversión</t>
  </si>
  <si>
    <t>A cargo del privado</t>
  </si>
  <si>
    <t>Beneficios (+)</t>
  </si>
  <si>
    <t>Costos (-)</t>
  </si>
  <si>
    <t>Costos del O&amp;M  20 años</t>
  </si>
  <si>
    <t>VPD</t>
  </si>
  <si>
    <t xml:space="preserve">Costos de estructuración </t>
  </si>
  <si>
    <t>Costos de contingencia</t>
  </si>
  <si>
    <t>Deuda Fuente A</t>
  </si>
  <si>
    <t>Deuda Fuente B</t>
  </si>
  <si>
    <t>Tasa EM</t>
  </si>
  <si>
    <t>Cuota fija</t>
  </si>
  <si>
    <t>N</t>
  </si>
  <si>
    <t>Cuota</t>
  </si>
  <si>
    <t>Interés</t>
  </si>
  <si>
    <t>Amortización</t>
  </si>
  <si>
    <t>Saldo</t>
  </si>
  <si>
    <t xml:space="preserve">Comisiones </t>
  </si>
  <si>
    <t>Total intreses+Comisiones</t>
  </si>
  <si>
    <t>Total</t>
  </si>
  <si>
    <t>Periodo de gracia</t>
  </si>
  <si>
    <t>Año 6</t>
  </si>
  <si>
    <t>Año 7</t>
  </si>
  <si>
    <t>Año 8</t>
  </si>
  <si>
    <t>Año 9</t>
  </si>
  <si>
    <t>Año 10</t>
  </si>
  <si>
    <t>Demanda</t>
  </si>
  <si>
    <t>Costos de Inversión</t>
  </si>
  <si>
    <t>Costos de O&amp;M</t>
  </si>
  <si>
    <t>Mano de Obra</t>
  </si>
  <si>
    <t>Eficiencia en el recaudo</t>
  </si>
  <si>
    <t>Estudios y Diseños</t>
  </si>
  <si>
    <t xml:space="preserve">Obras de Infraestructura </t>
  </si>
  <si>
    <t>Equipos y maquinas</t>
  </si>
  <si>
    <t>Otros</t>
  </si>
  <si>
    <t>CONCEPTO</t>
  </si>
  <si>
    <t>Volumen de agua facturado</t>
  </si>
  <si>
    <t>Usuarios nuevos a conectar</t>
  </si>
  <si>
    <t>Total Usuarios</t>
  </si>
  <si>
    <t>Consumo de agua por usuario</t>
  </si>
  <si>
    <t>m3/usuario/mes</t>
  </si>
  <si>
    <t>m/año</t>
  </si>
  <si>
    <t>Tasa de impuestos sobre la ganancias</t>
  </si>
  <si>
    <t>Año 0</t>
  </si>
  <si>
    <t>Año 11</t>
  </si>
  <si>
    <t>Año 12</t>
  </si>
  <si>
    <t>Año 13</t>
  </si>
  <si>
    <t>Año 14</t>
  </si>
  <si>
    <t>Año 15</t>
  </si>
  <si>
    <t>Año 16</t>
  </si>
  <si>
    <t>Año 17</t>
  </si>
  <si>
    <t>Año 18</t>
  </si>
  <si>
    <t>Año 19</t>
  </si>
  <si>
    <t>Año 20</t>
  </si>
  <si>
    <t xml:space="preserve">Ingresos </t>
  </si>
  <si>
    <t>Transferencias publicas  para O&amp;M del proyecto</t>
  </si>
  <si>
    <t xml:space="preserve">Tarifa servicio de alcantarillado </t>
  </si>
  <si>
    <t>Costo unitario mano de obra</t>
  </si>
  <si>
    <t>Costo unitario mantenimiento</t>
  </si>
  <si>
    <t>Facturación Tarifa alcantarillado nuevos usuarios</t>
  </si>
  <si>
    <t>Costo unitario energía eléctrica</t>
  </si>
  <si>
    <t>Vida Útil del proyecto</t>
  </si>
  <si>
    <t>Variables macroeconómicas y parámetros</t>
  </si>
  <si>
    <t>UTILIDAD ANTES DE IMPUESTOS</t>
  </si>
  <si>
    <t xml:space="preserve">UTILIDAD NETA </t>
  </si>
  <si>
    <t xml:space="preserve">(+) Ingresos </t>
  </si>
  <si>
    <t>(-) Costos de O&amp;M</t>
  </si>
  <si>
    <t xml:space="preserve">(-) Intereses </t>
  </si>
  <si>
    <t>(-)Impuestos</t>
  </si>
  <si>
    <t>(-) Inversiones</t>
  </si>
  <si>
    <t>Personal</t>
  </si>
  <si>
    <t>Mantenimiento del sistema</t>
  </si>
  <si>
    <t xml:space="preserve">(-) Impuestos </t>
  </si>
  <si>
    <t>FLUJO DE CAJA NETO</t>
  </si>
  <si>
    <t>Costos particulares PTAR</t>
  </si>
  <si>
    <t>Costos de Energía Eléctrica</t>
  </si>
  <si>
    <t>Costos de Servicios Personales</t>
  </si>
  <si>
    <t>Otros Costos de Operación y Mantenimiento</t>
  </si>
  <si>
    <t>Costo de Tratamiento de Aguas Residuales (Total)</t>
  </si>
  <si>
    <t>Costo Particular unitario (por m3 Tratados)</t>
  </si>
  <si>
    <t>Incremento Real</t>
  </si>
  <si>
    <t>Año  2</t>
  </si>
  <si>
    <t>Agua facturada (Alcantarillado)</t>
  </si>
  <si>
    <t>Tratamiento de Aguas Residuales (en pesos del 2021)</t>
  </si>
  <si>
    <t>Ventas Netas</t>
  </si>
  <si>
    <t xml:space="preserve">Neto costo de ventas </t>
  </si>
  <si>
    <t xml:space="preserve">Excedente Bruto en ventas </t>
  </si>
  <si>
    <t xml:space="preserve">Gastos Administración </t>
  </si>
  <si>
    <t xml:space="preserve">Gastos de Operación </t>
  </si>
  <si>
    <t>Deterioro, Depreciaciones, Agotamiento, Amortizaciones y Provisiones</t>
  </si>
  <si>
    <t xml:space="preserve">Gasto </t>
  </si>
  <si>
    <t xml:space="preserve">Excedente Operacional </t>
  </si>
  <si>
    <t xml:space="preserve">Ingresos no Operacionales </t>
  </si>
  <si>
    <t xml:space="preserve">Otros Gastos </t>
  </si>
  <si>
    <t xml:space="preserve">Resultado no Operacional </t>
  </si>
  <si>
    <t xml:space="preserve">Excedente Antes de Impuestos </t>
  </si>
  <si>
    <t xml:space="preserve">(-) Perdida (+) Utilidad </t>
  </si>
  <si>
    <t xml:space="preserve">Utilidad del Ejercicio </t>
  </si>
  <si>
    <t>Último periodo de indexación</t>
  </si>
  <si>
    <t>Periodo actual</t>
  </si>
  <si>
    <t>CMA</t>
  </si>
  <si>
    <t>CARGO FIJO</t>
  </si>
  <si>
    <t>CMO</t>
  </si>
  <si>
    <t>CMI</t>
  </si>
  <si>
    <t>CMT</t>
  </si>
  <si>
    <t>CARGO VARIABLE</t>
  </si>
  <si>
    <t>Tarifas Vigentes            ($ nov-21)</t>
  </si>
  <si>
    <t>Tarifas Vigentes + IPC    ($ feb-22)</t>
  </si>
  <si>
    <t>Facturación Tarifa alcantarillado</t>
  </si>
  <si>
    <t xml:space="preserve">Transferencias publicas  </t>
  </si>
  <si>
    <t xml:space="preserve">Recaudo Tarifa alcantarillado </t>
  </si>
  <si>
    <t>Transferencias publicas  p</t>
  </si>
  <si>
    <t>Indicadores financieros</t>
  </si>
  <si>
    <t>Valor</t>
  </si>
  <si>
    <t>VALOR PRESENTE NETO</t>
  </si>
  <si>
    <t>TIR</t>
  </si>
  <si>
    <t>PAYBACK</t>
  </si>
  <si>
    <t>FLUJO DE CAJA ACUMULADO</t>
  </si>
  <si>
    <t>FLUJO DE CAJA FINANCIADO</t>
  </si>
  <si>
    <t>Financiamiento adicional (+)</t>
  </si>
  <si>
    <t>Servicio a la deuda (-)</t>
  </si>
  <si>
    <t>Financiamiento conocido (+)</t>
  </si>
  <si>
    <t>Pago por disponibilidad</t>
  </si>
  <si>
    <t>Construcción modelo financiero</t>
  </si>
  <si>
    <t xml:space="preserve"> Estado de resultados</t>
  </si>
  <si>
    <t xml:space="preserve"> Flujo de caja</t>
  </si>
  <si>
    <t xml:space="preserve"> Flujo de caja financiado</t>
  </si>
  <si>
    <t xml:space="preserve"> Estado de resultados integral</t>
  </si>
  <si>
    <t xml:space="preserve"> Indexación</t>
  </si>
  <si>
    <t xml:space="preserve"> Proyección de costos y mantenimiento</t>
  </si>
  <si>
    <t xml:space="preserve"> Indicadores financieros</t>
  </si>
  <si>
    <t xml:space="preserve"> Costos de la planta de tratamiento de aguas residuales</t>
  </si>
  <si>
    <t>Elementos iniciales de evaluación financiera</t>
  </si>
  <si>
    <t>Proyección de fuentes de fondeo</t>
  </si>
  <si>
    <t xml:space="preserve"> Comparación fuentes de financiamiento</t>
  </si>
  <si>
    <t xml:space="preserve"> Comparación de esquemas de ejecución</t>
  </si>
  <si>
    <t xml:space="preserve">      Celdas con valores a modificar</t>
  </si>
  <si>
    <t xml:space="preserve">      Celdas con formulas</t>
  </si>
  <si>
    <t xml:space="preserve">      Celdas con valores de otras hojas</t>
  </si>
  <si>
    <t xml:space="preserve">(-) Depreciación </t>
  </si>
  <si>
    <t xml:space="preserve">(=) EBITDA </t>
  </si>
  <si>
    <t>(=) EBIT</t>
  </si>
  <si>
    <t>(=)EBITDA  Sin tranferencias</t>
  </si>
  <si>
    <t>%Margen EBITDA</t>
  </si>
  <si>
    <t>%Margen EBITDA sin trasferencias</t>
  </si>
  <si>
    <t>% Margen Neto</t>
  </si>
  <si>
    <t>Intereses</t>
  </si>
  <si>
    <t>Capital</t>
  </si>
  <si>
    <t xml:space="preserve">Saldo </t>
  </si>
  <si>
    <t>Servicio a la deuda</t>
  </si>
  <si>
    <t>Tasa de interes</t>
  </si>
  <si>
    <t>Pago a Socios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</si>
</sst>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\ #,##0;[Red]\-&quot;$&quot;\ #,##0"/>
    <numFmt numFmtId="165" formatCode="&quot;$&quot;\ #,##0.00;[Red]\-&quot;$&quot;\ #,##0.00"/>
    <numFmt numFmtId="166" formatCode="_-* #,##0.00_-;\-* #,##0.00_-;_-* &quot;-&quot;??_-;_-@_-"/>
    <numFmt numFmtId="167" formatCode="_-* #,##0_-;\-* #,##0_-;_-* &quot;-&quot;??_-;_-@_-"/>
    <numFmt numFmtId="168" formatCode="0.0%"/>
    <numFmt numFmtId="169" formatCode="#,##0_ ;[Red]\-#,##0\ "/>
    <numFmt numFmtId="170" formatCode="0.0000000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Segoe UI"/>
      <family val="2"/>
    </font>
    <font>
      <b/>
      <sz val="11"/>
      <color theme="1"/>
      <name val="Segoe UI"/>
      <family val="2"/>
    </font>
    <font>
      <sz val="11"/>
      <color rgb="FF000000"/>
      <name val="Segoe UI"/>
      <family val="2"/>
    </font>
    <font>
      <sz val="11"/>
      <color theme="1"/>
      <name val="Segoe UI"/>
      <family val="2"/>
    </font>
    <font>
      <sz val="11"/>
      <color theme="1"/>
      <name val="Century Gothic"/>
      <family val="2"/>
    </font>
    <font>
      <b/>
      <sz val="11"/>
      <color theme="3"/>
      <name val="Segoe UI"/>
      <family val="2"/>
    </font>
    <font>
      <sz val="8"/>
      <name val="Calibri"/>
      <family val="2"/>
      <scheme val="minor"/>
    </font>
    <font>
      <b/>
      <u/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Segoe UI"/>
      <family val="2"/>
    </font>
    <font>
      <sz val="10"/>
      <color theme="1"/>
      <name val="Segoe UI"/>
      <family val="2"/>
    </font>
    <font>
      <sz val="10"/>
      <color theme="1"/>
      <name val="Calibri"/>
      <family val="2"/>
      <scheme val="minor"/>
    </font>
    <font>
      <b/>
      <sz val="10"/>
      <color theme="1"/>
      <name val="Segoe UI"/>
      <family val="2"/>
    </font>
    <font>
      <sz val="9"/>
      <color theme="1"/>
      <name val="Segoe UI"/>
      <family val="2"/>
    </font>
    <font>
      <sz val="10"/>
      <color theme="1"/>
      <name val="Century Gothic"/>
      <family val="2"/>
    </font>
    <font>
      <b/>
      <sz val="9"/>
      <color rgb="FFFF0000"/>
      <name val="Segoe UI"/>
      <family val="2"/>
    </font>
    <font>
      <sz val="10"/>
      <name val="Century Gothic"/>
      <family val="2"/>
    </font>
    <font>
      <b/>
      <sz val="9"/>
      <color theme="4"/>
      <name val="Segoe UI"/>
      <family val="2"/>
    </font>
    <font>
      <sz val="9"/>
      <name val="Century Gothic"/>
      <family val="2"/>
    </font>
    <font>
      <sz val="8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b/>
      <sz val="9"/>
      <name val="Century Gothic"/>
      <family val="2"/>
    </font>
    <font>
      <b/>
      <sz val="10"/>
      <name val="Century Gothic"/>
      <family val="2"/>
    </font>
    <font>
      <b/>
      <sz val="9"/>
      <color rgb="FFFF0000"/>
      <name val="Century Gothic"/>
      <family val="2"/>
    </font>
    <font>
      <b/>
      <sz val="10"/>
      <color rgb="FFFF0000"/>
      <name val="Century Gothic"/>
      <family val="2"/>
    </font>
    <font>
      <b/>
      <sz val="11"/>
      <color theme="4"/>
      <name val="Segoe UI"/>
      <family val="2"/>
    </font>
    <font>
      <b/>
      <sz val="10"/>
      <color theme="4"/>
      <name val="Segoe UI"/>
      <family val="2"/>
    </font>
    <font>
      <b/>
      <sz val="11"/>
      <color theme="1"/>
      <name val="Century Gothic"/>
      <family val="2"/>
    </font>
    <font>
      <sz val="9"/>
      <color rgb="FF000000"/>
      <name val="Century Gothic"/>
      <family val="2"/>
    </font>
    <font>
      <b/>
      <sz val="11"/>
      <color theme="3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b/>
      <sz val="11"/>
      <name val="Century Gothic"/>
      <family val="2"/>
    </font>
    <font>
      <sz val="11"/>
      <color theme="4"/>
      <name val="Calibri"/>
      <family val="2"/>
      <scheme val="minor"/>
    </font>
    <font>
      <b/>
      <sz val="16"/>
      <color rgb="FF1F487C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6"/>
      <color theme="4"/>
      <name val="Calibri Light"/>
      <family val="2"/>
      <scheme val="major"/>
    </font>
    <font>
      <b/>
      <sz val="10.5"/>
      <color rgb="FF242424"/>
      <name val="Segoe UI"/>
      <family val="2"/>
    </font>
    <font>
      <sz val="11"/>
      <color theme="0"/>
      <name val="Calibri"/>
      <family val="2"/>
      <scheme val="minor"/>
    </font>
    <font>
      <sz val="8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274">
    <xf numFmtId="0" fontId="0" fillId="0" borderId="0" xfId="0"/>
    <xf numFmtId="167" fontId="2" fillId="0" borderId="0" xfId="1" applyNumberFormat="1" applyFont="1" applyAlignment="1">
      <alignment horizontal="justify" vertical="center"/>
    </xf>
    <xf numFmtId="167" fontId="0" fillId="0" borderId="0" xfId="1" applyNumberFormat="1" applyFont="1"/>
    <xf numFmtId="167" fontId="4" fillId="0" borderId="0" xfId="1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10" fillId="0" borderId="0" xfId="0" applyFont="1"/>
    <xf numFmtId="0" fontId="0" fillId="3" borderId="0" xfId="0" applyFill="1"/>
    <xf numFmtId="0" fontId="3" fillId="3" borderId="0" xfId="0" applyFont="1" applyFill="1" applyAlignment="1">
      <alignment vertical="center"/>
    </xf>
    <xf numFmtId="167" fontId="5" fillId="3" borderId="0" xfId="1" applyNumberFormat="1" applyFont="1" applyFill="1" applyBorder="1" applyAlignment="1">
      <alignment horizontal="justify" vertical="center"/>
    </xf>
    <xf numFmtId="167" fontId="0" fillId="0" borderId="0" xfId="0" applyNumberFormat="1"/>
    <xf numFmtId="167" fontId="12" fillId="0" borderId="1" xfId="1" applyNumberFormat="1" applyFont="1" applyBorder="1" applyAlignment="1">
      <alignment horizontal="center" vertical="center"/>
    </xf>
    <xf numFmtId="0" fontId="11" fillId="0" borderId="0" xfId="0" applyFont="1"/>
    <xf numFmtId="10" fontId="0" fillId="0" borderId="0" xfId="2" applyNumberFormat="1" applyFont="1"/>
    <xf numFmtId="165" fontId="0" fillId="0" borderId="0" xfId="0" applyNumberFormat="1"/>
    <xf numFmtId="0" fontId="0" fillId="0" borderId="5" xfId="0" applyBorder="1" applyAlignment="1">
      <alignment horizontal="center"/>
    </xf>
    <xf numFmtId="167" fontId="0" fillId="0" borderId="6" xfId="0" applyNumberFormat="1" applyBorder="1"/>
    <xf numFmtId="0" fontId="0" fillId="0" borderId="7" xfId="0" applyBorder="1" applyAlignment="1">
      <alignment horizontal="center"/>
    </xf>
    <xf numFmtId="167" fontId="0" fillId="0" borderId="8" xfId="0" applyNumberFormat="1" applyBorder="1"/>
    <xf numFmtId="164" fontId="0" fillId="0" borderId="0" xfId="0" applyNumberFormat="1"/>
    <xf numFmtId="0" fontId="11" fillId="0" borderId="3" xfId="0" applyFont="1" applyBorder="1" applyAlignment="1">
      <alignment horizontal="center"/>
    </xf>
    <xf numFmtId="167" fontId="11" fillId="0" borderId="3" xfId="0" applyNumberFormat="1" applyFont="1" applyBorder="1"/>
    <xf numFmtId="0" fontId="11" fillId="0" borderId="3" xfId="0" applyFont="1" applyBorder="1"/>
    <xf numFmtId="0" fontId="14" fillId="0" borderId="0" xfId="0" applyFont="1"/>
    <xf numFmtId="167" fontId="13" fillId="0" borderId="0" xfId="1" applyNumberFormat="1" applyFont="1" applyFill="1" applyAlignment="1">
      <alignment horizontal="justify" vertical="center"/>
    </xf>
    <xf numFmtId="167" fontId="14" fillId="0" borderId="0" xfId="1" applyNumberFormat="1" applyFont="1" applyFill="1"/>
    <xf numFmtId="0" fontId="14" fillId="3" borderId="0" xfId="0" applyFont="1" applyFill="1"/>
    <xf numFmtId="167" fontId="15" fillId="3" borderId="0" xfId="1" applyNumberFormat="1" applyFont="1" applyFill="1" applyAlignment="1">
      <alignment horizontal="justify" vertical="center"/>
    </xf>
    <xf numFmtId="0" fontId="11" fillId="3" borderId="0" xfId="0" applyFont="1" applyFill="1"/>
    <xf numFmtId="0" fontId="17" fillId="0" borderId="0" xfId="0" applyFont="1"/>
    <xf numFmtId="0" fontId="10" fillId="0" borderId="2" xfId="0" applyFont="1" applyBorder="1"/>
    <xf numFmtId="0" fontId="16" fillId="0" borderId="2" xfId="0" applyFont="1" applyBorder="1" applyAlignment="1">
      <alignment horizontal="center"/>
    </xf>
    <xf numFmtId="0" fontId="20" fillId="0" borderId="2" xfId="0" applyFont="1" applyBorder="1"/>
    <xf numFmtId="0" fontId="21" fillId="0" borderId="0" xfId="0" applyFont="1" applyAlignment="1">
      <alignment horizontal="left" indent="1"/>
    </xf>
    <xf numFmtId="3" fontId="10" fillId="0" borderId="0" xfId="0" applyNumberFormat="1" applyFont="1"/>
    <xf numFmtId="0" fontId="10" fillId="0" borderId="0" xfId="0" applyFont="1" applyAlignment="1">
      <alignment wrapText="1"/>
    </xf>
    <xf numFmtId="3" fontId="10" fillId="0" borderId="2" xfId="0" applyNumberFormat="1" applyFont="1" applyBorder="1"/>
    <xf numFmtId="0" fontId="23" fillId="0" borderId="0" xfId="0" applyFont="1"/>
    <xf numFmtId="0" fontId="23" fillId="0" borderId="2" xfId="0" applyFont="1" applyBorder="1"/>
    <xf numFmtId="14" fontId="19" fillId="5" borderId="9" xfId="0" applyNumberFormat="1" applyFont="1" applyFill="1" applyBorder="1"/>
    <xf numFmtId="167" fontId="21" fillId="0" borderId="0" xfId="1" applyNumberFormat="1" applyFont="1" applyBorder="1" applyAlignment="1">
      <alignment horizontal="left" indent="1"/>
    </xf>
    <xf numFmtId="0" fontId="25" fillId="0" borderId="0" xfId="0" applyFont="1" applyAlignment="1">
      <alignment horizontal="left" indent="1"/>
    </xf>
    <xf numFmtId="167" fontId="25" fillId="0" borderId="0" xfId="1" applyNumberFormat="1" applyFont="1" applyBorder="1" applyAlignment="1">
      <alignment horizontal="left" indent="1"/>
    </xf>
    <xf numFmtId="9" fontId="21" fillId="0" borderId="0" xfId="2" applyFont="1" applyBorder="1" applyAlignment="1">
      <alignment horizontal="right" indent="1"/>
    </xf>
    <xf numFmtId="0" fontId="25" fillId="2" borderId="12" xfId="0" applyFont="1" applyFill="1" applyBorder="1" applyAlignment="1">
      <alignment horizontal="left" indent="1"/>
    </xf>
    <xf numFmtId="0" fontId="21" fillId="0" borderId="11" xfId="0" applyFont="1" applyBorder="1" applyAlignment="1">
      <alignment horizontal="left" indent="1"/>
    </xf>
    <xf numFmtId="0" fontId="21" fillId="0" borderId="8" xfId="0" applyFont="1" applyBorder="1" applyAlignment="1">
      <alignment horizontal="left" indent="1"/>
    </xf>
    <xf numFmtId="0" fontId="21" fillId="0" borderId="13" xfId="0" applyFont="1" applyBorder="1" applyAlignment="1">
      <alignment horizontal="left" indent="1"/>
    </xf>
    <xf numFmtId="9" fontId="21" fillId="0" borderId="6" xfId="2" applyFont="1" applyBorder="1" applyAlignment="1">
      <alignment horizontal="right" indent="1"/>
    </xf>
    <xf numFmtId="0" fontId="21" fillId="0" borderId="6" xfId="0" applyFont="1" applyBorder="1" applyAlignment="1">
      <alignment horizontal="left" indent="1"/>
    </xf>
    <xf numFmtId="0" fontId="25" fillId="2" borderId="13" xfId="0" applyFont="1" applyFill="1" applyBorder="1" applyAlignment="1">
      <alignment horizontal="left" indent="1"/>
    </xf>
    <xf numFmtId="167" fontId="21" fillId="0" borderId="6" xfId="1" applyNumberFormat="1" applyFont="1" applyBorder="1" applyAlignment="1">
      <alignment horizontal="left" indent="1"/>
    </xf>
    <xf numFmtId="0" fontId="25" fillId="0" borderId="13" xfId="0" applyFont="1" applyBorder="1" applyAlignment="1">
      <alignment horizontal="left" indent="1"/>
    </xf>
    <xf numFmtId="167" fontId="25" fillId="0" borderId="6" xfId="1" applyNumberFormat="1" applyFont="1" applyBorder="1" applyAlignment="1">
      <alignment horizontal="left" indent="1"/>
    </xf>
    <xf numFmtId="0" fontId="21" fillId="0" borderId="14" xfId="0" applyFont="1" applyBorder="1" applyAlignment="1">
      <alignment horizontal="left" indent="1"/>
    </xf>
    <xf numFmtId="0" fontId="21" fillId="0" borderId="2" xfId="0" applyFont="1" applyBorder="1" applyAlignment="1">
      <alignment horizontal="left" indent="1"/>
    </xf>
    <xf numFmtId="167" fontId="21" fillId="0" borderId="2" xfId="1" applyNumberFormat="1" applyFont="1" applyBorder="1" applyAlignment="1">
      <alignment horizontal="left" indent="1"/>
    </xf>
    <xf numFmtId="167" fontId="21" fillId="0" borderId="10" xfId="1" applyNumberFormat="1" applyFont="1" applyBorder="1" applyAlignment="1">
      <alignment horizontal="left" indent="1"/>
    </xf>
    <xf numFmtId="0" fontId="20" fillId="0" borderId="1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2" fontId="21" fillId="0" borderId="0" xfId="0" applyNumberFormat="1" applyFont="1" applyAlignment="1">
      <alignment horizontal="right" indent="1"/>
    </xf>
    <xf numFmtId="2" fontId="21" fillId="0" borderId="6" xfId="0" applyNumberFormat="1" applyFont="1" applyBorder="1" applyAlignment="1">
      <alignment horizontal="right" indent="1"/>
    </xf>
    <xf numFmtId="169" fontId="24" fillId="3" borderId="6" xfId="0" applyNumberFormat="1" applyFont="1" applyFill="1" applyBorder="1" applyAlignment="1">
      <alignment horizontal="right"/>
    </xf>
    <xf numFmtId="169" fontId="23" fillId="3" borderId="6" xfId="0" applyNumberFormat="1" applyFont="1" applyFill="1" applyBorder="1" applyAlignment="1">
      <alignment horizontal="right"/>
    </xf>
    <xf numFmtId="169" fontId="23" fillId="3" borderId="0" xfId="1" applyNumberFormat="1" applyFont="1" applyFill="1" applyBorder="1" applyAlignment="1">
      <alignment horizontal="right"/>
    </xf>
    <xf numFmtId="169" fontId="23" fillId="3" borderId="6" xfId="1" applyNumberFormat="1" applyFont="1" applyFill="1" applyBorder="1" applyAlignment="1">
      <alignment horizontal="right"/>
    </xf>
    <xf numFmtId="167" fontId="13" fillId="3" borderId="0" xfId="1" applyNumberFormat="1" applyFont="1" applyFill="1" applyBorder="1" applyAlignment="1">
      <alignment horizontal="justify" vertical="center"/>
    </xf>
    <xf numFmtId="167" fontId="15" fillId="3" borderId="0" xfId="1" applyNumberFormat="1" applyFont="1" applyFill="1" applyBorder="1" applyAlignment="1">
      <alignment horizontal="justify" vertical="center"/>
    </xf>
    <xf numFmtId="167" fontId="21" fillId="0" borderId="13" xfId="1" applyNumberFormat="1" applyFont="1" applyBorder="1" applyAlignment="1">
      <alignment horizontal="left" indent="1"/>
    </xf>
    <xf numFmtId="167" fontId="25" fillId="0" borderId="13" xfId="1" applyNumberFormat="1" applyFont="1" applyBorder="1" applyAlignment="1">
      <alignment horizontal="left" indent="1"/>
    </xf>
    <xf numFmtId="167" fontId="25" fillId="5" borderId="14" xfId="1" applyNumberFormat="1" applyFont="1" applyFill="1" applyBorder="1" applyAlignment="1">
      <alignment horizontal="left" indent="1"/>
    </xf>
    <xf numFmtId="167" fontId="26" fillId="5" borderId="2" xfId="1" applyNumberFormat="1" applyFont="1" applyFill="1" applyBorder="1" applyAlignment="1">
      <alignment horizontal="left" indent="1"/>
    </xf>
    <xf numFmtId="167" fontId="26" fillId="5" borderId="10" xfId="1" applyNumberFormat="1" applyFont="1" applyFill="1" applyBorder="1" applyAlignment="1">
      <alignment horizontal="left" indent="1"/>
    </xf>
    <xf numFmtId="0" fontId="11" fillId="5" borderId="0" xfId="0" applyFont="1" applyFill="1"/>
    <xf numFmtId="167" fontId="26" fillId="5" borderId="13" xfId="1" applyNumberFormat="1" applyFont="1" applyFill="1" applyBorder="1" applyAlignment="1">
      <alignment horizontal="left" indent="1"/>
    </xf>
    <xf numFmtId="167" fontId="26" fillId="5" borderId="6" xfId="1" applyNumberFormat="1" applyFont="1" applyFill="1" applyBorder="1" applyAlignment="1">
      <alignment horizontal="left" indent="1"/>
    </xf>
    <xf numFmtId="167" fontId="26" fillId="5" borderId="14" xfId="1" applyNumberFormat="1" applyFont="1" applyFill="1" applyBorder="1" applyAlignment="1">
      <alignment horizontal="left" indent="1"/>
    </xf>
    <xf numFmtId="10" fontId="26" fillId="5" borderId="6" xfId="2" applyNumberFormat="1" applyFont="1" applyFill="1" applyBorder="1" applyAlignment="1">
      <alignment horizontal="right"/>
    </xf>
    <xf numFmtId="167" fontId="26" fillId="5" borderId="1" xfId="1" applyNumberFormat="1" applyFont="1" applyFill="1" applyBorder="1" applyAlignment="1">
      <alignment horizontal="left" indent="1"/>
    </xf>
    <xf numFmtId="167" fontId="26" fillId="5" borderId="4" xfId="1" applyNumberFormat="1" applyFont="1" applyFill="1" applyBorder="1" applyAlignment="1">
      <alignment horizontal="left" indent="1"/>
    </xf>
    <xf numFmtId="167" fontId="27" fillId="5" borderId="15" xfId="1" applyNumberFormat="1" applyFont="1" applyFill="1" applyBorder="1" applyAlignment="1">
      <alignment horizontal="left" indent="1"/>
    </xf>
    <xf numFmtId="167" fontId="28" fillId="5" borderId="1" xfId="1" applyNumberFormat="1" applyFont="1" applyFill="1" applyBorder="1" applyAlignment="1">
      <alignment horizontal="left" indent="1"/>
    </xf>
    <xf numFmtId="167" fontId="28" fillId="5" borderId="4" xfId="1" applyNumberFormat="1" applyFont="1" applyFill="1" applyBorder="1" applyAlignment="1">
      <alignment horizontal="left" indent="1"/>
    </xf>
    <xf numFmtId="0" fontId="14" fillId="3" borderId="6" xfId="0" applyFont="1" applyFill="1" applyBorder="1"/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7" fillId="3" borderId="13" xfId="0" applyFont="1" applyFill="1" applyBorder="1" applyAlignment="1">
      <alignment horizontal="justify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justify" vertical="center"/>
    </xf>
    <xf numFmtId="0" fontId="0" fillId="3" borderId="6" xfId="0" applyFill="1" applyBorder="1"/>
    <xf numFmtId="0" fontId="6" fillId="3" borderId="0" xfId="0" applyFont="1" applyFill="1" applyAlignment="1">
      <alignment horizontal="center"/>
    </xf>
    <xf numFmtId="0" fontId="6" fillId="3" borderId="0" xfId="0" applyFont="1" applyFill="1"/>
    <xf numFmtId="0" fontId="6" fillId="3" borderId="13" xfId="0" applyFont="1" applyFill="1" applyBorder="1"/>
    <xf numFmtId="0" fontId="6" fillId="3" borderId="2" xfId="0" applyFont="1" applyFill="1" applyBorder="1" applyAlignment="1">
      <alignment horizontal="center"/>
    </xf>
    <xf numFmtId="0" fontId="6" fillId="3" borderId="2" xfId="0" applyFont="1" applyFill="1" applyBorder="1"/>
    <xf numFmtId="0" fontId="30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33" fillId="3" borderId="0" xfId="0" applyFont="1" applyFill="1" applyAlignment="1">
      <alignment horizontal="center"/>
    </xf>
    <xf numFmtId="0" fontId="33" fillId="3" borderId="0" xfId="0" applyFont="1" applyFill="1" applyAlignment="1">
      <alignment horizontal="justify" vertical="center"/>
    </xf>
    <xf numFmtId="0" fontId="34" fillId="3" borderId="0" xfId="0" applyFont="1" applyFill="1" applyAlignment="1">
      <alignment vertical="center"/>
    </xf>
    <xf numFmtId="0" fontId="34" fillId="3" borderId="6" xfId="0" applyFont="1" applyFill="1" applyBorder="1" applyAlignment="1">
      <alignment vertical="center"/>
    </xf>
    <xf numFmtId="0" fontId="31" fillId="3" borderId="0" xfId="0" applyFont="1" applyFill="1" applyAlignment="1">
      <alignment horizontal="center"/>
    </xf>
    <xf numFmtId="0" fontId="31" fillId="3" borderId="0" xfId="0" applyFont="1" applyFill="1" applyAlignment="1">
      <alignment horizontal="justify" vertical="center"/>
    </xf>
    <xf numFmtId="167" fontId="34" fillId="3" borderId="0" xfId="1" applyNumberFormat="1" applyFont="1" applyFill="1" applyBorder="1" applyAlignment="1">
      <alignment vertical="center"/>
    </xf>
    <xf numFmtId="167" fontId="34" fillId="3" borderId="6" xfId="1" applyNumberFormat="1" applyFont="1" applyFill="1" applyBorder="1" applyAlignment="1">
      <alignment vertical="center"/>
    </xf>
    <xf numFmtId="0" fontId="6" fillId="3" borderId="6" xfId="0" applyFont="1" applyFill="1" applyBorder="1"/>
    <xf numFmtId="0" fontId="35" fillId="3" borderId="0" xfId="0" applyFont="1" applyFill="1" applyAlignment="1">
      <alignment horizontal="center"/>
    </xf>
    <xf numFmtId="0" fontId="35" fillId="3" borderId="0" xfId="0" applyFont="1" applyFill="1" applyAlignment="1">
      <alignment horizontal="justify" vertical="center"/>
    </xf>
    <xf numFmtId="167" fontId="35" fillId="3" borderId="0" xfId="1" applyNumberFormat="1" applyFont="1" applyFill="1" applyBorder="1" applyAlignment="1">
      <alignment vertical="center"/>
    </xf>
    <xf numFmtId="167" fontId="35" fillId="3" borderId="6" xfId="1" applyNumberFormat="1" applyFont="1" applyFill="1" applyBorder="1" applyAlignment="1">
      <alignment vertical="center"/>
    </xf>
    <xf numFmtId="0" fontId="34" fillId="3" borderId="13" xfId="0" applyFont="1" applyFill="1" applyBorder="1" applyAlignment="1">
      <alignment horizontal="justify" vertical="center"/>
    </xf>
    <xf numFmtId="167" fontId="34" fillId="3" borderId="0" xfId="1" applyNumberFormat="1" applyFont="1" applyFill="1" applyBorder="1" applyAlignment="1">
      <alignment horizontal="justify" vertical="center"/>
    </xf>
    <xf numFmtId="0" fontId="6" fillId="3" borderId="13" xfId="0" applyFont="1" applyFill="1" applyBorder="1" applyAlignment="1">
      <alignment horizontal="justify" vertical="center"/>
    </xf>
    <xf numFmtId="0" fontId="6" fillId="3" borderId="0" xfId="0" applyFont="1" applyFill="1" applyAlignment="1">
      <alignment horizontal="justify" vertical="center"/>
    </xf>
    <xf numFmtId="0" fontId="34" fillId="3" borderId="0" xfId="0" applyFont="1" applyFill="1" applyAlignment="1">
      <alignment horizontal="justify" vertical="center"/>
    </xf>
    <xf numFmtId="167" fontId="35" fillId="3" borderId="2" xfId="1" applyNumberFormat="1" applyFont="1" applyFill="1" applyBorder="1" applyAlignment="1">
      <alignment vertical="center"/>
    </xf>
    <xf numFmtId="167" fontId="35" fillId="3" borderId="10" xfId="1" applyNumberFormat="1" applyFont="1" applyFill="1" applyBorder="1" applyAlignment="1">
      <alignment vertical="center"/>
    </xf>
    <xf numFmtId="0" fontId="20" fillId="0" borderId="1" xfId="0" applyFont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top"/>
    </xf>
    <xf numFmtId="0" fontId="10" fillId="0" borderId="13" xfId="0" applyFont="1" applyBorder="1"/>
    <xf numFmtId="0" fontId="10" fillId="2" borderId="0" xfId="0" applyFont="1" applyFill="1" applyAlignment="1">
      <alignment horizontal="center" vertical="top"/>
    </xf>
    <xf numFmtId="0" fontId="10" fillId="0" borderId="14" xfId="0" applyFont="1" applyBorder="1"/>
    <xf numFmtId="0" fontId="10" fillId="2" borderId="2" xfId="0" applyFont="1" applyFill="1" applyBorder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68" fontId="32" fillId="0" borderId="0" xfId="0" applyNumberFormat="1" applyFont="1" applyAlignment="1">
      <alignment horizontal="right" vertical="center"/>
    </xf>
    <xf numFmtId="168" fontId="32" fillId="0" borderId="6" xfId="0" applyNumberFormat="1" applyFont="1" applyBorder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32" fillId="0" borderId="6" xfId="0" applyFont="1" applyBorder="1" applyAlignment="1">
      <alignment horizontal="right" vertical="center"/>
    </xf>
    <xf numFmtId="167" fontId="32" fillId="0" borderId="0" xfId="1" applyNumberFormat="1" applyFont="1" applyBorder="1" applyAlignment="1">
      <alignment horizontal="right" vertical="center"/>
    </xf>
    <xf numFmtId="167" fontId="32" fillId="0" borderId="6" xfId="1" applyNumberFormat="1" applyFont="1" applyBorder="1" applyAlignment="1">
      <alignment horizontal="right" vertical="center"/>
    </xf>
    <xf numFmtId="166" fontId="32" fillId="0" borderId="0" xfId="1" applyFont="1" applyBorder="1" applyAlignment="1">
      <alignment horizontal="right" vertical="center"/>
    </xf>
    <xf numFmtId="166" fontId="32" fillId="0" borderId="6" xfId="1" applyFont="1" applyBorder="1" applyAlignment="1">
      <alignment horizontal="right" vertical="center"/>
    </xf>
    <xf numFmtId="166" fontId="32" fillId="0" borderId="2" xfId="1" applyFont="1" applyBorder="1" applyAlignment="1">
      <alignment horizontal="right" vertical="center"/>
    </xf>
    <xf numFmtId="166" fontId="32" fillId="0" borderId="10" xfId="1" applyFont="1" applyBorder="1" applyAlignment="1">
      <alignment horizontal="right"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/>
    </xf>
    <xf numFmtId="0" fontId="32" fillId="3" borderId="0" xfId="0" applyFont="1" applyFill="1" applyAlignment="1">
      <alignment horizontal="center"/>
    </xf>
    <xf numFmtId="0" fontId="31" fillId="2" borderId="13" xfId="0" applyFont="1" applyFill="1" applyBorder="1" applyAlignment="1">
      <alignment horizontal="justify" vertical="center"/>
    </xf>
    <xf numFmtId="0" fontId="35" fillId="2" borderId="13" xfId="0" applyFont="1" applyFill="1" applyBorder="1" applyAlignment="1">
      <alignment horizontal="justify" vertical="center"/>
    </xf>
    <xf numFmtId="0" fontId="31" fillId="3" borderId="13" xfId="0" applyFont="1" applyFill="1" applyBorder="1" applyAlignment="1">
      <alignment vertical="center"/>
    </xf>
    <xf numFmtId="0" fontId="35" fillId="2" borderId="14" xfId="0" applyFont="1" applyFill="1" applyBorder="1" applyAlignment="1">
      <alignment horizontal="justify" vertical="center"/>
    </xf>
    <xf numFmtId="0" fontId="36" fillId="2" borderId="13" xfId="0" applyFont="1" applyFill="1" applyBorder="1" applyAlignment="1">
      <alignment horizontal="left" indent="1"/>
    </xf>
    <xf numFmtId="0" fontId="36" fillId="2" borderId="14" xfId="0" applyFont="1" applyFill="1" applyBorder="1" applyAlignment="1">
      <alignment horizontal="left" indent="1"/>
    </xf>
    <xf numFmtId="0" fontId="6" fillId="3" borderId="0" xfId="0" applyFont="1" applyFill="1" applyAlignment="1">
      <alignment horizontal="right" vertical="center"/>
    </xf>
    <xf numFmtId="3" fontId="4" fillId="3" borderId="10" xfId="0" applyNumberFormat="1" applyFont="1" applyFill="1" applyBorder="1" applyAlignment="1">
      <alignment horizontal="right" vertical="center"/>
    </xf>
    <xf numFmtId="0" fontId="7" fillId="3" borderId="11" xfId="0" applyFont="1" applyFill="1" applyBorder="1" applyAlignment="1">
      <alignment horizontal="right" vertical="center"/>
    </xf>
    <xf numFmtId="3" fontId="4" fillId="3" borderId="2" xfId="0" applyNumberFormat="1" applyFont="1" applyFill="1" applyBorder="1" applyAlignment="1">
      <alignment horizontal="right" vertical="center"/>
    </xf>
    <xf numFmtId="167" fontId="3" fillId="3" borderId="0" xfId="1" applyNumberFormat="1" applyFont="1" applyFill="1" applyBorder="1" applyAlignment="1">
      <alignment horizontal="justify" vertical="center"/>
    </xf>
    <xf numFmtId="167" fontId="3" fillId="2" borderId="0" xfId="1" applyNumberFormat="1" applyFont="1" applyFill="1" applyBorder="1" applyAlignment="1">
      <alignment horizontal="justify" vertical="center"/>
    </xf>
    <xf numFmtId="0" fontId="29" fillId="0" borderId="3" xfId="0" applyFont="1" applyBorder="1" applyAlignment="1">
      <alignment horizontal="center" vertical="center"/>
    </xf>
    <xf numFmtId="0" fontId="37" fillId="0" borderId="0" xfId="0" applyFont="1"/>
    <xf numFmtId="167" fontId="25" fillId="2" borderId="13" xfId="1" applyNumberFormat="1" applyFont="1" applyFill="1" applyBorder="1" applyAlignment="1">
      <alignment horizontal="left" indent="1"/>
    </xf>
    <xf numFmtId="167" fontId="25" fillId="2" borderId="14" xfId="1" applyNumberFormat="1" applyFont="1" applyFill="1" applyBorder="1" applyAlignment="1">
      <alignment horizontal="left" indent="1"/>
    </xf>
    <xf numFmtId="167" fontId="25" fillId="2" borderId="15" xfId="1" applyNumberFormat="1" applyFont="1" applyFill="1" applyBorder="1" applyAlignment="1">
      <alignment horizontal="left" indent="1"/>
    </xf>
    <xf numFmtId="0" fontId="10" fillId="4" borderId="13" xfId="0" applyFont="1" applyFill="1" applyBorder="1"/>
    <xf numFmtId="2" fontId="16" fillId="4" borderId="0" xfId="0" applyNumberFormat="1" applyFont="1" applyFill="1" applyAlignment="1">
      <alignment horizontal="center"/>
    </xf>
    <xf numFmtId="2" fontId="16" fillId="4" borderId="6" xfId="0" applyNumberFormat="1" applyFont="1" applyFill="1" applyBorder="1" applyAlignment="1">
      <alignment horizontal="center"/>
    </xf>
    <xf numFmtId="9" fontId="18" fillId="0" borderId="10" xfId="2" applyFont="1" applyBorder="1" applyAlignment="1">
      <alignment horizontal="center"/>
    </xf>
    <xf numFmtId="0" fontId="20" fillId="0" borderId="15" xfId="0" applyFont="1" applyBorder="1" applyAlignment="1">
      <alignment horizontal="left" vertical="center"/>
    </xf>
    <xf numFmtId="0" fontId="21" fillId="0" borderId="13" xfId="0" applyFont="1" applyBorder="1" applyAlignment="1">
      <alignment horizontal="center" vertical="center"/>
    </xf>
    <xf numFmtId="4" fontId="19" fillId="5" borderId="6" xfId="0" applyNumberFormat="1" applyFont="1" applyFill="1" applyBorder="1" applyAlignment="1">
      <alignment horizontal="center" vertical="center"/>
    </xf>
    <xf numFmtId="4" fontId="24" fillId="6" borderId="6" xfId="0" applyNumberFormat="1" applyFont="1" applyFill="1" applyBorder="1" applyAlignment="1">
      <alignment horizontal="center" vertical="center"/>
    </xf>
    <xf numFmtId="4" fontId="24" fillId="6" borderId="10" xfId="0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/>
    </xf>
    <xf numFmtId="0" fontId="19" fillId="0" borderId="3" xfId="0" applyFont="1" applyBorder="1"/>
    <xf numFmtId="14" fontId="19" fillId="5" borderId="3" xfId="0" applyNumberFormat="1" applyFont="1" applyFill="1" applyBorder="1"/>
    <xf numFmtId="0" fontId="17" fillId="0" borderId="4" xfId="0" applyFont="1" applyBorder="1"/>
    <xf numFmtId="0" fontId="17" fillId="0" borderId="9" xfId="0" applyFont="1" applyBorder="1"/>
    <xf numFmtId="2" fontId="19" fillId="0" borderId="10" xfId="0" applyNumberFormat="1" applyFont="1" applyBorder="1"/>
    <xf numFmtId="0" fontId="20" fillId="3" borderId="15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7" fontId="12" fillId="0" borderId="4" xfId="1" applyNumberFormat="1" applyFont="1" applyBorder="1" applyAlignment="1">
      <alignment horizontal="center" vertical="center"/>
    </xf>
    <xf numFmtId="167" fontId="6" fillId="3" borderId="0" xfId="1" applyNumberFormat="1" applyFont="1" applyFill="1" applyBorder="1" applyAlignment="1">
      <alignment horizontal="center"/>
    </xf>
    <xf numFmtId="167" fontId="6" fillId="3" borderId="6" xfId="1" applyNumberFormat="1" applyFont="1" applyFill="1" applyBorder="1" applyAlignment="1">
      <alignment horizontal="center"/>
    </xf>
    <xf numFmtId="0" fontId="33" fillId="2" borderId="13" xfId="0" applyFont="1" applyFill="1" applyBorder="1" applyAlignment="1">
      <alignment horizontal="center" vertical="center"/>
    </xf>
    <xf numFmtId="167" fontId="6" fillId="3" borderId="6" xfId="1" applyNumberFormat="1" applyFont="1" applyFill="1" applyBorder="1" applyAlignment="1">
      <alignment horizontal="center" vertical="center"/>
    </xf>
    <xf numFmtId="167" fontId="6" fillId="3" borderId="6" xfId="1" applyNumberFormat="1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justify" vertical="center"/>
    </xf>
    <xf numFmtId="167" fontId="6" fillId="3" borderId="0" xfId="1" applyNumberFormat="1" applyFont="1" applyFill="1" applyBorder="1" applyAlignment="1">
      <alignment horizontal="left" vertical="center" indent="1"/>
    </xf>
    <xf numFmtId="167" fontId="6" fillId="3" borderId="6" xfId="1" applyNumberFormat="1" applyFont="1" applyFill="1" applyBorder="1" applyAlignment="1">
      <alignment horizontal="justify" vertical="center"/>
    </xf>
    <xf numFmtId="0" fontId="6" fillId="0" borderId="2" xfId="0" applyFont="1" applyBorder="1"/>
    <xf numFmtId="167" fontId="6" fillId="3" borderId="2" xfId="1" applyNumberFormat="1" applyFont="1" applyFill="1" applyBorder="1" applyAlignment="1">
      <alignment horizontal="left" vertical="center" indent="1"/>
    </xf>
    <xf numFmtId="167" fontId="6" fillId="3" borderId="10" xfId="1" applyNumberFormat="1" applyFont="1" applyFill="1" applyBorder="1" applyAlignment="1">
      <alignment horizontal="left" vertical="center" indent="1"/>
    </xf>
    <xf numFmtId="0" fontId="31" fillId="2" borderId="14" xfId="0" applyFont="1" applyFill="1" applyBorder="1" applyAlignment="1">
      <alignment horizontal="justify" vertical="center"/>
    </xf>
    <xf numFmtId="0" fontId="6" fillId="0" borderId="5" xfId="0" applyFont="1" applyBorder="1" applyAlignment="1">
      <alignment horizontal="center"/>
    </xf>
    <xf numFmtId="167" fontId="6" fillId="0" borderId="6" xfId="0" applyNumberFormat="1" applyFont="1" applyBorder="1"/>
    <xf numFmtId="0" fontId="6" fillId="0" borderId="9" xfId="0" applyFont="1" applyBorder="1" applyAlignment="1">
      <alignment horizontal="center"/>
    </xf>
    <xf numFmtId="167" fontId="6" fillId="0" borderId="10" xfId="0" applyNumberFormat="1" applyFont="1" applyBorder="1"/>
    <xf numFmtId="0" fontId="31" fillId="0" borderId="3" xfId="0" applyFont="1" applyBorder="1" applyAlignment="1">
      <alignment horizontal="center"/>
    </xf>
    <xf numFmtId="167" fontId="31" fillId="0" borderId="3" xfId="0" applyNumberFormat="1" applyFont="1" applyBorder="1"/>
    <xf numFmtId="0" fontId="29" fillId="0" borderId="0" xfId="0" applyFont="1" applyAlignment="1">
      <alignment horizontal="left" vertical="center"/>
    </xf>
    <xf numFmtId="0" fontId="0" fillId="3" borderId="12" xfId="0" applyFill="1" applyBorder="1"/>
    <xf numFmtId="0" fontId="0" fillId="3" borderId="11" xfId="0" applyFill="1" applyBorder="1"/>
    <xf numFmtId="0" fontId="0" fillId="3" borderId="2" xfId="0" applyFill="1" applyBorder="1"/>
    <xf numFmtId="0" fontId="38" fillId="0" borderId="2" xfId="0" applyFont="1" applyBorder="1" applyAlignment="1">
      <alignment vertical="center"/>
    </xf>
    <xf numFmtId="0" fontId="0" fillId="0" borderId="12" xfId="0" applyBorder="1"/>
    <xf numFmtId="0" fontId="0" fillId="0" borderId="11" xfId="0" applyBorder="1"/>
    <xf numFmtId="0" fontId="38" fillId="0" borderId="0" xfId="0" applyFont="1" applyAlignment="1">
      <alignment vertical="center"/>
    </xf>
    <xf numFmtId="0" fontId="38" fillId="3" borderId="2" xfId="0" applyFont="1" applyFill="1" applyBorder="1" applyAlignment="1">
      <alignment vertical="center"/>
    </xf>
    <xf numFmtId="0" fontId="40" fillId="3" borderId="0" xfId="0" applyFont="1" applyFill="1" applyAlignment="1">
      <alignment vertical="center"/>
    </xf>
    <xf numFmtId="0" fontId="40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/>
    </xf>
    <xf numFmtId="9" fontId="21" fillId="7" borderId="0" xfId="2" applyFont="1" applyFill="1" applyBorder="1" applyAlignment="1">
      <alignment horizontal="right" indent="1"/>
    </xf>
    <xf numFmtId="2" fontId="21" fillId="7" borderId="0" xfId="0" applyNumberFormat="1" applyFont="1" applyFill="1" applyAlignment="1">
      <alignment horizontal="right" indent="1"/>
    </xf>
    <xf numFmtId="167" fontId="21" fillId="7" borderId="0" xfId="1" applyNumberFormat="1" applyFont="1" applyFill="1" applyBorder="1" applyAlignment="1">
      <alignment horizontal="left" indent="1"/>
    </xf>
    <xf numFmtId="167" fontId="21" fillId="8" borderId="0" xfId="1" applyNumberFormat="1" applyFont="1" applyFill="1" applyBorder="1" applyAlignment="1">
      <alignment horizontal="left" indent="1"/>
    </xf>
    <xf numFmtId="167" fontId="21" fillId="8" borderId="6" xfId="1" applyNumberFormat="1" applyFont="1" applyFill="1" applyBorder="1" applyAlignment="1">
      <alignment horizontal="left" indent="1"/>
    </xf>
    <xf numFmtId="167" fontId="25" fillId="8" borderId="0" xfId="1" applyNumberFormat="1" applyFont="1" applyFill="1" applyBorder="1" applyAlignment="1">
      <alignment horizontal="left" indent="1"/>
    </xf>
    <xf numFmtId="167" fontId="25" fillId="8" borderId="6" xfId="1" applyNumberFormat="1" applyFont="1" applyFill="1" applyBorder="1" applyAlignment="1">
      <alignment horizontal="left" indent="1"/>
    </xf>
    <xf numFmtId="167" fontId="26" fillId="7" borderId="1" xfId="1" applyNumberFormat="1" applyFont="1" applyFill="1" applyBorder="1" applyAlignment="1">
      <alignment horizontal="left" indent="1"/>
    </xf>
    <xf numFmtId="3" fontId="16" fillId="7" borderId="0" xfId="0" applyNumberFormat="1" applyFont="1" applyFill="1" applyAlignment="1">
      <alignment horizontal="right"/>
    </xf>
    <xf numFmtId="3" fontId="16" fillId="7" borderId="6" xfId="0" applyNumberFormat="1" applyFont="1" applyFill="1" applyBorder="1" applyAlignment="1">
      <alignment horizontal="right"/>
    </xf>
    <xf numFmtId="3" fontId="16" fillId="3" borderId="0" xfId="0" applyNumberFormat="1" applyFont="1" applyFill="1" applyAlignment="1">
      <alignment horizontal="right"/>
    </xf>
    <xf numFmtId="3" fontId="16" fillId="3" borderId="6" xfId="0" applyNumberFormat="1" applyFont="1" applyFill="1" applyBorder="1" applyAlignment="1">
      <alignment horizontal="right"/>
    </xf>
    <xf numFmtId="3" fontId="10" fillId="7" borderId="0" xfId="0" applyNumberFormat="1" applyFont="1" applyFill="1"/>
    <xf numFmtId="3" fontId="10" fillId="7" borderId="0" xfId="0" applyNumberFormat="1" applyFont="1" applyFill="1" applyAlignment="1">
      <alignment horizontal="right" vertical="center"/>
    </xf>
    <xf numFmtId="3" fontId="10" fillId="7" borderId="2" xfId="0" applyNumberFormat="1" applyFont="1" applyFill="1" applyBorder="1"/>
    <xf numFmtId="0" fontId="10" fillId="7" borderId="2" xfId="0" applyFont="1" applyFill="1" applyBorder="1"/>
    <xf numFmtId="4" fontId="19" fillId="7" borderId="0" xfId="0" applyNumberFormat="1" applyFont="1" applyFill="1" applyAlignment="1">
      <alignment horizontal="center" vertical="center"/>
    </xf>
    <xf numFmtId="4" fontId="24" fillId="7" borderId="0" xfId="0" applyNumberFormat="1" applyFont="1" applyFill="1" applyAlignment="1">
      <alignment horizontal="center" vertical="center"/>
    </xf>
    <xf numFmtId="4" fontId="24" fillId="7" borderId="2" xfId="0" applyNumberFormat="1" applyFont="1" applyFill="1" applyBorder="1" applyAlignment="1">
      <alignment horizontal="center" vertical="center"/>
    </xf>
    <xf numFmtId="170" fontId="0" fillId="0" borderId="0" xfId="0" applyNumberFormat="1"/>
    <xf numFmtId="168" fontId="32" fillId="7" borderId="0" xfId="0" applyNumberFormat="1" applyFont="1" applyFill="1" applyAlignment="1">
      <alignment horizontal="right" vertical="center"/>
    </xf>
    <xf numFmtId="168" fontId="32" fillId="7" borderId="6" xfId="0" applyNumberFormat="1" applyFont="1" applyFill="1" applyBorder="1" applyAlignment="1">
      <alignment horizontal="right" vertical="center"/>
    </xf>
    <xf numFmtId="167" fontId="32" fillId="7" borderId="0" xfId="1" applyNumberFormat="1" applyFont="1" applyFill="1" applyBorder="1" applyAlignment="1">
      <alignment horizontal="right" vertical="center"/>
    </xf>
    <xf numFmtId="167" fontId="32" fillId="7" borderId="6" xfId="1" applyNumberFormat="1" applyFont="1" applyFill="1" applyBorder="1" applyAlignment="1">
      <alignment horizontal="right" vertical="center"/>
    </xf>
    <xf numFmtId="2" fontId="32" fillId="7" borderId="0" xfId="0" applyNumberFormat="1" applyFont="1" applyFill="1" applyAlignment="1">
      <alignment horizontal="right" vertical="center"/>
    </xf>
    <xf numFmtId="2" fontId="32" fillId="7" borderId="2" xfId="0" applyNumberFormat="1" applyFont="1" applyFill="1" applyBorder="1" applyAlignment="1">
      <alignment horizontal="right" vertical="center"/>
    </xf>
    <xf numFmtId="0" fontId="34" fillId="7" borderId="0" xfId="0" applyFont="1" applyFill="1" applyAlignment="1">
      <alignment vertical="center"/>
    </xf>
    <xf numFmtId="0" fontId="34" fillId="7" borderId="6" xfId="0" applyFont="1" applyFill="1" applyBorder="1" applyAlignment="1">
      <alignment vertical="center"/>
    </xf>
    <xf numFmtId="167" fontId="34" fillId="7" borderId="0" xfId="1" applyNumberFormat="1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34" fillId="7" borderId="0" xfId="0" applyFont="1" applyFill="1" applyAlignment="1">
      <alignment horizontal="center"/>
    </xf>
    <xf numFmtId="3" fontId="4" fillId="7" borderId="11" xfId="0" applyNumberFormat="1" applyFont="1" applyFill="1" applyBorder="1" applyAlignment="1">
      <alignment horizontal="right" vertical="center"/>
    </xf>
    <xf numFmtId="3" fontId="4" fillId="7" borderId="8" xfId="0" applyNumberFormat="1" applyFont="1" applyFill="1" applyBorder="1" applyAlignment="1">
      <alignment horizontal="right" vertical="center"/>
    </xf>
    <xf numFmtId="3" fontId="4" fillId="7" borderId="0" xfId="0" applyNumberFormat="1" applyFont="1" applyFill="1" applyAlignment="1">
      <alignment horizontal="right" vertical="center"/>
    </xf>
    <xf numFmtId="3" fontId="4" fillId="7" borderId="6" xfId="0" applyNumberFormat="1" applyFont="1" applyFill="1" applyBorder="1" applyAlignment="1">
      <alignment horizontal="right" vertical="center"/>
    </xf>
    <xf numFmtId="0" fontId="4" fillId="7" borderId="2" xfId="0" applyFont="1" applyFill="1" applyBorder="1" applyAlignment="1">
      <alignment horizontal="right" vertical="center"/>
    </xf>
    <xf numFmtId="168" fontId="6" fillId="7" borderId="0" xfId="2" applyNumberFormat="1" applyFont="1" applyFill="1" applyBorder="1" applyAlignment="1">
      <alignment horizontal="center"/>
    </xf>
    <xf numFmtId="168" fontId="6" fillId="7" borderId="6" xfId="2" applyNumberFormat="1" applyFont="1" applyFill="1" applyBorder="1" applyAlignment="1">
      <alignment horizontal="center"/>
    </xf>
    <xf numFmtId="0" fontId="6" fillId="7" borderId="0" xfId="0" applyFont="1" applyFill="1" applyAlignment="1">
      <alignment horizontal="right" vertical="center"/>
    </xf>
    <xf numFmtId="0" fontId="6" fillId="7" borderId="6" xfId="0" applyFont="1" applyFill="1" applyBorder="1" applyAlignment="1">
      <alignment horizontal="right" vertical="center"/>
    </xf>
    <xf numFmtId="167" fontId="6" fillId="7" borderId="0" xfId="1" applyNumberFormat="1" applyFont="1" applyFill="1" applyBorder="1" applyAlignment="1">
      <alignment horizontal="center"/>
    </xf>
    <xf numFmtId="167" fontId="6" fillId="7" borderId="0" xfId="1" applyNumberFormat="1" applyFont="1" applyFill="1" applyBorder="1" applyAlignment="1">
      <alignment horizontal="right" vertical="center"/>
    </xf>
    <xf numFmtId="167" fontId="6" fillId="7" borderId="6" xfId="1" applyNumberFormat="1" applyFont="1" applyFill="1" applyBorder="1" applyAlignment="1">
      <alignment horizontal="center" vertical="center"/>
    </xf>
    <xf numFmtId="0" fontId="6" fillId="0" borderId="0" xfId="0" applyFont="1"/>
    <xf numFmtId="169" fontId="23" fillId="3" borderId="0" xfId="0" applyNumberFormat="1" applyFont="1" applyFill="1" applyAlignment="1">
      <alignment horizontal="right"/>
    </xf>
    <xf numFmtId="169" fontId="24" fillId="3" borderId="0" xfId="0" applyNumberFormat="1" applyFont="1" applyFill="1" applyAlignment="1">
      <alignment horizontal="right"/>
    </xf>
    <xf numFmtId="0" fontId="21" fillId="2" borderId="13" xfId="0" applyFont="1" applyFill="1" applyBorder="1" applyAlignment="1">
      <alignment horizontal="left" indent="1"/>
    </xf>
    <xf numFmtId="9" fontId="22" fillId="0" borderId="0" xfId="2" applyFont="1" applyBorder="1" applyAlignment="1">
      <alignment horizontal="right" indent="1"/>
    </xf>
    <xf numFmtId="169" fontId="24" fillId="2" borderId="0" xfId="1" applyNumberFormat="1" applyFont="1" applyFill="1" applyBorder="1" applyAlignment="1">
      <alignment horizontal="right"/>
    </xf>
    <xf numFmtId="9" fontId="22" fillId="0" borderId="6" xfId="2" applyFont="1" applyBorder="1" applyAlignment="1">
      <alignment horizontal="right" indent="1"/>
    </xf>
    <xf numFmtId="169" fontId="24" fillId="2" borderId="6" xfId="1" applyNumberFormat="1" applyFont="1" applyFill="1" applyBorder="1" applyAlignment="1">
      <alignment horizontal="right"/>
    </xf>
    <xf numFmtId="0" fontId="21" fillId="2" borderId="14" xfId="0" applyFont="1" applyFill="1" applyBorder="1" applyAlignment="1">
      <alignment horizontal="left" indent="1"/>
    </xf>
    <xf numFmtId="168" fontId="43" fillId="2" borderId="2" xfId="2" applyNumberFormat="1" applyFont="1" applyFill="1" applyBorder="1" applyAlignment="1">
      <alignment horizontal="right"/>
    </xf>
    <xf numFmtId="168" fontId="43" fillId="2" borderId="10" xfId="2" applyNumberFormat="1" applyFont="1" applyFill="1" applyBorder="1" applyAlignment="1">
      <alignment horizontal="right"/>
    </xf>
    <xf numFmtId="166" fontId="14" fillId="3" borderId="0" xfId="1" applyFont="1" applyFill="1"/>
    <xf numFmtId="166" fontId="14" fillId="3" borderId="0" xfId="0" applyNumberFormat="1" applyFont="1" applyFill="1"/>
    <xf numFmtId="167" fontId="27" fillId="5" borderId="13" xfId="1" applyNumberFormat="1" applyFont="1" applyFill="1" applyBorder="1" applyAlignment="1">
      <alignment horizontal="left" indent="1"/>
    </xf>
    <xf numFmtId="0" fontId="20" fillId="0" borderId="0" xfId="0" applyFont="1" applyAlignment="1">
      <alignment horizontal="center" vertical="center"/>
    </xf>
    <xf numFmtId="10" fontId="20" fillId="0" borderId="0" xfId="0" applyNumberFormat="1" applyFont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41" fillId="3" borderId="0" xfId="0" applyFont="1" applyFill="1" applyAlignment="1">
      <alignment horizontal="center" vertical="center"/>
    </xf>
    <xf numFmtId="0" fontId="42" fillId="9" borderId="0" xfId="0" applyFont="1" applyFill="1"/>
    <xf numFmtId="0" fontId="20" fillId="0" borderId="1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20" xfId="3" xr:uid="{DEB57A88-6887-45EC-8919-7A65180E8653}"/>
    <cellStyle name="Normal 23" xfId="4" xr:uid="{079EEF46-CB78-4877-AD82-302238D0921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Fuentes de financiamiento'!A1"/><Relationship Id="rId13" Type="http://schemas.openxmlformats.org/officeDocument/2006/relationships/hyperlink" Target="#Indexaci&#243;n!A1"/><Relationship Id="rId3" Type="http://schemas.openxmlformats.org/officeDocument/2006/relationships/hyperlink" Target="#'Estado de Resultados'!A1"/><Relationship Id="rId7" Type="http://schemas.openxmlformats.org/officeDocument/2006/relationships/hyperlink" Target="#'Proyeccion de fuentes de fondeo'!A1"/><Relationship Id="rId12" Type="http://schemas.openxmlformats.org/officeDocument/2006/relationships/hyperlink" Target="#EEFF"/><Relationship Id="rId2" Type="http://schemas.openxmlformats.org/officeDocument/2006/relationships/hyperlink" Target="#'Construcci&#243;n Modelo financiero'!A1"/><Relationship Id="rId1" Type="http://schemas.openxmlformats.org/officeDocument/2006/relationships/hyperlink" Target="#'Fase preliminar'!A1"/><Relationship Id="rId6" Type="http://schemas.openxmlformats.org/officeDocument/2006/relationships/hyperlink" Target="#'Proyecci&#243;n de Costos'!A1"/><Relationship Id="rId11" Type="http://schemas.openxmlformats.org/officeDocument/2006/relationships/hyperlink" Target="#'Costos PTAR'!A1"/><Relationship Id="rId5" Type="http://schemas.openxmlformats.org/officeDocument/2006/relationships/hyperlink" Target="#Indicadores_financieros"/><Relationship Id="rId10" Type="http://schemas.openxmlformats.org/officeDocument/2006/relationships/hyperlink" Target="#'Flujo de Caja Financiado'!A1"/><Relationship Id="rId4" Type="http://schemas.openxmlformats.org/officeDocument/2006/relationships/hyperlink" Target="#'Flujo de Caja'!A1"/><Relationship Id="rId9" Type="http://schemas.openxmlformats.org/officeDocument/2006/relationships/hyperlink" Target="#'Esquemas de ejecuci&#243;n'!A1"/><Relationship Id="rId1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'Costos PTAR'!A1"/><Relationship Id="rId7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hyperlink" Target="#Indice!A1"/><Relationship Id="rId6" Type="http://schemas.openxmlformats.org/officeDocument/2006/relationships/image" Target="../media/image6.png"/><Relationship Id="rId5" Type="http://schemas.openxmlformats.org/officeDocument/2006/relationships/hyperlink" Target="#'Flujo de Caja'!A1"/><Relationship Id="rId4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'Costos Unitarios'!A1"/><Relationship Id="rId2" Type="http://schemas.openxmlformats.org/officeDocument/2006/relationships/image" Target="../media/image4.png"/><Relationship Id="rId1" Type="http://schemas.openxmlformats.org/officeDocument/2006/relationships/hyperlink" Target="#Indice!A1"/><Relationship Id="rId5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EEFF!A1"/><Relationship Id="rId7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hyperlink" Target="#Indice!A1"/><Relationship Id="rId6" Type="http://schemas.openxmlformats.org/officeDocument/2006/relationships/image" Target="../media/image6.png"/><Relationship Id="rId5" Type="http://schemas.openxmlformats.org/officeDocument/2006/relationships/hyperlink" Target="#'Flujo de Caja Financiado'!A1"/><Relationship Id="rId4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Indice!A1"/><Relationship Id="rId7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7.jpeg"/><Relationship Id="rId6" Type="http://schemas.openxmlformats.org/officeDocument/2006/relationships/image" Target="../media/image6.png"/><Relationship Id="rId5" Type="http://schemas.openxmlformats.org/officeDocument/2006/relationships/hyperlink" Target="#'Costos PTAR'!A1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#Indice!A1"/><Relationship Id="rId1" Type="http://schemas.openxmlformats.org/officeDocument/2006/relationships/image" Target="../media/image3.png"/><Relationship Id="rId5" Type="http://schemas.openxmlformats.org/officeDocument/2006/relationships/image" Target="../media/image5.png"/><Relationship Id="rId4" Type="http://schemas.openxmlformats.org/officeDocument/2006/relationships/hyperlink" Target="#'Proyecci&#243;n de Costos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6.png"/><Relationship Id="rId2" Type="http://schemas.openxmlformats.org/officeDocument/2006/relationships/hyperlink" Target="#Indice!A1"/><Relationship Id="rId1" Type="http://schemas.openxmlformats.org/officeDocument/2006/relationships/image" Target="../media/image3.png"/><Relationship Id="rId6" Type="http://schemas.openxmlformats.org/officeDocument/2006/relationships/hyperlink" Target="#'Fase preliminar'!A1"/><Relationship Id="rId5" Type="http://schemas.openxmlformats.org/officeDocument/2006/relationships/image" Target="../media/image5.png"/><Relationship Id="rId4" Type="http://schemas.openxmlformats.org/officeDocument/2006/relationships/hyperlink" Target="#'Proyeccion de fuentes de fondeo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Fuentes de financiamiento'!A1"/><Relationship Id="rId7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hyperlink" Target="#Indice!A1"/><Relationship Id="rId6" Type="http://schemas.openxmlformats.org/officeDocument/2006/relationships/image" Target="../media/image6.png"/><Relationship Id="rId5" Type="http://schemas.openxmlformats.org/officeDocument/2006/relationships/hyperlink" Target="#'Proyecci&#243;n de Costos'!A1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Esquemas de ejecuci&#243;n'!A1"/><Relationship Id="rId7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hyperlink" Target="#Indice!A1"/><Relationship Id="rId6" Type="http://schemas.openxmlformats.org/officeDocument/2006/relationships/image" Target="../media/image6.png"/><Relationship Id="rId5" Type="http://schemas.openxmlformats.org/officeDocument/2006/relationships/hyperlink" Target="#'Proyeccion de fuentes de fondeo'!A1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Construcci&#243;n Modelo financiero'!A1"/><Relationship Id="rId7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hyperlink" Target="#Indice!A1"/><Relationship Id="rId6" Type="http://schemas.openxmlformats.org/officeDocument/2006/relationships/image" Target="../media/image6.png"/><Relationship Id="rId5" Type="http://schemas.openxmlformats.org/officeDocument/2006/relationships/hyperlink" Target="#'Fuentes de financiamiento'!A1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Estado de Resultados'!A1"/><Relationship Id="rId7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hyperlink" Target="#Indice!A1"/><Relationship Id="rId6" Type="http://schemas.openxmlformats.org/officeDocument/2006/relationships/image" Target="../media/image6.png"/><Relationship Id="rId5" Type="http://schemas.openxmlformats.org/officeDocument/2006/relationships/hyperlink" Target="#'Esquemas de ejecuci&#243;n'!A1"/><Relationship Id="rId4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Flujo de Caja'!A1"/><Relationship Id="rId7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hyperlink" Target="#Indice!A1"/><Relationship Id="rId6" Type="http://schemas.openxmlformats.org/officeDocument/2006/relationships/image" Target="../media/image6.png"/><Relationship Id="rId5" Type="http://schemas.openxmlformats.org/officeDocument/2006/relationships/hyperlink" Target="#'Construcci&#243;n Modelo financiero'!A1"/><Relationship Id="rId4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'Flujo de Caja Financiado'!A1"/><Relationship Id="rId7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hyperlink" Target="#Indice!A1"/><Relationship Id="rId6" Type="http://schemas.openxmlformats.org/officeDocument/2006/relationships/image" Target="../media/image6.png"/><Relationship Id="rId5" Type="http://schemas.openxmlformats.org/officeDocument/2006/relationships/hyperlink" Target="#'Estado de Resultados'!A1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0</xdr:rowOff>
    </xdr:from>
    <xdr:to>
      <xdr:col>17</xdr:col>
      <xdr:colOff>9525</xdr:colOff>
      <xdr:row>6</xdr:row>
      <xdr:rowOff>114299</xdr:rowOff>
    </xdr:to>
    <xdr:sp macro="" textlink="">
      <xdr:nvSpPr>
        <xdr:cNvPr id="2" name="Rectángulo redondeado 48">
          <a:extLst>
            <a:ext uri="{FF2B5EF4-FFF2-40B4-BE49-F238E27FC236}">
              <a16:creationId xmlns:a16="http://schemas.microsoft.com/office/drawing/2014/main" id="{FC90EF43-A06E-45B6-B8BB-B99E933EBD6C}"/>
            </a:ext>
          </a:extLst>
        </xdr:cNvPr>
        <xdr:cNvSpPr/>
      </xdr:nvSpPr>
      <xdr:spPr>
        <a:xfrm>
          <a:off x="828675" y="0"/>
          <a:ext cx="10753725" cy="1257299"/>
        </a:xfrm>
        <a:prstGeom prst="roundRect">
          <a:avLst/>
        </a:prstGeom>
        <a:noFill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6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ESTRATEGÍA DE SOSTENIBILIDAD FINANCIERA PARA PROYECTOS DE SANEAMIENTO</a:t>
          </a:r>
          <a:br>
            <a:rPr lang="es-CO" sz="16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es-CO" sz="16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Y DE TRATAMIENTO DE AGUAS RESIDUALES </a:t>
          </a:r>
          <a:endParaRPr lang="es-CO" sz="16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152399</xdr:colOff>
      <xdr:row>13</xdr:row>
      <xdr:rowOff>95249</xdr:rowOff>
    </xdr:from>
    <xdr:to>
      <xdr:col>2</xdr:col>
      <xdr:colOff>76200</xdr:colOff>
      <xdr:row>17</xdr:row>
      <xdr:rowOff>47624</xdr:rowOff>
    </xdr:to>
    <xdr:sp macro="" textlink="">
      <xdr:nvSpPr>
        <xdr:cNvPr id="3" name="Rectángulo redondeado 1">
          <a:extLst>
            <a:ext uri="{FF2B5EF4-FFF2-40B4-BE49-F238E27FC236}">
              <a16:creationId xmlns:a16="http://schemas.microsoft.com/office/drawing/2014/main" id="{BFD8BF58-1E22-42FA-8772-06F26075FC6D}"/>
            </a:ext>
          </a:extLst>
        </xdr:cNvPr>
        <xdr:cNvSpPr/>
      </xdr:nvSpPr>
      <xdr:spPr>
        <a:xfrm>
          <a:off x="152399" y="2019299"/>
          <a:ext cx="1390651" cy="714375"/>
        </a:xfrm>
        <a:prstGeom prst="roundRect">
          <a:avLst/>
        </a:prstGeom>
        <a:solidFill>
          <a:srgbClr val="00B0F0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CO" sz="1100">
              <a:latin typeface="Arial Narrow" panose="020B0606020202030204" pitchFamily="34" charset="0"/>
            </a:rPr>
            <a:t>Fases de un proyecto de saneamiento y aspectos financieros relacionados</a:t>
          </a:r>
        </a:p>
      </xdr:txBody>
    </xdr:sp>
    <xdr:clientData/>
  </xdr:twoCellAnchor>
  <xdr:twoCellAnchor>
    <xdr:from>
      <xdr:col>2</xdr:col>
      <xdr:colOff>504824</xdr:colOff>
      <xdr:row>7</xdr:row>
      <xdr:rowOff>28573</xdr:rowOff>
    </xdr:from>
    <xdr:to>
      <xdr:col>5</xdr:col>
      <xdr:colOff>219074</xdr:colOff>
      <xdr:row>9</xdr:row>
      <xdr:rowOff>28575</xdr:rowOff>
    </xdr:to>
    <xdr:sp macro="" textlink="">
      <xdr:nvSpPr>
        <xdr:cNvPr id="4" name="Rectángulo redondeado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260DD3-0D52-40D3-8D90-FF6B75FF4B5D}"/>
            </a:ext>
          </a:extLst>
        </xdr:cNvPr>
        <xdr:cNvSpPr/>
      </xdr:nvSpPr>
      <xdr:spPr>
        <a:xfrm>
          <a:off x="1971674" y="790573"/>
          <a:ext cx="1857375" cy="390527"/>
        </a:xfrm>
        <a:prstGeom prst="roundRect">
          <a:avLst/>
        </a:prstGeom>
        <a:ln>
          <a:solidFill>
            <a:srgbClr val="00B0F0"/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CO" sz="1100">
              <a:latin typeface="Arial Narrow" panose="020B0606020202030204" pitchFamily="34" charset="0"/>
            </a:rPr>
            <a:t>Fase preliminar: Visión integral del proyecto</a:t>
          </a:r>
        </a:p>
      </xdr:txBody>
    </xdr:sp>
    <xdr:clientData/>
  </xdr:twoCellAnchor>
  <xdr:twoCellAnchor>
    <xdr:from>
      <xdr:col>2</xdr:col>
      <xdr:colOff>514350</xdr:colOff>
      <xdr:row>10</xdr:row>
      <xdr:rowOff>9524</xdr:rowOff>
    </xdr:from>
    <xdr:to>
      <xdr:col>5</xdr:col>
      <xdr:colOff>409575</xdr:colOff>
      <xdr:row>13</xdr:row>
      <xdr:rowOff>47625</xdr:rowOff>
    </xdr:to>
    <xdr:sp macro="" textlink="">
      <xdr:nvSpPr>
        <xdr:cNvPr id="5" name="Rectángulo redondeado 11">
          <a:extLst>
            <a:ext uri="{FF2B5EF4-FFF2-40B4-BE49-F238E27FC236}">
              <a16:creationId xmlns:a16="http://schemas.microsoft.com/office/drawing/2014/main" id="{2B19676D-AC1B-47C3-B4D8-FA33BC183DBC}"/>
            </a:ext>
          </a:extLst>
        </xdr:cNvPr>
        <xdr:cNvSpPr/>
      </xdr:nvSpPr>
      <xdr:spPr>
        <a:xfrm>
          <a:off x="1981200" y="1362074"/>
          <a:ext cx="2038350" cy="609601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s-CO" sz="1100">
              <a:solidFill>
                <a:schemeClr val="lt1"/>
              </a:solidFill>
              <a:latin typeface="Arial Narrow" panose="020B0606020202030204" pitchFamily="34" charset="0"/>
              <a:ea typeface="+mn-ea"/>
              <a:cs typeface="+mn-cs"/>
            </a:rPr>
            <a:t>Fase de prefactibilidad: Elementos financieros para la formulación de proyectos de saneamiento.</a:t>
          </a:r>
        </a:p>
      </xdr:txBody>
    </xdr:sp>
    <xdr:clientData/>
  </xdr:twoCellAnchor>
  <xdr:twoCellAnchor>
    <xdr:from>
      <xdr:col>2</xdr:col>
      <xdr:colOff>514350</xdr:colOff>
      <xdr:row>16</xdr:row>
      <xdr:rowOff>142875</xdr:rowOff>
    </xdr:from>
    <xdr:to>
      <xdr:col>5</xdr:col>
      <xdr:colOff>399975</xdr:colOff>
      <xdr:row>19</xdr:row>
      <xdr:rowOff>66675</xdr:rowOff>
    </xdr:to>
    <xdr:sp macro="" textlink="">
      <xdr:nvSpPr>
        <xdr:cNvPr id="6" name="Rectángulo redondeado 11">
          <a:extLst>
            <a:ext uri="{FF2B5EF4-FFF2-40B4-BE49-F238E27FC236}">
              <a16:creationId xmlns:a16="http://schemas.microsoft.com/office/drawing/2014/main" id="{9125FEAF-4EAC-4F6F-8BB5-6CA8CB81BF17}"/>
            </a:ext>
          </a:extLst>
        </xdr:cNvPr>
        <xdr:cNvSpPr/>
      </xdr:nvSpPr>
      <xdr:spPr>
        <a:xfrm>
          <a:off x="1981200" y="2638425"/>
          <a:ext cx="2028750" cy="49530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s-CO" sz="1100">
              <a:solidFill>
                <a:schemeClr val="lt1"/>
              </a:solidFill>
              <a:latin typeface="Arial Narrow" panose="020B0606020202030204" pitchFamily="34" charset="0"/>
              <a:ea typeface="+mn-ea"/>
              <a:cs typeface="+mn-cs"/>
            </a:rPr>
            <a:t>Fase Factibilidad: Evaluación financiera</a:t>
          </a:r>
        </a:p>
      </xdr:txBody>
    </xdr:sp>
    <xdr:clientData/>
  </xdr:twoCellAnchor>
  <xdr:twoCellAnchor>
    <xdr:from>
      <xdr:col>5</xdr:col>
      <xdr:colOff>571500</xdr:colOff>
      <xdr:row>14</xdr:row>
      <xdr:rowOff>171449</xdr:rowOff>
    </xdr:from>
    <xdr:to>
      <xdr:col>8</xdr:col>
      <xdr:colOff>457125</xdr:colOff>
      <xdr:row>16</xdr:row>
      <xdr:rowOff>56849</xdr:rowOff>
    </xdr:to>
    <xdr:sp macro="" textlink="">
      <xdr:nvSpPr>
        <xdr:cNvPr id="7" name="Rectángulo redondead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42B4E9A-F349-447A-9C67-97075C7D2ECF}"/>
            </a:ext>
          </a:extLst>
        </xdr:cNvPr>
        <xdr:cNvSpPr/>
      </xdr:nvSpPr>
      <xdr:spPr>
        <a:xfrm>
          <a:off x="4181475" y="2285999"/>
          <a:ext cx="2028750" cy="26640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s-CO" sz="1000">
              <a:solidFill>
                <a:schemeClr val="lt1"/>
              </a:solidFill>
              <a:latin typeface="Arial Narrow" panose="020B0606020202030204" pitchFamily="34" charset="0"/>
              <a:ea typeface="+mn-ea"/>
              <a:cs typeface="+mn-cs"/>
            </a:rPr>
            <a:t>Construcción modelo financiero</a:t>
          </a:r>
        </a:p>
      </xdr:txBody>
    </xdr:sp>
    <xdr:clientData/>
  </xdr:twoCellAnchor>
  <xdr:twoCellAnchor>
    <xdr:from>
      <xdr:col>5</xdr:col>
      <xdr:colOff>571500</xdr:colOff>
      <xdr:row>16</xdr:row>
      <xdr:rowOff>95251</xdr:rowOff>
    </xdr:from>
    <xdr:to>
      <xdr:col>8</xdr:col>
      <xdr:colOff>457125</xdr:colOff>
      <xdr:row>17</xdr:row>
      <xdr:rowOff>171151</xdr:rowOff>
    </xdr:to>
    <xdr:sp macro="" textlink="">
      <xdr:nvSpPr>
        <xdr:cNvPr id="8" name="Rectángulo redondead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5776218-CCFC-4C0C-9DFC-4E574F2019B4}"/>
            </a:ext>
          </a:extLst>
        </xdr:cNvPr>
        <xdr:cNvSpPr/>
      </xdr:nvSpPr>
      <xdr:spPr>
        <a:xfrm>
          <a:off x="4181475" y="2590801"/>
          <a:ext cx="2028750" cy="26640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s-CO" sz="1000">
              <a:solidFill>
                <a:schemeClr val="lt1"/>
              </a:solidFill>
              <a:latin typeface="Arial Narrow" panose="020B0606020202030204" pitchFamily="34" charset="0"/>
              <a:ea typeface="+mn-ea"/>
              <a:cs typeface="+mn-cs"/>
            </a:rPr>
            <a:t>Estado de Resultados</a:t>
          </a:r>
        </a:p>
      </xdr:txBody>
    </xdr:sp>
    <xdr:clientData/>
  </xdr:twoCellAnchor>
  <xdr:twoCellAnchor>
    <xdr:from>
      <xdr:col>5</xdr:col>
      <xdr:colOff>571500</xdr:colOff>
      <xdr:row>18</xdr:row>
      <xdr:rowOff>28574</xdr:rowOff>
    </xdr:from>
    <xdr:to>
      <xdr:col>8</xdr:col>
      <xdr:colOff>457125</xdr:colOff>
      <xdr:row>19</xdr:row>
      <xdr:rowOff>104474</xdr:rowOff>
    </xdr:to>
    <xdr:sp macro="" textlink="">
      <xdr:nvSpPr>
        <xdr:cNvPr id="9" name="Rectángulo redondeado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1FB49D-0B01-48E6-B3CC-29925EC465C5}"/>
            </a:ext>
          </a:extLst>
        </xdr:cNvPr>
        <xdr:cNvSpPr/>
      </xdr:nvSpPr>
      <xdr:spPr>
        <a:xfrm>
          <a:off x="4181475" y="2905124"/>
          <a:ext cx="2028750" cy="26640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CO" sz="1000">
              <a:solidFill>
                <a:schemeClr val="lt1"/>
              </a:solidFill>
              <a:latin typeface="Arial Narrow" panose="020B0606020202030204" pitchFamily="34" charset="0"/>
              <a:ea typeface="+mn-ea"/>
              <a:cs typeface="+mn-cs"/>
            </a:rPr>
            <a:t>Flujo de caja del proyecto</a:t>
          </a:r>
        </a:p>
      </xdr:txBody>
    </xdr:sp>
    <xdr:clientData/>
  </xdr:twoCellAnchor>
  <xdr:twoCellAnchor>
    <xdr:from>
      <xdr:col>5</xdr:col>
      <xdr:colOff>571500</xdr:colOff>
      <xdr:row>19</xdr:row>
      <xdr:rowOff>142874</xdr:rowOff>
    </xdr:from>
    <xdr:to>
      <xdr:col>8</xdr:col>
      <xdr:colOff>457125</xdr:colOff>
      <xdr:row>21</xdr:row>
      <xdr:rowOff>95249</xdr:rowOff>
    </xdr:to>
    <xdr:sp macro="" textlink="">
      <xdr:nvSpPr>
        <xdr:cNvPr id="10" name="Rectángulo redondead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FA7CF76-5EEB-4E2D-BF0B-4834CEF84BEC}"/>
            </a:ext>
          </a:extLst>
        </xdr:cNvPr>
        <xdr:cNvSpPr/>
      </xdr:nvSpPr>
      <xdr:spPr>
        <a:xfrm>
          <a:off x="4181475" y="3209924"/>
          <a:ext cx="2028750" cy="3333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CO" sz="1000">
              <a:solidFill>
                <a:schemeClr val="lt1"/>
              </a:solidFill>
              <a:latin typeface="Arial Narrow" panose="020B0606020202030204" pitchFamily="34" charset="0"/>
              <a:ea typeface="+mn-ea"/>
              <a:cs typeface="+mn-cs"/>
            </a:rPr>
            <a:t>Evaluación financiera: indicadores e interpretación</a:t>
          </a:r>
        </a:p>
      </xdr:txBody>
    </xdr:sp>
    <xdr:clientData/>
  </xdr:twoCellAnchor>
  <xdr:twoCellAnchor>
    <xdr:from>
      <xdr:col>5</xdr:col>
      <xdr:colOff>571500</xdr:colOff>
      <xdr:row>7</xdr:row>
      <xdr:rowOff>133349</xdr:rowOff>
    </xdr:from>
    <xdr:to>
      <xdr:col>8</xdr:col>
      <xdr:colOff>457125</xdr:colOff>
      <xdr:row>9</xdr:row>
      <xdr:rowOff>9224</xdr:rowOff>
    </xdr:to>
    <xdr:sp macro="" textlink="">
      <xdr:nvSpPr>
        <xdr:cNvPr id="11" name="Rectángulo redondeado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027C5AD-037C-458A-86A6-4862CB9089A9}"/>
            </a:ext>
          </a:extLst>
        </xdr:cNvPr>
        <xdr:cNvSpPr/>
      </xdr:nvSpPr>
      <xdr:spPr>
        <a:xfrm>
          <a:off x="4181475" y="895349"/>
          <a:ext cx="2028750" cy="266400"/>
        </a:xfrm>
        <a:prstGeom prst="roundRect">
          <a:avLst/>
        </a:prstGeom>
        <a:ln>
          <a:solidFill>
            <a:srgbClr val="00B0F0"/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s-CO" sz="1000">
              <a:solidFill>
                <a:schemeClr val="lt1"/>
              </a:solidFill>
              <a:latin typeface="Arial Narrow" panose="020B0606020202030204" pitchFamily="34" charset="0"/>
              <a:ea typeface="+mn-ea"/>
              <a:cs typeface="+mn-cs"/>
            </a:rPr>
            <a:t>Proyección de costos</a:t>
          </a:r>
          <a:r>
            <a:rPr lang="es-CO" sz="1000" baseline="0">
              <a:solidFill>
                <a:schemeClr val="lt1"/>
              </a:solidFill>
              <a:latin typeface="Arial Narrow" panose="020B0606020202030204" pitchFamily="34" charset="0"/>
              <a:ea typeface="+mn-ea"/>
              <a:cs typeface="+mn-cs"/>
            </a:rPr>
            <a:t> y mantenimiento</a:t>
          </a:r>
          <a:endParaRPr lang="es-CO" sz="1000">
            <a:solidFill>
              <a:schemeClr val="lt1"/>
            </a:solidFill>
            <a:latin typeface="Arial Narrow" panose="020B0606020202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581025</xdr:colOff>
      <xdr:row>9</xdr:row>
      <xdr:rowOff>47625</xdr:rowOff>
    </xdr:from>
    <xdr:to>
      <xdr:col>8</xdr:col>
      <xdr:colOff>457200</xdr:colOff>
      <xdr:row>10</xdr:row>
      <xdr:rowOff>114000</xdr:rowOff>
    </xdr:to>
    <xdr:sp macro="" textlink="">
      <xdr:nvSpPr>
        <xdr:cNvPr id="12" name="Rectángulo redondeado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F32D044-138E-48CC-A162-507ED34E6734}"/>
            </a:ext>
          </a:extLst>
        </xdr:cNvPr>
        <xdr:cNvSpPr/>
      </xdr:nvSpPr>
      <xdr:spPr>
        <a:xfrm>
          <a:off x="4191000" y="1200150"/>
          <a:ext cx="2019300" cy="266400"/>
        </a:xfrm>
        <a:prstGeom prst="roundRect">
          <a:avLst/>
        </a:prstGeom>
        <a:ln>
          <a:solidFill>
            <a:srgbClr val="00B0F0"/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s-CO" sz="1000">
              <a:solidFill>
                <a:schemeClr val="lt1"/>
              </a:solidFill>
              <a:latin typeface="Arial Narrow" panose="020B0606020202030204" pitchFamily="34" charset="0"/>
              <a:ea typeface="+mn-ea"/>
              <a:cs typeface="+mn-cs"/>
            </a:rPr>
            <a:t>Proyección</a:t>
          </a:r>
          <a:r>
            <a:rPr lang="es-CO" sz="1000" baseline="0">
              <a:solidFill>
                <a:schemeClr val="lt1"/>
              </a:solidFill>
              <a:latin typeface="Arial Narrow" panose="020B0606020202030204" pitchFamily="34" charset="0"/>
              <a:ea typeface="+mn-ea"/>
              <a:cs typeface="+mn-cs"/>
            </a:rPr>
            <a:t> de fuentes de fondeo</a:t>
          </a:r>
          <a:endParaRPr lang="es-CO" sz="1000">
            <a:solidFill>
              <a:schemeClr val="lt1"/>
            </a:solidFill>
            <a:latin typeface="Arial Narrow" panose="020B0606020202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581025</xdr:colOff>
      <xdr:row>10</xdr:row>
      <xdr:rowOff>152401</xdr:rowOff>
    </xdr:from>
    <xdr:to>
      <xdr:col>8</xdr:col>
      <xdr:colOff>466650</xdr:colOff>
      <xdr:row>12</xdr:row>
      <xdr:rowOff>37801</xdr:rowOff>
    </xdr:to>
    <xdr:sp macro="" textlink="">
      <xdr:nvSpPr>
        <xdr:cNvPr id="13" name="Rectángulo redondeado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0CC9606-5967-4306-8B85-2E330D4975D6}"/>
            </a:ext>
          </a:extLst>
        </xdr:cNvPr>
        <xdr:cNvSpPr/>
      </xdr:nvSpPr>
      <xdr:spPr>
        <a:xfrm>
          <a:off x="4191000" y="1504951"/>
          <a:ext cx="2028750" cy="266400"/>
        </a:xfrm>
        <a:prstGeom prst="roundRect">
          <a:avLst/>
        </a:prstGeom>
        <a:ln>
          <a:solidFill>
            <a:srgbClr val="00B0F0"/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s-CO" sz="1000">
              <a:solidFill>
                <a:schemeClr val="lt1"/>
              </a:solidFill>
              <a:latin typeface="Arial Narrow" panose="020B0606020202030204" pitchFamily="34" charset="0"/>
              <a:ea typeface="+mn-ea"/>
              <a:cs typeface="+mn-cs"/>
            </a:rPr>
            <a:t>Fuentes de financiamiento</a:t>
          </a:r>
        </a:p>
      </xdr:txBody>
    </xdr:sp>
    <xdr:clientData/>
  </xdr:twoCellAnchor>
  <xdr:twoCellAnchor>
    <xdr:from>
      <xdr:col>5</xdr:col>
      <xdr:colOff>581025</xdr:colOff>
      <xdr:row>12</xdr:row>
      <xdr:rowOff>76201</xdr:rowOff>
    </xdr:from>
    <xdr:to>
      <xdr:col>8</xdr:col>
      <xdr:colOff>466650</xdr:colOff>
      <xdr:row>13</xdr:row>
      <xdr:rowOff>152101</xdr:rowOff>
    </xdr:to>
    <xdr:sp macro="" textlink="">
      <xdr:nvSpPr>
        <xdr:cNvPr id="14" name="Rectángulo redondeado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5C06C94-FD11-4C01-85C1-DCAE51395E9D}"/>
            </a:ext>
          </a:extLst>
        </xdr:cNvPr>
        <xdr:cNvSpPr/>
      </xdr:nvSpPr>
      <xdr:spPr>
        <a:xfrm>
          <a:off x="4191000" y="1809751"/>
          <a:ext cx="2028750" cy="266400"/>
        </a:xfrm>
        <a:prstGeom prst="roundRect">
          <a:avLst/>
        </a:prstGeom>
        <a:ln>
          <a:solidFill>
            <a:srgbClr val="00B0F0"/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s-CO" sz="1000">
              <a:solidFill>
                <a:schemeClr val="lt1"/>
              </a:solidFill>
              <a:latin typeface="Arial Narrow" panose="020B0606020202030204" pitchFamily="34" charset="0"/>
              <a:ea typeface="+mn-ea"/>
              <a:cs typeface="+mn-cs"/>
            </a:rPr>
            <a:t>Esquemas de ejecución</a:t>
          </a:r>
        </a:p>
      </xdr:txBody>
    </xdr:sp>
    <xdr:clientData/>
  </xdr:twoCellAnchor>
  <xdr:twoCellAnchor>
    <xdr:from>
      <xdr:col>5</xdr:col>
      <xdr:colOff>409575</xdr:colOff>
      <xdr:row>8</xdr:row>
      <xdr:rowOff>76049</xdr:rowOff>
    </xdr:from>
    <xdr:to>
      <xdr:col>5</xdr:col>
      <xdr:colOff>571500</xdr:colOff>
      <xdr:row>11</xdr:row>
      <xdr:rowOff>123825</xdr:rowOff>
    </xdr:to>
    <xdr:cxnSp macro="">
      <xdr:nvCxnSpPr>
        <xdr:cNvPr id="15" name="Conector: angular 14">
          <a:extLst>
            <a:ext uri="{FF2B5EF4-FFF2-40B4-BE49-F238E27FC236}">
              <a16:creationId xmlns:a16="http://schemas.microsoft.com/office/drawing/2014/main" id="{877BAA71-800B-4D0E-92B9-90337F0A503D}"/>
            </a:ext>
          </a:extLst>
        </xdr:cNvPr>
        <xdr:cNvCxnSpPr>
          <a:stCxn id="5" idx="3"/>
          <a:endCxn id="11" idx="1"/>
        </xdr:cNvCxnSpPr>
      </xdr:nvCxnSpPr>
      <xdr:spPr>
        <a:xfrm flipV="1">
          <a:off x="4019550" y="1028549"/>
          <a:ext cx="161925" cy="638326"/>
        </a:xfrm>
        <a:prstGeom prst="bentConnector3">
          <a:avLst/>
        </a:prstGeom>
        <a:ln>
          <a:tailEnd type="triangle"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9</xdr:row>
      <xdr:rowOff>180825</xdr:rowOff>
    </xdr:from>
    <xdr:to>
      <xdr:col>5</xdr:col>
      <xdr:colOff>581025</xdr:colOff>
      <xdr:row>11</xdr:row>
      <xdr:rowOff>123825</xdr:rowOff>
    </xdr:to>
    <xdr:cxnSp macro="">
      <xdr:nvCxnSpPr>
        <xdr:cNvPr id="16" name="Conector: angular 15">
          <a:extLst>
            <a:ext uri="{FF2B5EF4-FFF2-40B4-BE49-F238E27FC236}">
              <a16:creationId xmlns:a16="http://schemas.microsoft.com/office/drawing/2014/main" id="{CF156AC0-ACAC-4E89-BD19-45D4A726F1AC}"/>
            </a:ext>
          </a:extLst>
        </xdr:cNvPr>
        <xdr:cNvCxnSpPr>
          <a:stCxn id="5" idx="3"/>
          <a:endCxn id="12" idx="1"/>
        </xdr:cNvCxnSpPr>
      </xdr:nvCxnSpPr>
      <xdr:spPr>
        <a:xfrm flipV="1">
          <a:off x="4019550" y="1333350"/>
          <a:ext cx="171450" cy="3335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11</xdr:row>
      <xdr:rowOff>95101</xdr:rowOff>
    </xdr:from>
    <xdr:to>
      <xdr:col>5</xdr:col>
      <xdr:colOff>581025</xdr:colOff>
      <xdr:row>11</xdr:row>
      <xdr:rowOff>123825</xdr:rowOff>
    </xdr:to>
    <xdr:cxnSp macro="">
      <xdr:nvCxnSpPr>
        <xdr:cNvPr id="17" name="Conector: angular 16">
          <a:extLst>
            <a:ext uri="{FF2B5EF4-FFF2-40B4-BE49-F238E27FC236}">
              <a16:creationId xmlns:a16="http://schemas.microsoft.com/office/drawing/2014/main" id="{9F768C7A-90A3-4B32-8906-AEADB772284C}"/>
            </a:ext>
          </a:extLst>
        </xdr:cNvPr>
        <xdr:cNvCxnSpPr>
          <a:stCxn id="5" idx="3"/>
          <a:endCxn id="13" idx="1"/>
        </xdr:cNvCxnSpPr>
      </xdr:nvCxnSpPr>
      <xdr:spPr>
        <a:xfrm flipV="1">
          <a:off x="4019550" y="1638151"/>
          <a:ext cx="171450" cy="28724"/>
        </a:xfrm>
        <a:prstGeom prst="bentConnector3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11</xdr:row>
      <xdr:rowOff>123825</xdr:rowOff>
    </xdr:from>
    <xdr:to>
      <xdr:col>5</xdr:col>
      <xdr:colOff>581025</xdr:colOff>
      <xdr:row>13</xdr:row>
      <xdr:rowOff>18901</xdr:rowOff>
    </xdr:to>
    <xdr:cxnSp macro="">
      <xdr:nvCxnSpPr>
        <xdr:cNvPr id="18" name="Conector: angular 17">
          <a:extLst>
            <a:ext uri="{FF2B5EF4-FFF2-40B4-BE49-F238E27FC236}">
              <a16:creationId xmlns:a16="http://schemas.microsoft.com/office/drawing/2014/main" id="{81585B4C-BBFD-40EC-893A-C9C067B314B8}"/>
            </a:ext>
          </a:extLst>
        </xdr:cNvPr>
        <xdr:cNvCxnSpPr>
          <a:stCxn id="5" idx="3"/>
          <a:endCxn id="14" idx="1"/>
        </xdr:cNvCxnSpPr>
      </xdr:nvCxnSpPr>
      <xdr:spPr>
        <a:xfrm>
          <a:off x="4019550" y="1666875"/>
          <a:ext cx="171450" cy="276076"/>
        </a:xfrm>
        <a:prstGeom prst="bentConnector3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8</xdr:row>
      <xdr:rowOff>33337</xdr:rowOff>
    </xdr:from>
    <xdr:to>
      <xdr:col>2</xdr:col>
      <xdr:colOff>504824</xdr:colOff>
      <xdr:row>15</xdr:row>
      <xdr:rowOff>71437</xdr:rowOff>
    </xdr:to>
    <xdr:cxnSp macro="">
      <xdr:nvCxnSpPr>
        <xdr:cNvPr id="19" name="Conector: angular 18">
          <a:extLst>
            <a:ext uri="{FF2B5EF4-FFF2-40B4-BE49-F238E27FC236}">
              <a16:creationId xmlns:a16="http://schemas.microsoft.com/office/drawing/2014/main" id="{F4F4E5CD-7C58-4752-A14B-53020E83E0F5}"/>
            </a:ext>
          </a:extLst>
        </xdr:cNvPr>
        <xdr:cNvCxnSpPr>
          <a:stCxn id="3" idx="3"/>
          <a:endCxn id="4" idx="1"/>
        </xdr:cNvCxnSpPr>
      </xdr:nvCxnSpPr>
      <xdr:spPr>
        <a:xfrm flipV="1">
          <a:off x="1543050" y="985837"/>
          <a:ext cx="428624" cy="1390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11</xdr:row>
      <xdr:rowOff>123825</xdr:rowOff>
    </xdr:from>
    <xdr:to>
      <xdr:col>2</xdr:col>
      <xdr:colOff>514350</xdr:colOff>
      <xdr:row>15</xdr:row>
      <xdr:rowOff>71437</xdr:rowOff>
    </xdr:to>
    <xdr:cxnSp macro="">
      <xdr:nvCxnSpPr>
        <xdr:cNvPr id="20" name="Conector: angular 19">
          <a:extLst>
            <a:ext uri="{FF2B5EF4-FFF2-40B4-BE49-F238E27FC236}">
              <a16:creationId xmlns:a16="http://schemas.microsoft.com/office/drawing/2014/main" id="{9260E9F8-0125-4107-925F-581BD398E71F}"/>
            </a:ext>
          </a:extLst>
        </xdr:cNvPr>
        <xdr:cNvCxnSpPr>
          <a:stCxn id="3" idx="3"/>
          <a:endCxn id="5" idx="1"/>
        </xdr:cNvCxnSpPr>
      </xdr:nvCxnSpPr>
      <xdr:spPr>
        <a:xfrm flipV="1">
          <a:off x="1543050" y="1666875"/>
          <a:ext cx="438150" cy="7096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15</xdr:row>
      <xdr:rowOff>71437</xdr:rowOff>
    </xdr:from>
    <xdr:to>
      <xdr:col>2</xdr:col>
      <xdr:colOff>514350</xdr:colOff>
      <xdr:row>18</xdr:row>
      <xdr:rowOff>9525</xdr:rowOff>
    </xdr:to>
    <xdr:cxnSp macro="">
      <xdr:nvCxnSpPr>
        <xdr:cNvPr id="21" name="Conector: angular 20">
          <a:extLst>
            <a:ext uri="{FF2B5EF4-FFF2-40B4-BE49-F238E27FC236}">
              <a16:creationId xmlns:a16="http://schemas.microsoft.com/office/drawing/2014/main" id="{0C61C42A-349D-47D8-8332-B912D5C0671A}"/>
            </a:ext>
          </a:extLst>
        </xdr:cNvPr>
        <xdr:cNvCxnSpPr>
          <a:stCxn id="3" idx="3"/>
          <a:endCxn id="6" idx="1"/>
        </xdr:cNvCxnSpPr>
      </xdr:nvCxnSpPr>
      <xdr:spPr>
        <a:xfrm>
          <a:off x="1543050" y="2376487"/>
          <a:ext cx="438150" cy="5095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399975</xdr:colOff>
      <xdr:row>15</xdr:row>
      <xdr:rowOff>114149</xdr:rowOff>
    </xdr:from>
    <xdr:to>
      <xdr:col>5</xdr:col>
      <xdr:colOff>571500</xdr:colOff>
      <xdr:row>18</xdr:row>
      <xdr:rowOff>9525</xdr:rowOff>
    </xdr:to>
    <xdr:cxnSp macro="">
      <xdr:nvCxnSpPr>
        <xdr:cNvPr id="22" name="Conector: angular 21">
          <a:extLst>
            <a:ext uri="{FF2B5EF4-FFF2-40B4-BE49-F238E27FC236}">
              <a16:creationId xmlns:a16="http://schemas.microsoft.com/office/drawing/2014/main" id="{523616D1-04E2-44BE-91CF-70CCAAF1C6BE}"/>
            </a:ext>
          </a:extLst>
        </xdr:cNvPr>
        <xdr:cNvCxnSpPr>
          <a:stCxn id="6" idx="3"/>
          <a:endCxn id="7" idx="1"/>
        </xdr:cNvCxnSpPr>
      </xdr:nvCxnSpPr>
      <xdr:spPr>
        <a:xfrm flipV="1">
          <a:off x="4009950" y="2419199"/>
          <a:ext cx="171525" cy="466876"/>
        </a:xfrm>
        <a:prstGeom prst="bentConnector3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399975</xdr:colOff>
      <xdr:row>17</xdr:row>
      <xdr:rowOff>37951</xdr:rowOff>
    </xdr:from>
    <xdr:to>
      <xdr:col>5</xdr:col>
      <xdr:colOff>571500</xdr:colOff>
      <xdr:row>18</xdr:row>
      <xdr:rowOff>9525</xdr:rowOff>
    </xdr:to>
    <xdr:cxnSp macro="">
      <xdr:nvCxnSpPr>
        <xdr:cNvPr id="23" name="Conector: angular 22">
          <a:extLst>
            <a:ext uri="{FF2B5EF4-FFF2-40B4-BE49-F238E27FC236}">
              <a16:creationId xmlns:a16="http://schemas.microsoft.com/office/drawing/2014/main" id="{C8D7B7F8-677E-4520-A5C4-626A3ABDA40A}"/>
            </a:ext>
          </a:extLst>
        </xdr:cNvPr>
        <xdr:cNvCxnSpPr>
          <a:stCxn id="6" idx="3"/>
          <a:endCxn id="8" idx="1"/>
        </xdr:cNvCxnSpPr>
      </xdr:nvCxnSpPr>
      <xdr:spPr>
        <a:xfrm flipV="1">
          <a:off x="4009950" y="2724001"/>
          <a:ext cx="171525" cy="162074"/>
        </a:xfrm>
        <a:prstGeom prst="bentConnector3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399975</xdr:colOff>
      <xdr:row>18</xdr:row>
      <xdr:rowOff>9525</xdr:rowOff>
    </xdr:from>
    <xdr:to>
      <xdr:col>5</xdr:col>
      <xdr:colOff>571500</xdr:colOff>
      <xdr:row>18</xdr:row>
      <xdr:rowOff>161774</xdr:rowOff>
    </xdr:to>
    <xdr:cxnSp macro="">
      <xdr:nvCxnSpPr>
        <xdr:cNvPr id="24" name="Conector: angular 23">
          <a:extLst>
            <a:ext uri="{FF2B5EF4-FFF2-40B4-BE49-F238E27FC236}">
              <a16:creationId xmlns:a16="http://schemas.microsoft.com/office/drawing/2014/main" id="{DB380031-F5C9-437E-9CC6-E8D4E69304A4}"/>
            </a:ext>
          </a:extLst>
        </xdr:cNvPr>
        <xdr:cNvCxnSpPr>
          <a:stCxn id="6" idx="3"/>
          <a:endCxn id="9" idx="1"/>
        </xdr:cNvCxnSpPr>
      </xdr:nvCxnSpPr>
      <xdr:spPr>
        <a:xfrm>
          <a:off x="4009950" y="2886075"/>
          <a:ext cx="171525" cy="152249"/>
        </a:xfrm>
        <a:prstGeom prst="bentConnector3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399975</xdr:colOff>
      <xdr:row>18</xdr:row>
      <xdr:rowOff>9525</xdr:rowOff>
    </xdr:from>
    <xdr:to>
      <xdr:col>5</xdr:col>
      <xdr:colOff>571500</xdr:colOff>
      <xdr:row>20</xdr:row>
      <xdr:rowOff>119062</xdr:rowOff>
    </xdr:to>
    <xdr:cxnSp macro="">
      <xdr:nvCxnSpPr>
        <xdr:cNvPr id="25" name="Conector: angular 24">
          <a:extLst>
            <a:ext uri="{FF2B5EF4-FFF2-40B4-BE49-F238E27FC236}">
              <a16:creationId xmlns:a16="http://schemas.microsoft.com/office/drawing/2014/main" id="{D8C2ED68-F251-4982-A252-7E21D65F20D9}"/>
            </a:ext>
          </a:extLst>
        </xdr:cNvPr>
        <xdr:cNvCxnSpPr>
          <a:stCxn id="6" idx="3"/>
          <a:endCxn id="10" idx="1"/>
        </xdr:cNvCxnSpPr>
      </xdr:nvCxnSpPr>
      <xdr:spPr>
        <a:xfrm>
          <a:off x="4009950" y="2886075"/>
          <a:ext cx="171525" cy="490537"/>
        </a:xfrm>
        <a:prstGeom prst="bentConnector3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514350</xdr:colOff>
      <xdr:row>21</xdr:row>
      <xdr:rowOff>180975</xdr:rowOff>
    </xdr:from>
    <xdr:to>
      <xdr:col>5</xdr:col>
      <xdr:colOff>399975</xdr:colOff>
      <xdr:row>24</xdr:row>
      <xdr:rowOff>104775</xdr:rowOff>
    </xdr:to>
    <xdr:sp macro="" textlink="">
      <xdr:nvSpPr>
        <xdr:cNvPr id="26" name="Rectángulo redondeado 11">
          <a:extLst>
            <a:ext uri="{FF2B5EF4-FFF2-40B4-BE49-F238E27FC236}">
              <a16:creationId xmlns:a16="http://schemas.microsoft.com/office/drawing/2014/main" id="{831BBCAD-3096-4A02-B3CB-A846BA6255CF}"/>
            </a:ext>
          </a:extLst>
        </xdr:cNvPr>
        <xdr:cNvSpPr/>
      </xdr:nvSpPr>
      <xdr:spPr>
        <a:xfrm>
          <a:off x="1981200" y="3629025"/>
          <a:ext cx="2028750" cy="49530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s-CO" sz="1100">
              <a:solidFill>
                <a:schemeClr val="lt1"/>
              </a:solidFill>
              <a:latin typeface="Arial Narrow" panose="020B0606020202030204" pitchFamily="34" charset="0"/>
              <a:ea typeface="+mn-ea"/>
              <a:cs typeface="+mn-cs"/>
            </a:rPr>
            <a:t>Fase de diseño: Diseño financiero</a:t>
          </a:r>
        </a:p>
      </xdr:txBody>
    </xdr:sp>
    <xdr:clientData/>
  </xdr:twoCellAnchor>
  <xdr:twoCellAnchor>
    <xdr:from>
      <xdr:col>5</xdr:col>
      <xdr:colOff>590550</xdr:colOff>
      <xdr:row>22</xdr:row>
      <xdr:rowOff>104775</xdr:rowOff>
    </xdr:from>
    <xdr:to>
      <xdr:col>8</xdr:col>
      <xdr:colOff>476175</xdr:colOff>
      <xdr:row>23</xdr:row>
      <xdr:rowOff>180675</xdr:rowOff>
    </xdr:to>
    <xdr:sp macro="" textlink="">
      <xdr:nvSpPr>
        <xdr:cNvPr id="27" name="Rectángulo redondeado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EC33EEF-79FE-400C-BE13-2363B996F6C5}"/>
            </a:ext>
          </a:extLst>
        </xdr:cNvPr>
        <xdr:cNvSpPr/>
      </xdr:nvSpPr>
      <xdr:spPr>
        <a:xfrm>
          <a:off x="4200525" y="3743325"/>
          <a:ext cx="2028750" cy="26640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CO" sz="1000">
              <a:solidFill>
                <a:schemeClr val="lt1"/>
              </a:solidFill>
              <a:latin typeface="Arial Narrow" panose="020B0606020202030204" pitchFamily="34" charset="0"/>
              <a:ea typeface="+mn-ea"/>
              <a:cs typeface="+mn-cs"/>
            </a:rPr>
            <a:t>Flujo de caja financiado</a:t>
          </a:r>
        </a:p>
      </xdr:txBody>
    </xdr:sp>
    <xdr:clientData/>
  </xdr:twoCellAnchor>
  <xdr:twoCellAnchor>
    <xdr:from>
      <xdr:col>10</xdr:col>
      <xdr:colOff>171450</xdr:colOff>
      <xdr:row>8</xdr:row>
      <xdr:rowOff>0</xdr:rowOff>
    </xdr:from>
    <xdr:to>
      <xdr:col>12</xdr:col>
      <xdr:colOff>133351</xdr:colOff>
      <xdr:row>11</xdr:row>
      <xdr:rowOff>123825</xdr:rowOff>
    </xdr:to>
    <xdr:sp macro="" textlink="">
      <xdr:nvSpPr>
        <xdr:cNvPr id="29" name="Rectángulo redondeado 1">
          <a:extLst>
            <a:ext uri="{FF2B5EF4-FFF2-40B4-BE49-F238E27FC236}">
              <a16:creationId xmlns:a16="http://schemas.microsoft.com/office/drawing/2014/main" id="{E52F02B7-7D33-4AC3-9AB2-3B0A379296E8}"/>
            </a:ext>
          </a:extLst>
        </xdr:cNvPr>
        <xdr:cNvSpPr/>
      </xdr:nvSpPr>
      <xdr:spPr>
        <a:xfrm>
          <a:off x="7353300" y="952500"/>
          <a:ext cx="1390651" cy="714375"/>
        </a:xfrm>
        <a:prstGeom prst="roundRect">
          <a:avLst/>
        </a:prstGeom>
        <a:solidFill>
          <a:srgbClr val="00B0F0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CO" sz="1100">
              <a:latin typeface="Arial Narrow" panose="020B0606020202030204" pitchFamily="34" charset="0"/>
            </a:rPr>
            <a:t>Fase ejecución y O&amp;M: Criterios para garantizar la sostenibilidad financiera en el tiempo </a:t>
          </a:r>
        </a:p>
      </xdr:txBody>
    </xdr:sp>
    <xdr:clientData/>
  </xdr:twoCellAnchor>
  <xdr:twoCellAnchor>
    <xdr:from>
      <xdr:col>5</xdr:col>
      <xdr:colOff>399975</xdr:colOff>
      <xdr:row>23</xdr:row>
      <xdr:rowOff>47475</xdr:rowOff>
    </xdr:from>
    <xdr:to>
      <xdr:col>5</xdr:col>
      <xdr:colOff>590550</xdr:colOff>
      <xdr:row>23</xdr:row>
      <xdr:rowOff>47625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3A6519F3-499C-4921-964A-FCE8C708AC99}"/>
            </a:ext>
          </a:extLst>
        </xdr:cNvPr>
        <xdr:cNvCxnSpPr>
          <a:stCxn id="26" idx="3"/>
          <a:endCxn id="27" idx="1"/>
        </xdr:cNvCxnSpPr>
      </xdr:nvCxnSpPr>
      <xdr:spPr>
        <a:xfrm flipV="1">
          <a:off x="4009950" y="3876525"/>
          <a:ext cx="190575" cy="150"/>
        </a:xfrm>
        <a:prstGeom prst="bentConnector3">
          <a:avLst/>
        </a:prstGeom>
        <a:ln>
          <a:solidFill>
            <a:schemeClr val="accent4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15</xdr:row>
      <xdr:rowOff>71437</xdr:rowOff>
    </xdr:from>
    <xdr:to>
      <xdr:col>2</xdr:col>
      <xdr:colOff>514350</xdr:colOff>
      <xdr:row>23</xdr:row>
      <xdr:rowOff>47625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FBD80AC7-89F8-40A9-B477-38B5ECBA4547}"/>
            </a:ext>
          </a:extLst>
        </xdr:cNvPr>
        <xdr:cNvCxnSpPr>
          <a:stCxn id="3" idx="3"/>
          <a:endCxn id="26" idx="1"/>
        </xdr:cNvCxnSpPr>
      </xdr:nvCxnSpPr>
      <xdr:spPr>
        <a:xfrm>
          <a:off x="1543050" y="2376487"/>
          <a:ext cx="438150" cy="15001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10</xdr:row>
      <xdr:rowOff>85725</xdr:rowOff>
    </xdr:from>
    <xdr:to>
      <xdr:col>14</xdr:col>
      <xdr:colOff>285750</xdr:colOff>
      <xdr:row>11</xdr:row>
      <xdr:rowOff>171450</xdr:rowOff>
    </xdr:to>
    <xdr:sp macro="" textlink="">
      <xdr:nvSpPr>
        <xdr:cNvPr id="33" name="Rectángulo redondeado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80F0195-3FE9-44F5-9B21-7BED2A2DF7C3}"/>
            </a:ext>
          </a:extLst>
        </xdr:cNvPr>
        <xdr:cNvSpPr/>
      </xdr:nvSpPr>
      <xdr:spPr>
        <a:xfrm>
          <a:off x="8915400" y="1438275"/>
          <a:ext cx="1409700" cy="27622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s-CO" sz="1000">
              <a:solidFill>
                <a:schemeClr val="lt1"/>
              </a:solidFill>
              <a:latin typeface="Century Gothic" panose="020B0502020202020204" pitchFamily="34" charset="0"/>
              <a:ea typeface="+mn-ea"/>
              <a:cs typeface="+mn-cs"/>
            </a:rPr>
            <a:t>Costos</a:t>
          </a:r>
          <a:r>
            <a:rPr lang="es-CO" sz="1000" baseline="0">
              <a:solidFill>
                <a:schemeClr val="lt1"/>
              </a:solidFill>
              <a:latin typeface="Century Gothic" panose="020B0502020202020204" pitchFamily="34" charset="0"/>
              <a:ea typeface="+mn-ea"/>
              <a:cs typeface="+mn-cs"/>
            </a:rPr>
            <a:t> PTAR</a:t>
          </a:r>
          <a:endParaRPr lang="es-CO" sz="1000">
            <a:solidFill>
              <a:schemeClr val="lt1"/>
            </a:solidFill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171450</xdr:colOff>
      <xdr:row>18</xdr:row>
      <xdr:rowOff>114300</xdr:rowOff>
    </xdr:from>
    <xdr:to>
      <xdr:col>12</xdr:col>
      <xdr:colOff>133351</xdr:colOff>
      <xdr:row>22</xdr:row>
      <xdr:rowOff>66675</xdr:rowOff>
    </xdr:to>
    <xdr:sp macro="" textlink="">
      <xdr:nvSpPr>
        <xdr:cNvPr id="35" name="Rectángulo redondeado 1">
          <a:extLst>
            <a:ext uri="{FF2B5EF4-FFF2-40B4-BE49-F238E27FC236}">
              <a16:creationId xmlns:a16="http://schemas.microsoft.com/office/drawing/2014/main" id="{58C9EC73-1601-464D-A87D-5087CB4EF87B}"/>
            </a:ext>
          </a:extLst>
        </xdr:cNvPr>
        <xdr:cNvSpPr/>
      </xdr:nvSpPr>
      <xdr:spPr>
        <a:xfrm>
          <a:off x="7353300" y="2990850"/>
          <a:ext cx="1390651" cy="714375"/>
        </a:xfrm>
        <a:prstGeom prst="roundRect">
          <a:avLst/>
        </a:prstGeom>
        <a:solidFill>
          <a:srgbClr val="00B0F0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CO" sz="1100">
              <a:latin typeface="Arial Narrow" panose="020B0606020202030204" pitchFamily="34" charset="0"/>
            </a:rPr>
            <a:t>Recomendaciones para la sostenibilidad financiera del servicio de saneamiento</a:t>
          </a:r>
        </a:p>
      </xdr:txBody>
    </xdr:sp>
    <xdr:clientData/>
  </xdr:twoCellAnchor>
  <xdr:twoCellAnchor>
    <xdr:from>
      <xdr:col>12</xdr:col>
      <xdr:colOff>342900</xdr:colOff>
      <xdr:row>19</xdr:row>
      <xdr:rowOff>142875</xdr:rowOff>
    </xdr:from>
    <xdr:to>
      <xdr:col>14</xdr:col>
      <xdr:colOff>247650</xdr:colOff>
      <xdr:row>21</xdr:row>
      <xdr:rowOff>38100</xdr:rowOff>
    </xdr:to>
    <xdr:sp macro="" textlink="">
      <xdr:nvSpPr>
        <xdr:cNvPr id="36" name="Rectángulo redondeado 1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5EC1AF6-695E-414D-B0C6-391252F45745}"/>
            </a:ext>
          </a:extLst>
        </xdr:cNvPr>
        <xdr:cNvSpPr/>
      </xdr:nvSpPr>
      <xdr:spPr>
        <a:xfrm>
          <a:off x="8953500" y="3209925"/>
          <a:ext cx="1333500" cy="27622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s-CO" sz="1000">
              <a:solidFill>
                <a:schemeClr val="lt1"/>
              </a:solidFill>
              <a:latin typeface="Century Gothic" panose="020B0502020202020204" pitchFamily="34" charset="0"/>
              <a:ea typeface="+mn-ea"/>
              <a:cs typeface="+mn-cs"/>
            </a:rPr>
            <a:t>EEFF</a:t>
          </a:r>
        </a:p>
      </xdr:txBody>
    </xdr:sp>
    <xdr:clientData/>
  </xdr:twoCellAnchor>
  <xdr:twoCellAnchor>
    <xdr:from>
      <xdr:col>12</xdr:col>
      <xdr:colOff>133351</xdr:colOff>
      <xdr:row>20</xdr:row>
      <xdr:rowOff>90488</xdr:rowOff>
    </xdr:from>
    <xdr:to>
      <xdr:col>12</xdr:col>
      <xdr:colOff>342900</xdr:colOff>
      <xdr:row>20</xdr:row>
      <xdr:rowOff>90488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EA3B94EA-1932-76A5-AC47-5B3FA46A1C2C}"/>
            </a:ext>
          </a:extLst>
        </xdr:cNvPr>
        <xdr:cNvCxnSpPr>
          <a:stCxn id="35" idx="3"/>
          <a:endCxn id="36" idx="1"/>
        </xdr:cNvCxnSpPr>
      </xdr:nvCxnSpPr>
      <xdr:spPr>
        <a:xfrm>
          <a:off x="8743951" y="3348038"/>
          <a:ext cx="20954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7</xdr:row>
      <xdr:rowOff>180975</xdr:rowOff>
    </xdr:from>
    <xdr:to>
      <xdr:col>14</xdr:col>
      <xdr:colOff>333375</xdr:colOff>
      <xdr:row>9</xdr:row>
      <xdr:rowOff>28575</xdr:rowOff>
    </xdr:to>
    <xdr:sp macro="" textlink="">
      <xdr:nvSpPr>
        <xdr:cNvPr id="34" name="Rectángulo redondeado 1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E499F45-2C3A-42E0-BA9F-F3B0B3068A68}"/>
            </a:ext>
          </a:extLst>
        </xdr:cNvPr>
        <xdr:cNvSpPr/>
      </xdr:nvSpPr>
      <xdr:spPr>
        <a:xfrm>
          <a:off x="8915400" y="942975"/>
          <a:ext cx="1457325" cy="23812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s-CO" sz="1000">
              <a:solidFill>
                <a:schemeClr val="lt1"/>
              </a:solidFill>
              <a:latin typeface="Century Gothic" panose="020B0502020202020204" pitchFamily="34" charset="0"/>
              <a:ea typeface="+mn-ea"/>
              <a:cs typeface="+mn-cs"/>
            </a:rPr>
            <a:t>Indexación</a:t>
          </a:r>
        </a:p>
      </xdr:txBody>
    </xdr:sp>
    <xdr:clientData/>
  </xdr:twoCellAnchor>
  <xdr:twoCellAnchor>
    <xdr:from>
      <xdr:col>12</xdr:col>
      <xdr:colOff>133351</xdr:colOff>
      <xdr:row>8</xdr:row>
      <xdr:rowOff>109538</xdr:rowOff>
    </xdr:from>
    <xdr:to>
      <xdr:col>12</xdr:col>
      <xdr:colOff>304800</xdr:colOff>
      <xdr:row>9</xdr:row>
      <xdr:rowOff>157163</xdr:rowOff>
    </xdr:to>
    <xdr:cxnSp macro="">
      <xdr:nvCxnSpPr>
        <xdr:cNvPr id="52" name="Conector: angular 51">
          <a:extLst>
            <a:ext uri="{FF2B5EF4-FFF2-40B4-BE49-F238E27FC236}">
              <a16:creationId xmlns:a16="http://schemas.microsoft.com/office/drawing/2014/main" id="{1EDFB998-BF62-D4BC-BFE4-7CB8A7E3C055}"/>
            </a:ext>
          </a:extLst>
        </xdr:cNvPr>
        <xdr:cNvCxnSpPr>
          <a:stCxn id="29" idx="3"/>
          <a:endCxn id="34" idx="1"/>
        </xdr:cNvCxnSpPr>
      </xdr:nvCxnSpPr>
      <xdr:spPr>
        <a:xfrm flipV="1">
          <a:off x="8743951" y="1062038"/>
          <a:ext cx="171449" cy="247650"/>
        </a:xfrm>
        <a:prstGeom prst="bentConnector3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133351</xdr:colOff>
      <xdr:row>9</xdr:row>
      <xdr:rowOff>157163</xdr:rowOff>
    </xdr:from>
    <xdr:to>
      <xdr:col>12</xdr:col>
      <xdr:colOff>304800</xdr:colOff>
      <xdr:row>11</xdr:row>
      <xdr:rowOff>33338</xdr:rowOff>
    </xdr:to>
    <xdr:cxnSp macro="">
      <xdr:nvCxnSpPr>
        <xdr:cNvPr id="54" name="Conector: angular 53">
          <a:extLst>
            <a:ext uri="{FF2B5EF4-FFF2-40B4-BE49-F238E27FC236}">
              <a16:creationId xmlns:a16="http://schemas.microsoft.com/office/drawing/2014/main" id="{811B20D9-6620-6130-D681-011E2779DDE8}"/>
            </a:ext>
          </a:extLst>
        </xdr:cNvPr>
        <xdr:cNvCxnSpPr>
          <a:stCxn id="29" idx="3"/>
          <a:endCxn id="33" idx="1"/>
        </xdr:cNvCxnSpPr>
      </xdr:nvCxnSpPr>
      <xdr:spPr>
        <a:xfrm>
          <a:off x="8743951" y="1309688"/>
          <a:ext cx="171449" cy="266700"/>
        </a:xfrm>
        <a:prstGeom prst="bentConnector3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281443</xdr:colOff>
      <xdr:row>5</xdr:row>
      <xdr:rowOff>171450</xdr:rowOff>
    </xdr:to>
    <xdr:pic>
      <xdr:nvPicPr>
        <xdr:cNvPr id="38" name="Imagen 37" descr="Index of /wp-content/uploads/2020/10">
          <a:extLst>
            <a:ext uri="{FF2B5EF4-FFF2-40B4-BE49-F238E27FC236}">
              <a16:creationId xmlns:a16="http://schemas.microsoft.com/office/drawing/2014/main" id="{D82DEB48-94D8-BA74-F870-3C9B20BA1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62668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2</xdr:row>
      <xdr:rowOff>161925</xdr:rowOff>
    </xdr:from>
    <xdr:to>
      <xdr:col>1</xdr:col>
      <xdr:colOff>873578</xdr:colOff>
      <xdr:row>5</xdr:row>
      <xdr:rowOff>114300</xdr:rowOff>
    </xdr:to>
    <xdr:pic>
      <xdr:nvPicPr>
        <xdr:cNvPr id="4" name="Imagen 3" descr="Resultado de imagen para icono inic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83D7D3-FF7B-44A3-AF77-1979B287FC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910"/>
        <a:stretch/>
      </xdr:blipFill>
      <xdr:spPr bwMode="auto">
        <a:xfrm>
          <a:off x="857250" y="1333500"/>
          <a:ext cx="911678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857250</xdr:colOff>
      <xdr:row>5</xdr:row>
      <xdr:rowOff>66675</xdr:rowOff>
    </xdr:from>
    <xdr:to>
      <xdr:col>1</xdr:col>
      <xdr:colOff>870250</xdr:colOff>
      <xdr:row>8</xdr:row>
      <xdr:rowOff>0</xdr:rowOff>
    </xdr:to>
    <xdr:pic>
      <xdr:nvPicPr>
        <xdr:cNvPr id="5" name="Imagen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E87CDD-73A2-49E1-86A0-E827D96DE4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17785"/>
        <a:stretch/>
      </xdr:blipFill>
      <xdr:spPr>
        <a:xfrm>
          <a:off x="857250" y="1809750"/>
          <a:ext cx="908350" cy="523875"/>
        </a:xfrm>
        <a:prstGeom prst="rect">
          <a:avLst/>
        </a:prstGeom>
      </xdr:spPr>
    </xdr:pic>
    <xdr:clientData/>
  </xdr:twoCellAnchor>
  <xdr:twoCellAnchor editAs="oneCell">
    <xdr:from>
      <xdr:col>0</xdr:col>
      <xdr:colOff>876300</xdr:colOff>
      <xdr:row>7</xdr:row>
      <xdr:rowOff>171450</xdr:rowOff>
    </xdr:from>
    <xdr:to>
      <xdr:col>1</xdr:col>
      <xdr:colOff>885825</xdr:colOff>
      <xdr:row>11</xdr:row>
      <xdr:rowOff>47625</xdr:rowOff>
    </xdr:to>
    <xdr:pic>
      <xdr:nvPicPr>
        <xdr:cNvPr id="9" name="Imagen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E381AA3-04E3-4455-AC80-F9C655176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2305050"/>
          <a:ext cx="9048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0</xdr:row>
      <xdr:rowOff>57150</xdr:rowOff>
    </xdr:from>
    <xdr:to>
      <xdr:col>1</xdr:col>
      <xdr:colOff>620550</xdr:colOff>
      <xdr:row>1</xdr:row>
      <xdr:rowOff>459972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D7B6DF-FCB3-4D1D-B983-46220C7B4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57150"/>
          <a:ext cx="1277775" cy="65047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9525</xdr:colOff>
      <xdr:row>40</xdr:row>
      <xdr:rowOff>0</xdr:rowOff>
    </xdr:from>
    <xdr:to>
      <xdr:col>2</xdr:col>
      <xdr:colOff>171450</xdr:colOff>
      <xdr:row>41</xdr:row>
      <xdr:rowOff>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3AAFAF2C-E212-4E95-AB4C-8F40F73664F2}"/>
            </a:ext>
          </a:extLst>
        </xdr:cNvPr>
        <xdr:cNvSpPr/>
      </xdr:nvSpPr>
      <xdr:spPr>
        <a:xfrm>
          <a:off x="1809750" y="4191000"/>
          <a:ext cx="161925" cy="2095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41</xdr:row>
      <xdr:rowOff>0</xdr:rowOff>
    </xdr:from>
    <xdr:to>
      <xdr:col>2</xdr:col>
      <xdr:colOff>171450</xdr:colOff>
      <xdr:row>42</xdr:row>
      <xdr:rowOff>0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81570496-7D09-4071-99F1-6DC5EA7324BE}"/>
            </a:ext>
          </a:extLst>
        </xdr:cNvPr>
        <xdr:cNvSpPr/>
      </xdr:nvSpPr>
      <xdr:spPr>
        <a:xfrm>
          <a:off x="1809750" y="4400550"/>
          <a:ext cx="161925" cy="2095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41</xdr:row>
      <xdr:rowOff>0</xdr:rowOff>
    </xdr:from>
    <xdr:to>
      <xdr:col>2</xdr:col>
      <xdr:colOff>171450</xdr:colOff>
      <xdr:row>42</xdr:row>
      <xdr:rowOff>0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C102004B-3620-441E-BD82-B5717E59997B}"/>
            </a:ext>
          </a:extLst>
        </xdr:cNvPr>
        <xdr:cNvSpPr/>
      </xdr:nvSpPr>
      <xdr:spPr>
        <a:xfrm>
          <a:off x="1809750" y="4400550"/>
          <a:ext cx="161925" cy="209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42</xdr:row>
      <xdr:rowOff>0</xdr:rowOff>
    </xdr:from>
    <xdr:to>
      <xdr:col>2</xdr:col>
      <xdr:colOff>171450</xdr:colOff>
      <xdr:row>43</xdr:row>
      <xdr:rowOff>0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56B5302B-5634-4C40-BAFD-59FA07BD8C49}"/>
            </a:ext>
          </a:extLst>
        </xdr:cNvPr>
        <xdr:cNvSpPr/>
      </xdr:nvSpPr>
      <xdr:spPr>
        <a:xfrm>
          <a:off x="1809750" y="4610100"/>
          <a:ext cx="16192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2</xdr:row>
      <xdr:rowOff>161925</xdr:rowOff>
    </xdr:from>
    <xdr:to>
      <xdr:col>1</xdr:col>
      <xdr:colOff>883103</xdr:colOff>
      <xdr:row>5</xdr:row>
      <xdr:rowOff>95250</xdr:rowOff>
    </xdr:to>
    <xdr:pic>
      <xdr:nvPicPr>
        <xdr:cNvPr id="3" name="Imagen 2" descr="Resultado de imagen para icono inic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D38886-1E07-42E3-90F5-892C39E120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0895"/>
        <a:stretch/>
      </xdr:blipFill>
      <xdr:spPr bwMode="auto">
        <a:xfrm>
          <a:off x="733425" y="1333500"/>
          <a:ext cx="91167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95250</xdr:rowOff>
    </xdr:from>
    <xdr:to>
      <xdr:col>1</xdr:col>
      <xdr:colOff>904875</xdr:colOff>
      <xdr:row>8</xdr:row>
      <xdr:rowOff>47625</xdr:rowOff>
    </xdr:to>
    <xdr:pic>
      <xdr:nvPicPr>
        <xdr:cNvPr id="8" name="Imagen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B0E88E-8037-4A8E-8806-558E3DD6D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838325"/>
          <a:ext cx="9048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0</xdr:row>
      <xdr:rowOff>57150</xdr:rowOff>
    </xdr:from>
    <xdr:to>
      <xdr:col>1</xdr:col>
      <xdr:colOff>753900</xdr:colOff>
      <xdr:row>1</xdr:row>
      <xdr:rowOff>459972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924D23-00BC-4A9E-B840-909FA2C23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57150"/>
          <a:ext cx="1277775" cy="65047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9525</xdr:colOff>
      <xdr:row>17</xdr:row>
      <xdr:rowOff>0</xdr:rowOff>
    </xdr:from>
    <xdr:to>
      <xdr:col>2</xdr:col>
      <xdr:colOff>171450</xdr:colOff>
      <xdr:row>18</xdr:row>
      <xdr:rowOff>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7786BAD1-E27F-473B-89CD-C5EF5EC60384}"/>
            </a:ext>
          </a:extLst>
        </xdr:cNvPr>
        <xdr:cNvSpPr/>
      </xdr:nvSpPr>
      <xdr:spPr>
        <a:xfrm>
          <a:off x="1714500" y="6076950"/>
          <a:ext cx="161925" cy="190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18</xdr:row>
      <xdr:rowOff>0</xdr:rowOff>
    </xdr:from>
    <xdr:to>
      <xdr:col>2</xdr:col>
      <xdr:colOff>171450</xdr:colOff>
      <xdr:row>19</xdr:row>
      <xdr:rowOff>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47B25B86-FBBB-40ED-A363-8E6EBF59C9D9}"/>
            </a:ext>
          </a:extLst>
        </xdr:cNvPr>
        <xdr:cNvSpPr/>
      </xdr:nvSpPr>
      <xdr:spPr>
        <a:xfrm>
          <a:off x="1714500" y="6267450"/>
          <a:ext cx="161925" cy="190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18</xdr:row>
      <xdr:rowOff>0</xdr:rowOff>
    </xdr:from>
    <xdr:to>
      <xdr:col>2</xdr:col>
      <xdr:colOff>171450</xdr:colOff>
      <xdr:row>19</xdr:row>
      <xdr:rowOff>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BE49E999-4741-46FA-B552-935D17A63D53}"/>
            </a:ext>
          </a:extLst>
        </xdr:cNvPr>
        <xdr:cNvSpPr/>
      </xdr:nvSpPr>
      <xdr:spPr>
        <a:xfrm>
          <a:off x="1714500" y="6267450"/>
          <a:ext cx="161925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19</xdr:row>
      <xdr:rowOff>0</xdr:rowOff>
    </xdr:from>
    <xdr:to>
      <xdr:col>2</xdr:col>
      <xdr:colOff>171450</xdr:colOff>
      <xdr:row>20</xdr:row>
      <xdr:rowOff>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C96467E6-3961-4B70-80F7-C437306D02F9}"/>
            </a:ext>
          </a:extLst>
        </xdr:cNvPr>
        <xdr:cNvSpPr/>
      </xdr:nvSpPr>
      <xdr:spPr>
        <a:xfrm>
          <a:off x="1714500" y="6457950"/>
          <a:ext cx="161925" cy="190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2</xdr:row>
      <xdr:rowOff>161925</xdr:rowOff>
    </xdr:from>
    <xdr:to>
      <xdr:col>1</xdr:col>
      <xdr:colOff>883103</xdr:colOff>
      <xdr:row>5</xdr:row>
      <xdr:rowOff>142875</xdr:rowOff>
    </xdr:to>
    <xdr:pic>
      <xdr:nvPicPr>
        <xdr:cNvPr id="3" name="Imagen 2" descr="Resultado de imagen para icono inic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3FBD99-EB9F-4FCC-914D-55344DADA1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433"/>
        <a:stretch/>
      </xdr:blipFill>
      <xdr:spPr bwMode="auto">
        <a:xfrm>
          <a:off x="733425" y="1333500"/>
          <a:ext cx="911678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723900</xdr:colOff>
      <xdr:row>5</xdr:row>
      <xdr:rowOff>66675</xdr:rowOff>
    </xdr:from>
    <xdr:to>
      <xdr:col>1</xdr:col>
      <xdr:colOff>870250</xdr:colOff>
      <xdr:row>8</xdr:row>
      <xdr:rowOff>0</xdr:rowOff>
    </xdr:to>
    <xdr:pic>
      <xdr:nvPicPr>
        <xdr:cNvPr id="4" name="Imagen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AB65EA8-D0E0-4CE3-B362-16EDBC5370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17785"/>
        <a:stretch/>
      </xdr:blipFill>
      <xdr:spPr>
        <a:xfrm>
          <a:off x="723900" y="1809750"/>
          <a:ext cx="908350" cy="523875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7</xdr:row>
      <xdr:rowOff>190501</xdr:rowOff>
    </xdr:from>
    <xdr:to>
      <xdr:col>1</xdr:col>
      <xdr:colOff>895350</xdr:colOff>
      <xdr:row>10</xdr:row>
      <xdr:rowOff>9526</xdr:rowOff>
    </xdr:to>
    <xdr:pic>
      <xdr:nvPicPr>
        <xdr:cNvPr id="8" name="Imagen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D0E90CB-152D-44DF-8D08-0D0A12FA01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0000"/>
        <a:stretch/>
      </xdr:blipFill>
      <xdr:spPr bwMode="auto">
        <a:xfrm>
          <a:off x="752475" y="2324101"/>
          <a:ext cx="904875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0</xdr:row>
      <xdr:rowOff>57150</xdr:rowOff>
    </xdr:from>
    <xdr:to>
      <xdr:col>1</xdr:col>
      <xdr:colOff>753900</xdr:colOff>
      <xdr:row>1</xdr:row>
      <xdr:rowOff>459972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C02023-A618-4A18-B00A-660CFEFF5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57150"/>
          <a:ext cx="1277775" cy="65047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9525</xdr:colOff>
      <xdr:row>14</xdr:row>
      <xdr:rowOff>0</xdr:rowOff>
    </xdr:from>
    <xdr:to>
      <xdr:col>2</xdr:col>
      <xdr:colOff>171450</xdr:colOff>
      <xdr:row>15</xdr:row>
      <xdr:rowOff>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63DE2584-C7BF-4018-8B4C-451068C584C3}"/>
            </a:ext>
          </a:extLst>
        </xdr:cNvPr>
        <xdr:cNvSpPr/>
      </xdr:nvSpPr>
      <xdr:spPr>
        <a:xfrm>
          <a:off x="1809750" y="4191000"/>
          <a:ext cx="161925" cy="2095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15</xdr:row>
      <xdr:rowOff>0</xdr:rowOff>
    </xdr:from>
    <xdr:to>
      <xdr:col>2</xdr:col>
      <xdr:colOff>171450</xdr:colOff>
      <xdr:row>16</xdr:row>
      <xdr:rowOff>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CD071174-7FCD-47E9-BAFD-BD731C68DE9D}"/>
            </a:ext>
          </a:extLst>
        </xdr:cNvPr>
        <xdr:cNvSpPr/>
      </xdr:nvSpPr>
      <xdr:spPr>
        <a:xfrm>
          <a:off x="1809750" y="4400550"/>
          <a:ext cx="161925" cy="2095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15</xdr:row>
      <xdr:rowOff>0</xdr:rowOff>
    </xdr:from>
    <xdr:to>
      <xdr:col>2</xdr:col>
      <xdr:colOff>171450</xdr:colOff>
      <xdr:row>16</xdr:row>
      <xdr:rowOff>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855B851A-5B54-47C6-A092-6CB63F6D9754}"/>
            </a:ext>
          </a:extLst>
        </xdr:cNvPr>
        <xdr:cNvSpPr/>
      </xdr:nvSpPr>
      <xdr:spPr>
        <a:xfrm>
          <a:off x="1809750" y="4400550"/>
          <a:ext cx="161925" cy="209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16</xdr:row>
      <xdr:rowOff>0</xdr:rowOff>
    </xdr:from>
    <xdr:to>
      <xdr:col>2</xdr:col>
      <xdr:colOff>171450</xdr:colOff>
      <xdr:row>17</xdr:row>
      <xdr:rowOff>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774068CA-4A71-49BD-8AC0-9AF2BCD4FDB8}"/>
            </a:ext>
          </a:extLst>
        </xdr:cNvPr>
        <xdr:cNvSpPr/>
      </xdr:nvSpPr>
      <xdr:spPr>
        <a:xfrm>
          <a:off x="1809750" y="4610100"/>
          <a:ext cx="16192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285750</xdr:colOff>
      <xdr:row>3</xdr:row>
      <xdr:rowOff>0</xdr:rowOff>
    </xdr:from>
    <xdr:ext cx="4880610" cy="6143625"/>
    <xdr:grpSp>
      <xdr:nvGrpSpPr>
        <xdr:cNvPr id="2" name="Group 1">
          <a:extLst>
            <a:ext uri="{FF2B5EF4-FFF2-40B4-BE49-F238E27FC236}">
              <a16:creationId xmlns:a16="http://schemas.microsoft.com/office/drawing/2014/main" id="{F0D75204-BC29-4DD8-8017-DF9B66621A6B}"/>
            </a:ext>
          </a:extLst>
        </xdr:cNvPr>
        <xdr:cNvGrpSpPr/>
      </xdr:nvGrpSpPr>
      <xdr:grpSpPr>
        <a:xfrm>
          <a:off x="7416800" y="1352550"/>
          <a:ext cx="4880610" cy="6143625"/>
          <a:chOff x="0" y="0"/>
          <a:chExt cx="5791835" cy="74803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B915A1B3-8E97-3A4B-738D-F799BEBBDC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53029" y="0"/>
            <a:ext cx="485279" cy="412750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38AED2DB-324E-99A1-EA8C-0DC6678E0A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50215"/>
            <a:ext cx="5791835" cy="7030084"/>
          </a:xfrm>
          <a:prstGeom prst="rect">
            <a:avLst/>
          </a:prstGeom>
        </xdr:spPr>
      </xdr:pic>
    </xdr:grpSp>
    <xdr:clientData/>
  </xdr:oneCellAnchor>
  <xdr:twoCellAnchor editAs="oneCell">
    <xdr:from>
      <xdr:col>0</xdr:col>
      <xdr:colOff>733425</xdr:colOff>
      <xdr:row>2</xdr:row>
      <xdr:rowOff>171450</xdr:rowOff>
    </xdr:from>
    <xdr:to>
      <xdr:col>1</xdr:col>
      <xdr:colOff>883103</xdr:colOff>
      <xdr:row>5</xdr:row>
      <xdr:rowOff>114300</xdr:rowOff>
    </xdr:to>
    <xdr:pic>
      <xdr:nvPicPr>
        <xdr:cNvPr id="6" name="Imagen 5" descr="Resultado de imagen para icono inici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504F22-7BF2-405C-A14D-248A6F875B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419"/>
        <a:stretch/>
      </xdr:blipFill>
      <xdr:spPr bwMode="auto">
        <a:xfrm>
          <a:off x="733425" y="1343025"/>
          <a:ext cx="911678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752475</xdr:colOff>
      <xdr:row>7</xdr:row>
      <xdr:rowOff>152400</xdr:rowOff>
    </xdr:from>
    <xdr:to>
      <xdr:col>1</xdr:col>
      <xdr:colOff>895350</xdr:colOff>
      <xdr:row>10</xdr:row>
      <xdr:rowOff>76200</xdr:rowOff>
    </xdr:to>
    <xdr:pic>
      <xdr:nvPicPr>
        <xdr:cNvPr id="11" name="Imagen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71C32A6-B02E-4640-BFD7-EE03D1251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143000"/>
          <a:ext cx="9048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0</xdr:row>
      <xdr:rowOff>57150</xdr:rowOff>
    </xdr:from>
    <xdr:to>
      <xdr:col>1</xdr:col>
      <xdr:colOff>753900</xdr:colOff>
      <xdr:row>1</xdr:row>
      <xdr:rowOff>459972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D830F6E-17B8-4491-AAF0-DC7931CF5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57150"/>
          <a:ext cx="1277775" cy="65047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9525</xdr:colOff>
      <xdr:row>26</xdr:row>
      <xdr:rowOff>0</xdr:rowOff>
    </xdr:from>
    <xdr:to>
      <xdr:col>2</xdr:col>
      <xdr:colOff>171450</xdr:colOff>
      <xdr:row>27</xdr:row>
      <xdr:rowOff>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F443CAC9-593C-45CA-A817-885038EDA443}"/>
            </a:ext>
          </a:extLst>
        </xdr:cNvPr>
        <xdr:cNvSpPr/>
      </xdr:nvSpPr>
      <xdr:spPr>
        <a:xfrm>
          <a:off x="1809750" y="4191000"/>
          <a:ext cx="161925" cy="2095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27</xdr:row>
      <xdr:rowOff>0</xdr:rowOff>
    </xdr:from>
    <xdr:to>
      <xdr:col>2</xdr:col>
      <xdr:colOff>171450</xdr:colOff>
      <xdr:row>28</xdr:row>
      <xdr:rowOff>0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FE3B8B3D-01A8-42C1-BB51-82BD6BF023E1}"/>
            </a:ext>
          </a:extLst>
        </xdr:cNvPr>
        <xdr:cNvSpPr/>
      </xdr:nvSpPr>
      <xdr:spPr>
        <a:xfrm>
          <a:off x="1809750" y="4400550"/>
          <a:ext cx="161925" cy="2095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27</xdr:row>
      <xdr:rowOff>0</xdr:rowOff>
    </xdr:from>
    <xdr:to>
      <xdr:col>2</xdr:col>
      <xdr:colOff>171450</xdr:colOff>
      <xdr:row>28</xdr:row>
      <xdr:rowOff>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365109CD-E7E7-4FC1-9938-79535F1CCFB7}"/>
            </a:ext>
          </a:extLst>
        </xdr:cNvPr>
        <xdr:cNvSpPr/>
      </xdr:nvSpPr>
      <xdr:spPr>
        <a:xfrm>
          <a:off x="1809750" y="4400550"/>
          <a:ext cx="161925" cy="209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28</xdr:row>
      <xdr:rowOff>0</xdr:rowOff>
    </xdr:from>
    <xdr:to>
      <xdr:col>2</xdr:col>
      <xdr:colOff>171450</xdr:colOff>
      <xdr:row>29</xdr:row>
      <xdr:rowOff>0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72E42D02-2B51-40A4-8D90-8A0DE0A01261}"/>
            </a:ext>
          </a:extLst>
        </xdr:cNvPr>
        <xdr:cNvSpPr/>
      </xdr:nvSpPr>
      <xdr:spPr>
        <a:xfrm>
          <a:off x="1809750" y="4610100"/>
          <a:ext cx="16192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28575</xdr:rowOff>
    </xdr:from>
    <xdr:to>
      <xdr:col>1</xdr:col>
      <xdr:colOff>611025</xdr:colOff>
      <xdr:row>1</xdr:row>
      <xdr:rowOff>679047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9F1497A-F891-47A8-B9CF-5D7C75572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76225"/>
          <a:ext cx="1277775" cy="650472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733425</xdr:colOff>
      <xdr:row>2</xdr:row>
      <xdr:rowOff>180975</xdr:rowOff>
    </xdr:from>
    <xdr:ext cx="911678" cy="495300"/>
    <xdr:pic>
      <xdr:nvPicPr>
        <xdr:cNvPr id="2" name="Imagen 1" descr="Resultado de imagen para icono inici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9EABF70-96E3-4864-B694-F010901D47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2388"/>
        <a:stretch/>
      </xdr:blipFill>
      <xdr:spPr bwMode="auto">
        <a:xfrm>
          <a:off x="733425" y="1352550"/>
          <a:ext cx="911678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733425</xdr:colOff>
      <xdr:row>5</xdr:row>
      <xdr:rowOff>85725</xdr:rowOff>
    </xdr:from>
    <xdr:ext cx="908350" cy="542925"/>
    <xdr:pic>
      <xdr:nvPicPr>
        <xdr:cNvPr id="3" name="Imagen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3CB4107-8423-4A1A-AC4F-227B780757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14795"/>
        <a:stretch/>
      </xdr:blipFill>
      <xdr:spPr>
        <a:xfrm>
          <a:off x="733425" y="1828800"/>
          <a:ext cx="908350" cy="542925"/>
        </a:xfrm>
        <a:prstGeom prst="rect">
          <a:avLst/>
        </a:prstGeom>
      </xdr:spPr>
    </xdr:pic>
    <xdr:clientData/>
  </xdr:oneCellAnchor>
  <xdr:twoCellAnchor>
    <xdr:from>
      <xdr:col>2</xdr:col>
      <xdr:colOff>9525</xdr:colOff>
      <xdr:row>22</xdr:row>
      <xdr:rowOff>0</xdr:rowOff>
    </xdr:from>
    <xdr:to>
      <xdr:col>2</xdr:col>
      <xdr:colOff>171450</xdr:colOff>
      <xdr:row>23</xdr:row>
      <xdr:rowOff>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D0A4D36B-BFBE-4D4E-8267-5F093A364C95}"/>
            </a:ext>
          </a:extLst>
        </xdr:cNvPr>
        <xdr:cNvSpPr/>
      </xdr:nvSpPr>
      <xdr:spPr>
        <a:xfrm>
          <a:off x="2028825" y="7981950"/>
          <a:ext cx="161925" cy="2095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23</xdr:row>
      <xdr:rowOff>0</xdr:rowOff>
    </xdr:from>
    <xdr:to>
      <xdr:col>2</xdr:col>
      <xdr:colOff>171450</xdr:colOff>
      <xdr:row>24</xdr:row>
      <xdr:rowOff>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D98A4BC4-1BA1-471D-AC6D-C01ECF77EAB8}"/>
            </a:ext>
          </a:extLst>
        </xdr:cNvPr>
        <xdr:cNvSpPr/>
      </xdr:nvSpPr>
      <xdr:spPr>
        <a:xfrm>
          <a:off x="2028825" y="8191500"/>
          <a:ext cx="161925" cy="209550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24</xdr:row>
      <xdr:rowOff>0</xdr:rowOff>
    </xdr:from>
    <xdr:to>
      <xdr:col>2</xdr:col>
      <xdr:colOff>171450</xdr:colOff>
      <xdr:row>25</xdr:row>
      <xdr:rowOff>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BFB38389-FF54-4CBB-8061-B52790BAFBAA}"/>
            </a:ext>
          </a:extLst>
        </xdr:cNvPr>
        <xdr:cNvSpPr/>
      </xdr:nvSpPr>
      <xdr:spPr>
        <a:xfrm>
          <a:off x="2028825" y="8401050"/>
          <a:ext cx="16192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515775</xdr:colOff>
      <xdr:row>1</xdr:row>
      <xdr:rowOff>402822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D0A4547-4F20-4A50-AFBF-993C190FA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7775" cy="650472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723900</xdr:colOff>
      <xdr:row>2</xdr:row>
      <xdr:rowOff>161925</xdr:rowOff>
    </xdr:from>
    <xdr:ext cx="911678" cy="514350"/>
    <xdr:pic>
      <xdr:nvPicPr>
        <xdr:cNvPr id="5" name="Imagen 4" descr="Resultado de imagen para icono inici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82C2E43-2636-492E-9CE3-B93CDA6D3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403"/>
        <a:stretch/>
      </xdr:blipFill>
      <xdr:spPr bwMode="auto">
        <a:xfrm>
          <a:off x="723900" y="1333500"/>
          <a:ext cx="911678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723900</xdr:colOff>
      <xdr:row>4</xdr:row>
      <xdr:rowOff>257175</xdr:rowOff>
    </xdr:from>
    <xdr:ext cx="908350" cy="447675"/>
    <xdr:pic>
      <xdr:nvPicPr>
        <xdr:cNvPr id="6" name="Imagen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399B4E5-D275-4D24-9725-2C977CCB56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29744"/>
        <a:stretch/>
      </xdr:blipFill>
      <xdr:spPr>
        <a:xfrm>
          <a:off x="723900" y="1809750"/>
          <a:ext cx="908350" cy="4476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</xdr:row>
      <xdr:rowOff>190500</xdr:rowOff>
    </xdr:from>
    <xdr:ext cx="904875" cy="447675"/>
    <xdr:pic>
      <xdr:nvPicPr>
        <xdr:cNvPr id="10" name="Imagen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0F9B146-233C-44D1-BA0F-26AE47130B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4404"/>
        <a:stretch/>
      </xdr:blipFill>
      <xdr:spPr bwMode="auto">
        <a:xfrm>
          <a:off x="762000" y="2314575"/>
          <a:ext cx="9048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9525</xdr:colOff>
      <xdr:row>22</xdr:row>
      <xdr:rowOff>0</xdr:rowOff>
    </xdr:from>
    <xdr:to>
      <xdr:col>2</xdr:col>
      <xdr:colOff>171450</xdr:colOff>
      <xdr:row>23</xdr:row>
      <xdr:rowOff>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A0D3897E-A657-48C6-A8BE-B1CA6E9A8B4B}"/>
            </a:ext>
          </a:extLst>
        </xdr:cNvPr>
        <xdr:cNvSpPr/>
      </xdr:nvSpPr>
      <xdr:spPr>
        <a:xfrm>
          <a:off x="2028825" y="7981950"/>
          <a:ext cx="161925" cy="2095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23</xdr:row>
      <xdr:rowOff>0</xdr:rowOff>
    </xdr:from>
    <xdr:to>
      <xdr:col>2</xdr:col>
      <xdr:colOff>171450</xdr:colOff>
      <xdr:row>24</xdr:row>
      <xdr:rowOff>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900D006F-7E4A-4379-84C5-A6819D6A9180}"/>
            </a:ext>
          </a:extLst>
        </xdr:cNvPr>
        <xdr:cNvSpPr/>
      </xdr:nvSpPr>
      <xdr:spPr>
        <a:xfrm>
          <a:off x="2028825" y="8191500"/>
          <a:ext cx="161925" cy="2095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23</xdr:row>
      <xdr:rowOff>0</xdr:rowOff>
    </xdr:from>
    <xdr:to>
      <xdr:col>2</xdr:col>
      <xdr:colOff>171450</xdr:colOff>
      <xdr:row>24</xdr:row>
      <xdr:rowOff>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F11DE3A9-CADA-4A17-A635-0A404FEB2177}"/>
            </a:ext>
          </a:extLst>
        </xdr:cNvPr>
        <xdr:cNvSpPr/>
      </xdr:nvSpPr>
      <xdr:spPr>
        <a:xfrm>
          <a:off x="2028825" y="8191500"/>
          <a:ext cx="161925" cy="209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24</xdr:row>
      <xdr:rowOff>0</xdr:rowOff>
    </xdr:from>
    <xdr:to>
      <xdr:col>2</xdr:col>
      <xdr:colOff>171450</xdr:colOff>
      <xdr:row>25</xdr:row>
      <xdr:rowOff>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5D2B8D02-4D38-4FB3-8C22-A8B5C78CFABE}"/>
            </a:ext>
          </a:extLst>
        </xdr:cNvPr>
        <xdr:cNvSpPr/>
      </xdr:nvSpPr>
      <xdr:spPr>
        <a:xfrm>
          <a:off x="2028825" y="8401050"/>
          <a:ext cx="16192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2</xdr:row>
      <xdr:rowOff>171450</xdr:rowOff>
    </xdr:from>
    <xdr:to>
      <xdr:col>1</xdr:col>
      <xdr:colOff>883103</xdr:colOff>
      <xdr:row>4</xdr:row>
      <xdr:rowOff>342900</xdr:rowOff>
    </xdr:to>
    <xdr:pic>
      <xdr:nvPicPr>
        <xdr:cNvPr id="4" name="Imagen 3" descr="Resultado de imagen para icono inic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AE20DC-81AA-42AB-AA53-01E481D30A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433"/>
        <a:stretch/>
      </xdr:blipFill>
      <xdr:spPr bwMode="auto">
        <a:xfrm>
          <a:off x="733425" y="1343025"/>
          <a:ext cx="911678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733425</xdr:colOff>
      <xdr:row>4</xdr:row>
      <xdr:rowOff>257175</xdr:rowOff>
    </xdr:from>
    <xdr:to>
      <xdr:col>1</xdr:col>
      <xdr:colOff>879775</xdr:colOff>
      <xdr:row>5</xdr:row>
      <xdr:rowOff>95250</xdr:rowOff>
    </xdr:to>
    <xdr:pic>
      <xdr:nvPicPr>
        <xdr:cNvPr id="5" name="Imagen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E397B1-C1DC-4E54-ACF7-D838D0E7A3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8828"/>
        <a:stretch/>
      </xdr:blipFill>
      <xdr:spPr>
        <a:xfrm>
          <a:off x="733425" y="1809750"/>
          <a:ext cx="908350" cy="466725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5</xdr:row>
      <xdr:rowOff>133351</xdr:rowOff>
    </xdr:from>
    <xdr:to>
      <xdr:col>1</xdr:col>
      <xdr:colOff>895350</xdr:colOff>
      <xdr:row>7</xdr:row>
      <xdr:rowOff>152401</xdr:rowOff>
    </xdr:to>
    <xdr:pic>
      <xdr:nvPicPr>
        <xdr:cNvPr id="9" name="Imagen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65CC967-1A0A-4C93-92F7-EE99D3CF3D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363"/>
        <a:stretch/>
      </xdr:blipFill>
      <xdr:spPr bwMode="auto">
        <a:xfrm>
          <a:off x="752475" y="2314576"/>
          <a:ext cx="9048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0</xdr:row>
      <xdr:rowOff>57150</xdr:rowOff>
    </xdr:from>
    <xdr:to>
      <xdr:col>1</xdr:col>
      <xdr:colOff>753900</xdr:colOff>
      <xdr:row>1</xdr:row>
      <xdr:rowOff>459972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7A2517-83E5-4675-98C1-2F0CE1632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57150"/>
          <a:ext cx="1277775" cy="65047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9525</xdr:colOff>
      <xdr:row>10</xdr:row>
      <xdr:rowOff>0</xdr:rowOff>
    </xdr:from>
    <xdr:to>
      <xdr:col>2</xdr:col>
      <xdr:colOff>171450</xdr:colOff>
      <xdr:row>11</xdr:row>
      <xdr:rowOff>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587D92A4-3C4E-47FB-9018-B1896CF09842}"/>
            </a:ext>
          </a:extLst>
        </xdr:cNvPr>
        <xdr:cNvSpPr/>
      </xdr:nvSpPr>
      <xdr:spPr>
        <a:xfrm>
          <a:off x="2028825" y="7981950"/>
          <a:ext cx="161925" cy="2095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11</xdr:row>
      <xdr:rowOff>0</xdr:rowOff>
    </xdr:from>
    <xdr:to>
      <xdr:col>2</xdr:col>
      <xdr:colOff>171450</xdr:colOff>
      <xdr:row>12</xdr:row>
      <xdr:rowOff>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3340DCA1-C58A-4D59-92EE-EEC426D3E79E}"/>
            </a:ext>
          </a:extLst>
        </xdr:cNvPr>
        <xdr:cNvSpPr/>
      </xdr:nvSpPr>
      <xdr:spPr>
        <a:xfrm>
          <a:off x="2028825" y="8191500"/>
          <a:ext cx="161925" cy="2095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11</xdr:row>
      <xdr:rowOff>0</xdr:rowOff>
    </xdr:from>
    <xdr:to>
      <xdr:col>2</xdr:col>
      <xdr:colOff>171450</xdr:colOff>
      <xdr:row>12</xdr:row>
      <xdr:rowOff>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467074BF-DAAB-4AB4-8FBA-13A9A6E417FB}"/>
            </a:ext>
          </a:extLst>
        </xdr:cNvPr>
        <xdr:cNvSpPr/>
      </xdr:nvSpPr>
      <xdr:spPr>
        <a:xfrm>
          <a:off x="2028825" y="8191500"/>
          <a:ext cx="161925" cy="209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12</xdr:row>
      <xdr:rowOff>0</xdr:rowOff>
    </xdr:from>
    <xdr:to>
      <xdr:col>2</xdr:col>
      <xdr:colOff>171450</xdr:colOff>
      <xdr:row>13</xdr:row>
      <xdr:rowOff>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AC790AF-5888-4F3D-BB7D-34D180A2C6EB}"/>
            </a:ext>
          </a:extLst>
        </xdr:cNvPr>
        <xdr:cNvSpPr/>
      </xdr:nvSpPr>
      <xdr:spPr>
        <a:xfrm>
          <a:off x="2028825" y="8401050"/>
          <a:ext cx="16192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2</xdr:row>
      <xdr:rowOff>161925</xdr:rowOff>
    </xdr:from>
    <xdr:to>
      <xdr:col>1</xdr:col>
      <xdr:colOff>883103</xdr:colOff>
      <xdr:row>5</xdr:row>
      <xdr:rowOff>66675</xdr:rowOff>
    </xdr:to>
    <xdr:pic>
      <xdr:nvPicPr>
        <xdr:cNvPr id="21" name="Imagen 20" descr="Resultado de imagen para icono inic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77A276-EFB8-40C8-8967-FD4DE8B457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403"/>
        <a:stretch/>
      </xdr:blipFill>
      <xdr:spPr bwMode="auto">
        <a:xfrm>
          <a:off x="733425" y="1333500"/>
          <a:ext cx="911678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733425</xdr:colOff>
      <xdr:row>5</xdr:row>
      <xdr:rowOff>28574</xdr:rowOff>
    </xdr:from>
    <xdr:to>
      <xdr:col>1</xdr:col>
      <xdr:colOff>879775</xdr:colOff>
      <xdr:row>7</xdr:row>
      <xdr:rowOff>57149</xdr:rowOff>
    </xdr:to>
    <xdr:pic>
      <xdr:nvPicPr>
        <xdr:cNvPr id="22" name="Imagen 2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CB7F36-9ECE-40AA-A2DF-09DB7C9B60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-1" b="29744"/>
        <a:stretch/>
      </xdr:blipFill>
      <xdr:spPr>
        <a:xfrm>
          <a:off x="733425" y="1809749"/>
          <a:ext cx="908350" cy="4476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114300</xdr:rowOff>
    </xdr:from>
    <xdr:to>
      <xdr:col>1</xdr:col>
      <xdr:colOff>904875</xdr:colOff>
      <xdr:row>9</xdr:row>
      <xdr:rowOff>161925</xdr:rowOff>
    </xdr:to>
    <xdr:pic>
      <xdr:nvPicPr>
        <xdr:cNvPr id="26" name="Imagen 2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9A049AD-EC72-45BA-971A-5F062F1477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909"/>
        <a:stretch/>
      </xdr:blipFill>
      <xdr:spPr bwMode="auto">
        <a:xfrm>
          <a:off x="762000" y="2314575"/>
          <a:ext cx="9048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0</xdr:row>
      <xdr:rowOff>57150</xdr:rowOff>
    </xdr:from>
    <xdr:to>
      <xdr:col>1</xdr:col>
      <xdr:colOff>753900</xdr:colOff>
      <xdr:row>1</xdr:row>
      <xdr:rowOff>459972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72EFE1-F003-4822-9302-2B6E3C486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57150"/>
          <a:ext cx="1277775" cy="65047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9525</xdr:colOff>
      <xdr:row>15</xdr:row>
      <xdr:rowOff>0</xdr:rowOff>
    </xdr:from>
    <xdr:to>
      <xdr:col>3</xdr:col>
      <xdr:colOff>171450</xdr:colOff>
      <xdr:row>16</xdr:row>
      <xdr:rowOff>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B278C94-0AFB-49EA-B629-B3A54312D6D1}"/>
            </a:ext>
          </a:extLst>
        </xdr:cNvPr>
        <xdr:cNvSpPr/>
      </xdr:nvSpPr>
      <xdr:spPr>
        <a:xfrm>
          <a:off x="2028825" y="7981950"/>
          <a:ext cx="161925" cy="2095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9525</xdr:colOff>
      <xdr:row>16</xdr:row>
      <xdr:rowOff>0</xdr:rowOff>
    </xdr:from>
    <xdr:to>
      <xdr:col>3</xdr:col>
      <xdr:colOff>171450</xdr:colOff>
      <xdr:row>17</xdr:row>
      <xdr:rowOff>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F0A26B46-65ED-4B58-9276-77DFB9C14F6A}"/>
            </a:ext>
          </a:extLst>
        </xdr:cNvPr>
        <xdr:cNvSpPr/>
      </xdr:nvSpPr>
      <xdr:spPr>
        <a:xfrm>
          <a:off x="2028825" y="8191500"/>
          <a:ext cx="161925" cy="2095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9525</xdr:colOff>
      <xdr:row>16</xdr:row>
      <xdr:rowOff>0</xdr:rowOff>
    </xdr:from>
    <xdr:to>
      <xdr:col>3</xdr:col>
      <xdr:colOff>171450</xdr:colOff>
      <xdr:row>17</xdr:row>
      <xdr:rowOff>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793B769-1DC4-4403-82E9-F05514BC02CF}"/>
            </a:ext>
          </a:extLst>
        </xdr:cNvPr>
        <xdr:cNvSpPr/>
      </xdr:nvSpPr>
      <xdr:spPr>
        <a:xfrm>
          <a:off x="2028825" y="8191500"/>
          <a:ext cx="161925" cy="209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9525</xdr:colOff>
      <xdr:row>17</xdr:row>
      <xdr:rowOff>0</xdr:rowOff>
    </xdr:from>
    <xdr:to>
      <xdr:col>3</xdr:col>
      <xdr:colOff>171450</xdr:colOff>
      <xdr:row>18</xdr:row>
      <xdr:rowOff>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19F14376-BFD8-4F7C-B993-EB630094C29D}"/>
            </a:ext>
          </a:extLst>
        </xdr:cNvPr>
        <xdr:cNvSpPr/>
      </xdr:nvSpPr>
      <xdr:spPr>
        <a:xfrm>
          <a:off x="2028825" y="8401050"/>
          <a:ext cx="16192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2</xdr:row>
      <xdr:rowOff>161925</xdr:rowOff>
    </xdr:from>
    <xdr:to>
      <xdr:col>1</xdr:col>
      <xdr:colOff>892628</xdr:colOff>
      <xdr:row>5</xdr:row>
      <xdr:rowOff>66675</xdr:rowOff>
    </xdr:to>
    <xdr:pic>
      <xdr:nvPicPr>
        <xdr:cNvPr id="2" name="Imagen 1" descr="Resultado de imagen para icono inic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BD9A61-8C86-4F48-838B-7A2C379031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403"/>
        <a:stretch/>
      </xdr:blipFill>
      <xdr:spPr bwMode="auto">
        <a:xfrm>
          <a:off x="742950" y="1333500"/>
          <a:ext cx="911678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733425</xdr:colOff>
      <xdr:row>5</xdr:row>
      <xdr:rowOff>38100</xdr:rowOff>
    </xdr:from>
    <xdr:to>
      <xdr:col>1</xdr:col>
      <xdr:colOff>879775</xdr:colOff>
      <xdr:row>6</xdr:row>
      <xdr:rowOff>38100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74CAB9-707A-4EF8-855F-DD0B021ED3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34228"/>
        <a:stretch/>
      </xdr:blipFill>
      <xdr:spPr>
        <a:xfrm>
          <a:off x="733425" y="1819275"/>
          <a:ext cx="908350" cy="419100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6</xdr:row>
      <xdr:rowOff>114300</xdr:rowOff>
    </xdr:from>
    <xdr:to>
      <xdr:col>1</xdr:col>
      <xdr:colOff>895350</xdr:colOff>
      <xdr:row>8</xdr:row>
      <xdr:rowOff>123825</xdr:rowOff>
    </xdr:to>
    <xdr:pic>
      <xdr:nvPicPr>
        <xdr:cNvPr id="18" name="Imagen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F64B736-335D-488C-B538-A56D23CEA7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182"/>
        <a:stretch/>
      </xdr:blipFill>
      <xdr:spPr bwMode="auto">
        <a:xfrm>
          <a:off x="752475" y="2314575"/>
          <a:ext cx="9048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0</xdr:row>
      <xdr:rowOff>57150</xdr:rowOff>
    </xdr:from>
    <xdr:to>
      <xdr:col>1</xdr:col>
      <xdr:colOff>753900</xdr:colOff>
      <xdr:row>1</xdr:row>
      <xdr:rowOff>459972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213D8D4-0903-4054-AA3C-3152AF796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57150"/>
          <a:ext cx="1277775" cy="65047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9525</xdr:colOff>
      <xdr:row>15</xdr:row>
      <xdr:rowOff>0</xdr:rowOff>
    </xdr:from>
    <xdr:to>
      <xdr:col>3</xdr:col>
      <xdr:colOff>171450</xdr:colOff>
      <xdr:row>16</xdr:row>
      <xdr:rowOff>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13E09F1-1837-4828-A688-F4473AB27F5C}"/>
            </a:ext>
          </a:extLst>
        </xdr:cNvPr>
        <xdr:cNvSpPr/>
      </xdr:nvSpPr>
      <xdr:spPr>
        <a:xfrm>
          <a:off x="2028825" y="7981950"/>
          <a:ext cx="161925" cy="2095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9525</xdr:colOff>
      <xdr:row>16</xdr:row>
      <xdr:rowOff>0</xdr:rowOff>
    </xdr:from>
    <xdr:to>
      <xdr:col>3</xdr:col>
      <xdr:colOff>171450</xdr:colOff>
      <xdr:row>17</xdr:row>
      <xdr:rowOff>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E53F8CD0-D8FF-41C6-943F-E8BE267E1E19}"/>
            </a:ext>
          </a:extLst>
        </xdr:cNvPr>
        <xdr:cNvSpPr/>
      </xdr:nvSpPr>
      <xdr:spPr>
        <a:xfrm>
          <a:off x="2028825" y="8191500"/>
          <a:ext cx="161925" cy="2095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9525</xdr:colOff>
      <xdr:row>16</xdr:row>
      <xdr:rowOff>0</xdr:rowOff>
    </xdr:from>
    <xdr:to>
      <xdr:col>3</xdr:col>
      <xdr:colOff>171450</xdr:colOff>
      <xdr:row>17</xdr:row>
      <xdr:rowOff>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F810E5D8-3D30-43FC-BBAF-9213A099760F}"/>
            </a:ext>
          </a:extLst>
        </xdr:cNvPr>
        <xdr:cNvSpPr/>
      </xdr:nvSpPr>
      <xdr:spPr>
        <a:xfrm>
          <a:off x="2028825" y="8191500"/>
          <a:ext cx="161925" cy="209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9525</xdr:colOff>
      <xdr:row>17</xdr:row>
      <xdr:rowOff>0</xdr:rowOff>
    </xdr:from>
    <xdr:to>
      <xdr:col>3</xdr:col>
      <xdr:colOff>171450</xdr:colOff>
      <xdr:row>18</xdr:row>
      <xdr:rowOff>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C85F7C24-C1A6-4827-806A-6E9A81ECB945}"/>
            </a:ext>
          </a:extLst>
        </xdr:cNvPr>
        <xdr:cNvSpPr/>
      </xdr:nvSpPr>
      <xdr:spPr>
        <a:xfrm>
          <a:off x="2028825" y="8401050"/>
          <a:ext cx="16192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3</xdr:row>
      <xdr:rowOff>9525</xdr:rowOff>
    </xdr:from>
    <xdr:to>
      <xdr:col>1</xdr:col>
      <xdr:colOff>883103</xdr:colOff>
      <xdr:row>5</xdr:row>
      <xdr:rowOff>171450</xdr:rowOff>
    </xdr:to>
    <xdr:pic>
      <xdr:nvPicPr>
        <xdr:cNvPr id="12" name="Imagen 11" descr="Resultado de imagen para icono inic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E0AF4E-8672-4D68-BC46-AC5AE07B4F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880"/>
        <a:stretch/>
      </xdr:blipFill>
      <xdr:spPr bwMode="auto">
        <a:xfrm>
          <a:off x="733425" y="1343025"/>
          <a:ext cx="911678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733425</xdr:colOff>
      <xdr:row>5</xdr:row>
      <xdr:rowOff>161925</xdr:rowOff>
    </xdr:from>
    <xdr:to>
      <xdr:col>1</xdr:col>
      <xdr:colOff>879775</xdr:colOff>
      <xdr:row>8</xdr:row>
      <xdr:rowOff>104775</xdr:rowOff>
    </xdr:to>
    <xdr:pic>
      <xdr:nvPicPr>
        <xdr:cNvPr id="13" name="Imagen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47ABC1C-3050-46AA-A40A-DBAD274A1A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3764"/>
        <a:stretch/>
      </xdr:blipFill>
      <xdr:spPr>
        <a:xfrm>
          <a:off x="733425" y="1819275"/>
          <a:ext cx="908350" cy="485775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8</xdr:row>
      <xdr:rowOff>114300</xdr:rowOff>
    </xdr:from>
    <xdr:to>
      <xdr:col>1</xdr:col>
      <xdr:colOff>895350</xdr:colOff>
      <xdr:row>11</xdr:row>
      <xdr:rowOff>19050</xdr:rowOff>
    </xdr:to>
    <xdr:pic>
      <xdr:nvPicPr>
        <xdr:cNvPr id="18" name="Imagen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109909A-7C59-A39F-9B49-060407DCFA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4545"/>
        <a:stretch/>
      </xdr:blipFill>
      <xdr:spPr bwMode="auto">
        <a:xfrm>
          <a:off x="752475" y="2314575"/>
          <a:ext cx="9048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333375</xdr:colOff>
      <xdr:row>0</xdr:row>
      <xdr:rowOff>19050</xdr:rowOff>
    </xdr:from>
    <xdr:to>
      <xdr:col>1</xdr:col>
      <xdr:colOff>849150</xdr:colOff>
      <xdr:row>1</xdr:row>
      <xdr:rowOff>421872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9F8D230-BCBE-437D-8A41-BE15C4B3B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9050"/>
          <a:ext cx="1277775" cy="65047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9525</xdr:colOff>
      <xdr:row>41</xdr:row>
      <xdr:rowOff>0</xdr:rowOff>
    </xdr:from>
    <xdr:to>
      <xdr:col>3</xdr:col>
      <xdr:colOff>171450</xdr:colOff>
      <xdr:row>42</xdr:row>
      <xdr:rowOff>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A058BA00-F10C-420C-B782-097827C2FD98}"/>
            </a:ext>
          </a:extLst>
        </xdr:cNvPr>
        <xdr:cNvSpPr/>
      </xdr:nvSpPr>
      <xdr:spPr>
        <a:xfrm>
          <a:off x="1800225" y="6362700"/>
          <a:ext cx="161925" cy="2095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9525</xdr:colOff>
      <xdr:row>42</xdr:row>
      <xdr:rowOff>0</xdr:rowOff>
    </xdr:from>
    <xdr:to>
      <xdr:col>3</xdr:col>
      <xdr:colOff>171450</xdr:colOff>
      <xdr:row>43</xdr:row>
      <xdr:rowOff>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AAAF7AA-4DB5-4B9B-A78F-6C7349E60C24}"/>
            </a:ext>
          </a:extLst>
        </xdr:cNvPr>
        <xdr:cNvSpPr/>
      </xdr:nvSpPr>
      <xdr:spPr>
        <a:xfrm>
          <a:off x="1800225" y="6572250"/>
          <a:ext cx="161925" cy="2095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9525</xdr:colOff>
      <xdr:row>42</xdr:row>
      <xdr:rowOff>0</xdr:rowOff>
    </xdr:from>
    <xdr:to>
      <xdr:col>3</xdr:col>
      <xdr:colOff>171450</xdr:colOff>
      <xdr:row>43</xdr:row>
      <xdr:rowOff>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71292B0-D5CE-4281-8253-01AF1E193138}"/>
            </a:ext>
          </a:extLst>
        </xdr:cNvPr>
        <xdr:cNvSpPr/>
      </xdr:nvSpPr>
      <xdr:spPr>
        <a:xfrm>
          <a:off x="1800225" y="6572250"/>
          <a:ext cx="161925" cy="209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9525</xdr:colOff>
      <xdr:row>43</xdr:row>
      <xdr:rowOff>0</xdr:rowOff>
    </xdr:from>
    <xdr:to>
      <xdr:col>3</xdr:col>
      <xdr:colOff>171450</xdr:colOff>
      <xdr:row>44</xdr:row>
      <xdr:rowOff>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E25A9F9D-4ED9-4779-A176-BFC1740C4E82}"/>
            </a:ext>
          </a:extLst>
        </xdr:cNvPr>
        <xdr:cNvSpPr/>
      </xdr:nvSpPr>
      <xdr:spPr>
        <a:xfrm>
          <a:off x="1800225" y="6781800"/>
          <a:ext cx="16192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2</xdr:row>
      <xdr:rowOff>171451</xdr:rowOff>
    </xdr:from>
    <xdr:to>
      <xdr:col>1</xdr:col>
      <xdr:colOff>883103</xdr:colOff>
      <xdr:row>5</xdr:row>
      <xdr:rowOff>76201</xdr:rowOff>
    </xdr:to>
    <xdr:pic>
      <xdr:nvPicPr>
        <xdr:cNvPr id="8" name="Imagen 7" descr="Resultado de imagen para icono inic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F51CC6-1560-45D5-A848-026DB5B967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5373"/>
        <a:stretch/>
      </xdr:blipFill>
      <xdr:spPr bwMode="auto">
        <a:xfrm>
          <a:off x="733425" y="1352551"/>
          <a:ext cx="911678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723900</xdr:colOff>
      <xdr:row>5</xdr:row>
      <xdr:rowOff>66675</xdr:rowOff>
    </xdr:from>
    <xdr:to>
      <xdr:col>1</xdr:col>
      <xdr:colOff>870250</xdr:colOff>
      <xdr:row>7</xdr:row>
      <xdr:rowOff>142875</xdr:rowOff>
    </xdr:to>
    <xdr:pic>
      <xdr:nvPicPr>
        <xdr:cNvPr id="9" name="Imagen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F72994-4F8C-4C19-A92C-9CFD8B3460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6754"/>
        <a:stretch/>
      </xdr:blipFill>
      <xdr:spPr>
        <a:xfrm>
          <a:off x="723900" y="1819275"/>
          <a:ext cx="908350" cy="466725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742950</xdr:colOff>
      <xdr:row>7</xdr:row>
      <xdr:rowOff>171450</xdr:rowOff>
    </xdr:from>
    <xdr:to>
      <xdr:col>1</xdr:col>
      <xdr:colOff>885825</xdr:colOff>
      <xdr:row>10</xdr:row>
      <xdr:rowOff>104775</xdr:rowOff>
    </xdr:to>
    <xdr:pic>
      <xdr:nvPicPr>
        <xdr:cNvPr id="13" name="Imagen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F3D004E-E67A-4394-B5E5-45F2FF36B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133475"/>
          <a:ext cx="9048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0</xdr:row>
      <xdr:rowOff>57150</xdr:rowOff>
    </xdr:from>
    <xdr:to>
      <xdr:col>1</xdr:col>
      <xdr:colOff>753900</xdr:colOff>
      <xdr:row>1</xdr:row>
      <xdr:rowOff>459972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CF5C0F-5B5B-4B42-AFFF-F923A3FC7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57150"/>
          <a:ext cx="1277775" cy="65047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9525</xdr:colOff>
      <xdr:row>35</xdr:row>
      <xdr:rowOff>0</xdr:rowOff>
    </xdr:from>
    <xdr:to>
      <xdr:col>2</xdr:col>
      <xdr:colOff>171450</xdr:colOff>
      <xdr:row>36</xdr:row>
      <xdr:rowOff>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9F50BAD-4BA5-4BEA-87AB-2305DF1B6663}"/>
            </a:ext>
          </a:extLst>
        </xdr:cNvPr>
        <xdr:cNvSpPr/>
      </xdr:nvSpPr>
      <xdr:spPr>
        <a:xfrm>
          <a:off x="1800225" y="6362700"/>
          <a:ext cx="161925" cy="2095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36</xdr:row>
      <xdr:rowOff>0</xdr:rowOff>
    </xdr:from>
    <xdr:to>
      <xdr:col>2</xdr:col>
      <xdr:colOff>171450</xdr:colOff>
      <xdr:row>37</xdr:row>
      <xdr:rowOff>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986B8342-542F-4DBF-8523-3DDD12FB3513}"/>
            </a:ext>
          </a:extLst>
        </xdr:cNvPr>
        <xdr:cNvSpPr/>
      </xdr:nvSpPr>
      <xdr:spPr>
        <a:xfrm>
          <a:off x="1800225" y="6572250"/>
          <a:ext cx="161925" cy="2095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36</xdr:row>
      <xdr:rowOff>0</xdr:rowOff>
    </xdr:from>
    <xdr:to>
      <xdr:col>2</xdr:col>
      <xdr:colOff>171450</xdr:colOff>
      <xdr:row>37</xdr:row>
      <xdr:rowOff>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B7D4914A-B1A0-4473-9214-0EAD7984D991}"/>
            </a:ext>
          </a:extLst>
        </xdr:cNvPr>
        <xdr:cNvSpPr/>
      </xdr:nvSpPr>
      <xdr:spPr>
        <a:xfrm>
          <a:off x="1800225" y="6572250"/>
          <a:ext cx="161925" cy="209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37</xdr:row>
      <xdr:rowOff>0</xdr:rowOff>
    </xdr:from>
    <xdr:to>
      <xdr:col>2</xdr:col>
      <xdr:colOff>171450</xdr:colOff>
      <xdr:row>38</xdr:row>
      <xdr:rowOff>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4C28B6C7-2763-40AC-8347-A61642CC42FC}"/>
            </a:ext>
          </a:extLst>
        </xdr:cNvPr>
        <xdr:cNvSpPr/>
      </xdr:nvSpPr>
      <xdr:spPr>
        <a:xfrm>
          <a:off x="1800225" y="6781800"/>
          <a:ext cx="16192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2</xdr:row>
      <xdr:rowOff>161925</xdr:rowOff>
    </xdr:from>
    <xdr:to>
      <xdr:col>1</xdr:col>
      <xdr:colOff>873578</xdr:colOff>
      <xdr:row>5</xdr:row>
      <xdr:rowOff>104775</xdr:rowOff>
    </xdr:to>
    <xdr:pic>
      <xdr:nvPicPr>
        <xdr:cNvPr id="3" name="Imagen 2" descr="Resultado de imagen para icono inic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5E78A9-FFF9-4FFD-A0D9-4982D3AE5A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403"/>
        <a:stretch/>
      </xdr:blipFill>
      <xdr:spPr bwMode="auto">
        <a:xfrm>
          <a:off x="723900" y="1333500"/>
          <a:ext cx="911678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733425</xdr:colOff>
      <xdr:row>5</xdr:row>
      <xdr:rowOff>66675</xdr:rowOff>
    </xdr:from>
    <xdr:to>
      <xdr:col>1</xdr:col>
      <xdr:colOff>879775</xdr:colOff>
      <xdr:row>8</xdr:row>
      <xdr:rowOff>123825</xdr:rowOff>
    </xdr:to>
    <xdr:pic>
      <xdr:nvPicPr>
        <xdr:cNvPr id="4" name="Imagen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E4415C4-5B85-47EE-ABAE-62FC8BF807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19280"/>
        <a:stretch/>
      </xdr:blipFill>
      <xdr:spPr>
        <a:xfrm>
          <a:off x="733425" y="1809750"/>
          <a:ext cx="908350" cy="514350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8</xdr:row>
      <xdr:rowOff>104775</xdr:rowOff>
    </xdr:from>
    <xdr:to>
      <xdr:col>1</xdr:col>
      <xdr:colOff>895350</xdr:colOff>
      <xdr:row>11</xdr:row>
      <xdr:rowOff>38100</xdr:rowOff>
    </xdr:to>
    <xdr:pic>
      <xdr:nvPicPr>
        <xdr:cNvPr id="8" name="Imagen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DE4DE0D-844A-4DBB-8D53-89ED29A81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2305050"/>
          <a:ext cx="9048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0</xdr:row>
      <xdr:rowOff>57150</xdr:rowOff>
    </xdr:from>
    <xdr:to>
      <xdr:col>1</xdr:col>
      <xdr:colOff>753900</xdr:colOff>
      <xdr:row>1</xdr:row>
      <xdr:rowOff>459972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176594-AB6E-4158-9F37-1E671224E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57150"/>
          <a:ext cx="1277775" cy="65047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9525</xdr:colOff>
      <xdr:row>33</xdr:row>
      <xdr:rowOff>0</xdr:rowOff>
    </xdr:from>
    <xdr:to>
      <xdr:col>2</xdr:col>
      <xdr:colOff>171450</xdr:colOff>
      <xdr:row>34</xdr:row>
      <xdr:rowOff>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A3F9B4E1-0BF6-4338-B48D-1E0AA5FC5B76}"/>
            </a:ext>
          </a:extLst>
        </xdr:cNvPr>
        <xdr:cNvSpPr/>
      </xdr:nvSpPr>
      <xdr:spPr>
        <a:xfrm>
          <a:off x="1800225" y="6362700"/>
          <a:ext cx="161925" cy="2095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34</xdr:row>
      <xdr:rowOff>0</xdr:rowOff>
    </xdr:from>
    <xdr:to>
      <xdr:col>2</xdr:col>
      <xdr:colOff>171450</xdr:colOff>
      <xdr:row>35</xdr:row>
      <xdr:rowOff>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CC2CD494-CD09-4D3C-BA70-1C428A0F2957}"/>
            </a:ext>
          </a:extLst>
        </xdr:cNvPr>
        <xdr:cNvSpPr/>
      </xdr:nvSpPr>
      <xdr:spPr>
        <a:xfrm>
          <a:off x="1800225" y="6572250"/>
          <a:ext cx="161925" cy="2095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34</xdr:row>
      <xdr:rowOff>0</xdr:rowOff>
    </xdr:from>
    <xdr:to>
      <xdr:col>2</xdr:col>
      <xdr:colOff>171450</xdr:colOff>
      <xdr:row>35</xdr:row>
      <xdr:rowOff>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32C21402-FEFF-4050-B7E5-0E2051BE3196}"/>
            </a:ext>
          </a:extLst>
        </xdr:cNvPr>
        <xdr:cNvSpPr/>
      </xdr:nvSpPr>
      <xdr:spPr>
        <a:xfrm>
          <a:off x="1800225" y="6572250"/>
          <a:ext cx="161925" cy="209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35</xdr:row>
      <xdr:rowOff>0</xdr:rowOff>
    </xdr:from>
    <xdr:to>
      <xdr:col>2</xdr:col>
      <xdr:colOff>171450</xdr:colOff>
      <xdr:row>36</xdr:row>
      <xdr:rowOff>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761FEB11-D0AB-4D81-B94B-1520D0F0118A}"/>
            </a:ext>
          </a:extLst>
        </xdr:cNvPr>
        <xdr:cNvSpPr/>
      </xdr:nvSpPr>
      <xdr:spPr>
        <a:xfrm>
          <a:off x="1800225" y="6781800"/>
          <a:ext cx="16192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ofesionalJunior-EC\ECONTEC%20CONSULTORES%20S.A.S\Estudios%20-%20Estudios\06.%20Datos\Base%20estudios%20tarifarios\Empresas%20con%20estudios%20tarifarios\EAAV\abrir%20este%20Modelo%20tarifario%20inicial%20EAAV%2068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Ú"/>
      <sheetName val="TARIFAS287"/>
      <sheetName val="TARIFAS688"/>
      <sheetName val="CMA"/>
      <sheetName val="CMO"/>
      <sheetName val="CMI"/>
      <sheetName val="CMT"/>
      <sheetName val="CA"/>
      <sheetName val="ICTA"/>
      <sheetName val="CO"/>
      <sheetName val="REMUN_ACTIVOS"/>
      <sheetName val="ITO"/>
      <sheetName val="DOSIF_OPTIM_IQ"/>
      <sheetName val="IQ"/>
      <sheetName val="CE0"/>
      <sheetName val="CE"/>
      <sheetName val="TU"/>
      <sheetName val="TR"/>
      <sheetName val="ESTAND_SERV"/>
      <sheetName val="ESTAND_EFIC"/>
      <sheetName val="PROY_SUSC"/>
      <sheetName val="VSS"/>
      <sheetName val="HIST_SUSC"/>
      <sheetName val="HIST_SUSC_GR"/>
      <sheetName val="Nb"/>
      <sheetName val="DANE"/>
      <sheetName val="PROY_CONS"/>
      <sheetName val="Gráfico1"/>
      <sheetName val="Gráfico2"/>
      <sheetName val="AP"/>
      <sheetName val="BOMB"/>
      <sheetName val="kWh"/>
      <sheetName val="HIST_CONS"/>
      <sheetName val="GR_HIST_CONS"/>
      <sheetName val="IWA"/>
      <sheetName val="IWA_2"/>
      <sheetName val="IWA_Cons_Fac"/>
      <sheetName val="IWA_Cons_Aut_NOFac"/>
      <sheetName val="PUC SUI 5-7 2013-2014 AC-AL"/>
      <sheetName val="VPIRER-287"/>
      <sheetName val="VPD-287"/>
      <sheetName val="CMI-287"/>
      <sheetName val="Hoja1"/>
      <sheetName val="VIDif287"/>
      <sheetName val="VI287"/>
      <sheetName val="BCR0"/>
      <sheetName val="POIR"/>
      <sheetName val="POIR anual"/>
      <sheetName val="POIR fuenteinfo"/>
      <sheetName val="BCRi"/>
      <sheetName val="Grupos de activos"/>
      <sheetName val="DetalleVI287"/>
      <sheetName val="DetalleVI287agrupado"/>
      <sheetName val="InvEjec_287_Anual"/>
      <sheetName val="InvEjec_287_CausaCORR"/>
      <sheetName val="InvEjec_287_CausaCONS"/>
      <sheetName val="Auto-287Graph1"/>
      <sheetName val="Auto-287Graph2"/>
      <sheetName val="InvEjecConvPasivo"/>
      <sheetName val="IPC"/>
    </sheetNames>
    <sheetDataSet>
      <sheetData sheetId="0" refreshError="1"/>
      <sheetData sheetId="1">
        <row r="5">
          <cell r="B5">
            <v>3405</v>
          </cell>
        </row>
        <row r="8">
          <cell r="B8">
            <v>128</v>
          </cell>
        </row>
        <row r="20">
          <cell r="B20">
            <v>2487</v>
          </cell>
        </row>
        <row r="23">
          <cell r="B23">
            <v>117</v>
          </cell>
        </row>
      </sheetData>
      <sheetData sheetId="2">
        <row r="2">
          <cell r="K2" t="str">
            <v>NO</v>
          </cell>
        </row>
        <row r="23">
          <cell r="C23">
            <v>1.0402</v>
          </cell>
        </row>
        <row r="24">
          <cell r="C24">
            <v>1.0397000000000001</v>
          </cell>
        </row>
        <row r="25">
          <cell r="C25">
            <v>1.0335000000000001</v>
          </cell>
        </row>
      </sheetData>
      <sheetData sheetId="3">
        <row r="2">
          <cell r="J2">
            <v>2.6100000000000002E-2</v>
          </cell>
        </row>
        <row r="5">
          <cell r="G5">
            <v>5367.1491999999998</v>
          </cell>
          <cell r="J5">
            <v>5427.69</v>
          </cell>
          <cell r="K5">
            <v>5427.69</v>
          </cell>
          <cell r="N5">
            <v>1</v>
          </cell>
          <cell r="O5">
            <v>0</v>
          </cell>
        </row>
        <row r="11">
          <cell r="B11">
            <v>6241.77</v>
          </cell>
        </row>
        <row r="13">
          <cell r="T13">
            <v>5545.6600000000008</v>
          </cell>
          <cell r="U13">
            <v>696.10999999999967</v>
          </cell>
        </row>
        <row r="16">
          <cell r="G16">
            <v>4172.1311999999998</v>
          </cell>
          <cell r="J16">
            <v>4656.66</v>
          </cell>
          <cell r="K16">
            <v>4656.66</v>
          </cell>
        </row>
        <row r="22">
          <cell r="B22">
            <v>5190.3599999999997</v>
          </cell>
        </row>
        <row r="24">
          <cell r="T24">
            <v>4588.1399999999994</v>
          </cell>
          <cell r="U24">
            <v>602.22000000000025</v>
          </cell>
        </row>
      </sheetData>
      <sheetData sheetId="4">
        <row r="5">
          <cell r="O5">
            <v>15675.11</v>
          </cell>
          <cell r="R5">
            <v>1</v>
          </cell>
          <cell r="S5">
            <v>0</v>
          </cell>
        </row>
        <row r="11">
          <cell r="B11">
            <v>638.46</v>
          </cell>
        </row>
        <row r="13">
          <cell r="X13">
            <v>589.55999999999995</v>
          </cell>
          <cell r="Y13">
            <v>48.86</v>
          </cell>
          <cell r="Z13">
            <v>4.0000000000091518E-2</v>
          </cell>
        </row>
        <row r="16">
          <cell r="O16">
            <v>7021.37</v>
          </cell>
        </row>
        <row r="22">
          <cell r="B22">
            <v>263</v>
          </cell>
        </row>
        <row r="24">
          <cell r="X24">
            <v>262.92</v>
          </cell>
          <cell r="Y24">
            <v>0</v>
          </cell>
          <cell r="Z24">
            <v>7.9999999999984084E-2</v>
          </cell>
        </row>
      </sheetData>
      <sheetData sheetId="5">
        <row r="2">
          <cell r="I2">
            <v>0.12280000000000001</v>
          </cell>
        </row>
        <row r="16">
          <cell r="B16">
            <v>1330.7579751207652</v>
          </cell>
          <cell r="L16">
            <v>1151.5419346700801</v>
          </cell>
        </row>
      </sheetData>
      <sheetData sheetId="6">
        <row r="12">
          <cell r="M12">
            <v>109.66</v>
          </cell>
        </row>
        <row r="18">
          <cell r="D18">
            <v>2.13</v>
          </cell>
        </row>
      </sheetData>
      <sheetData sheetId="7">
        <row r="38">
          <cell r="U38">
            <v>6225592568</v>
          </cell>
          <cell r="V38">
            <v>4947379913</v>
          </cell>
          <cell r="W38">
            <v>6019459759</v>
          </cell>
          <cell r="X38">
            <v>5268027394</v>
          </cell>
        </row>
      </sheetData>
      <sheetData sheetId="8">
        <row r="19">
          <cell r="L19">
            <v>794902580</v>
          </cell>
          <cell r="M19">
            <v>662590840</v>
          </cell>
        </row>
      </sheetData>
      <sheetData sheetId="9">
        <row r="35">
          <cell r="U35">
            <v>17116536554</v>
          </cell>
          <cell r="V35">
            <v>8277776098</v>
          </cell>
          <cell r="W35">
            <v>17384132956.5</v>
          </cell>
          <cell r="X35">
            <v>7943190923.5</v>
          </cell>
        </row>
      </sheetData>
      <sheetData sheetId="10">
        <row r="2">
          <cell r="B2">
            <v>0.27929999999999999</v>
          </cell>
        </row>
      </sheetData>
      <sheetData sheetId="11">
        <row r="9">
          <cell r="L9">
            <v>1438483</v>
          </cell>
          <cell r="M9">
            <v>2632165</v>
          </cell>
        </row>
      </sheetData>
      <sheetData sheetId="12" refreshError="1"/>
      <sheetData sheetId="13">
        <row r="3">
          <cell r="C3">
            <v>25.88</v>
          </cell>
        </row>
      </sheetData>
      <sheetData sheetId="14">
        <row r="15">
          <cell r="C15">
            <v>9.8000000000000007</v>
          </cell>
          <cell r="E15">
            <v>0.6</v>
          </cell>
        </row>
        <row r="16">
          <cell r="J16">
            <v>582468489</v>
          </cell>
        </row>
        <row r="17">
          <cell r="J17">
            <v>9071267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">
          <cell r="E3">
            <v>92620</v>
          </cell>
          <cell r="L3">
            <v>96006</v>
          </cell>
          <cell r="P3">
            <v>0</v>
          </cell>
          <cell r="Q3">
            <v>18</v>
          </cell>
        </row>
        <row r="16">
          <cell r="B16">
            <v>5</v>
          </cell>
        </row>
        <row r="18">
          <cell r="B18">
            <v>0</v>
          </cell>
          <cell r="M18">
            <v>118711</v>
          </cell>
        </row>
        <row r="19">
          <cell r="B19">
            <v>4.0800000000000003E-2</v>
          </cell>
        </row>
        <row r="20">
          <cell r="B20">
            <v>115989</v>
          </cell>
          <cell r="M20">
            <v>5</v>
          </cell>
        </row>
      </sheetData>
      <sheetData sheetId="21">
        <row r="4">
          <cell r="G4">
            <v>2349</v>
          </cell>
        </row>
        <row r="8">
          <cell r="D8">
            <v>1960</v>
          </cell>
        </row>
        <row r="9">
          <cell r="D9">
            <v>4682</v>
          </cell>
        </row>
      </sheetData>
      <sheetData sheetId="22">
        <row r="13">
          <cell r="K13">
            <v>92620</v>
          </cell>
          <cell r="L13">
            <v>8879</v>
          </cell>
          <cell r="N13">
            <v>96006</v>
          </cell>
          <cell r="O13">
            <v>8861</v>
          </cell>
        </row>
      </sheetData>
      <sheetData sheetId="23" refreshError="1"/>
      <sheetData sheetId="24">
        <row r="17">
          <cell r="C17">
            <v>96662</v>
          </cell>
          <cell r="D17">
            <v>92419</v>
          </cell>
          <cell r="F17">
            <v>98818</v>
          </cell>
          <cell r="G17">
            <v>94274</v>
          </cell>
        </row>
      </sheetData>
      <sheetData sheetId="25" refreshError="1"/>
      <sheetData sheetId="26">
        <row r="3">
          <cell r="J3">
            <v>13.21</v>
          </cell>
        </row>
        <row r="15">
          <cell r="Q15">
            <v>6</v>
          </cell>
        </row>
        <row r="20">
          <cell r="J20">
            <v>13.47</v>
          </cell>
        </row>
      </sheetData>
      <sheetData sheetId="27" refreshError="1"/>
      <sheetData sheetId="28" refreshError="1"/>
      <sheetData sheetId="29">
        <row r="16">
          <cell r="M16">
            <v>45941708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2">
          <cell r="A2">
            <v>2003</v>
          </cell>
        </row>
        <row r="3">
          <cell r="A3">
            <v>0.13339999999999999</v>
          </cell>
        </row>
        <row r="13">
          <cell r="B13">
            <v>164772946316.93729</v>
          </cell>
        </row>
        <row r="18">
          <cell r="B18">
            <v>104459346893.90567</v>
          </cell>
        </row>
      </sheetData>
      <sheetData sheetId="40">
        <row r="8">
          <cell r="B8">
            <v>248906479.55128285</v>
          </cell>
        </row>
        <row r="13">
          <cell r="B13">
            <v>56090807.796696343</v>
          </cell>
        </row>
        <row r="29">
          <cell r="B29">
            <v>134796414.1662508</v>
          </cell>
        </row>
        <row r="34">
          <cell r="B34">
            <v>60479548.568628758</v>
          </cell>
        </row>
      </sheetData>
      <sheetData sheetId="41">
        <row r="3">
          <cell r="C3">
            <v>68889530162</v>
          </cell>
          <cell r="E3">
            <v>661.98739999999998</v>
          </cell>
        </row>
        <row r="5">
          <cell r="C5">
            <v>10739755549.6</v>
          </cell>
          <cell r="E5">
            <v>774.94159999999999</v>
          </cell>
        </row>
      </sheetData>
      <sheetData sheetId="42" refreshError="1"/>
      <sheetData sheetId="43" refreshError="1"/>
      <sheetData sheetId="44">
        <row r="38">
          <cell r="C38">
            <v>16383858035.903324</v>
          </cell>
          <cell r="E38">
            <v>37131406457</v>
          </cell>
          <cell r="G38">
            <v>-20747548421.096676</v>
          </cell>
          <cell r="J38">
            <v>0</v>
          </cell>
        </row>
        <row r="39">
          <cell r="C39">
            <v>20225842147.792744</v>
          </cell>
          <cell r="E39">
            <v>46868117249</v>
          </cell>
          <cell r="G39">
            <v>-26642275101.207256</v>
          </cell>
          <cell r="J39">
            <v>0</v>
          </cell>
        </row>
      </sheetData>
      <sheetData sheetId="45">
        <row r="68">
          <cell r="I68">
            <v>33546003962</v>
          </cell>
        </row>
        <row r="69">
          <cell r="I69">
            <v>52054244025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>
        <row r="14">
          <cell r="D14">
            <v>1.5540314613622439</v>
          </cell>
        </row>
        <row r="15">
          <cell r="B15">
            <v>6.7699999999999996E-2</v>
          </cell>
        </row>
        <row r="19">
          <cell r="D19">
            <v>1.0387</v>
          </cell>
        </row>
        <row r="20">
          <cell r="D20">
            <v>1.0105999999999999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13CB-642A-4066-AA4F-2579DE585617}">
  <dimension ref="A1:A10"/>
  <sheetViews>
    <sheetView showGridLines="0" tabSelected="1" topLeftCell="A4" workbookViewId="0"/>
  </sheetViews>
  <sheetFormatPr defaultColWidth="10.7265625" defaultRowHeight="14.5" x14ac:dyDescent="0.35"/>
  <cols>
    <col min="1" max="1" width="11.26953125" style="6" customWidth="1"/>
    <col min="2" max="15" width="10.7265625" style="6"/>
    <col min="16" max="16" width="1.54296875" style="6" customWidth="1"/>
    <col min="17" max="16384" width="10.7265625" style="6"/>
  </cols>
  <sheetData>
    <row r="1" spans="1:1" s="270" customFormat="1" x14ac:dyDescent="0.35"/>
    <row r="2" spans="1:1" s="270" customFormat="1" x14ac:dyDescent="0.35"/>
    <row r="3" spans="1:1" s="270" customFormat="1" x14ac:dyDescent="0.35"/>
    <row r="4" spans="1:1" s="270" customFormat="1" x14ac:dyDescent="0.35"/>
    <row r="5" spans="1:1" s="270" customFormat="1" x14ac:dyDescent="0.35"/>
    <row r="6" spans="1:1" s="270" customFormat="1" x14ac:dyDescent="0.35"/>
    <row r="9" spans="1:1" ht="17" x14ac:dyDescent="0.35">
      <c r="A9" s="269"/>
    </row>
    <row r="10" spans="1:1" ht="17" x14ac:dyDescent="0.35">
      <c r="A10" s="269"/>
    </row>
  </sheetData>
  <pageMargins left="0.7" right="0.7" top="0.75" bottom="0.75" header="0.3" footer="0.3"/>
  <drawing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CC666-AC4C-4BD9-8D80-4E2FFEEBBEC2}">
  <sheetPr codeName="Hoja13"/>
  <dimension ref="A1:Z48"/>
  <sheetViews>
    <sheetView workbookViewId="0"/>
  </sheetViews>
  <sheetFormatPr defaultColWidth="11.453125" defaultRowHeight="14.5" x14ac:dyDescent="0.35"/>
  <cols>
    <col min="1" max="1" width="13.453125" style="25" customWidth="1"/>
    <col min="2" max="2" width="13.453125" style="25" bestFit="1" customWidth="1"/>
    <col min="3" max="3" width="29.7265625" style="25" customWidth="1"/>
    <col min="4" max="4" width="12.81640625" style="25" bestFit="1" customWidth="1"/>
    <col min="5" max="5" width="12.453125" style="25" bestFit="1" customWidth="1"/>
    <col min="6" max="6" width="11.54296875" style="25" hidden="1" customWidth="1"/>
    <col min="7" max="8" width="11.81640625" style="25" hidden="1" customWidth="1"/>
    <col min="9" max="9" width="11.81640625" style="25" customWidth="1"/>
    <col min="10" max="13" width="11.81640625" style="25" hidden="1" customWidth="1"/>
    <col min="14" max="14" width="11.81640625" style="25" customWidth="1"/>
    <col min="15" max="18" width="11.81640625" style="25" hidden="1" customWidth="1"/>
    <col min="19" max="19" width="11.81640625" style="25" bestFit="1" customWidth="1"/>
    <col min="20" max="22" width="11.81640625" style="25" hidden="1" customWidth="1"/>
    <col min="23" max="23" width="11.81640625" style="6" hidden="1" customWidth="1"/>
    <col min="24" max="24" width="11.81640625" style="6" bestFit="1" customWidth="1"/>
    <col min="25" max="16384" width="11.453125" style="6"/>
  </cols>
  <sheetData>
    <row r="1" spans="1:26" ht="19.5" customHeight="1" x14ac:dyDescent="0.35">
      <c r="A1" s="202"/>
      <c r="B1" s="203"/>
      <c r="C1" s="203"/>
      <c r="D1" s="203"/>
      <c r="E1" s="203"/>
      <c r="F1" s="203"/>
      <c r="G1" s="203"/>
      <c r="H1" s="203"/>
      <c r="I1" s="203"/>
      <c r="J1" s="203"/>
      <c r="K1" s="203"/>
      <c r="W1" s="25"/>
    </row>
    <row r="2" spans="1:26" ht="72.75" customHeight="1" x14ac:dyDescent="0.35">
      <c r="A2" s="205"/>
      <c r="B2" s="205"/>
      <c r="C2" s="205" t="s">
        <v>186</v>
      </c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0"/>
      <c r="Z2" s="200"/>
    </row>
    <row r="3" spans="1:26" ht="15" customHeight="1" x14ac:dyDescent="0.35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</row>
    <row r="5" spans="1:26" x14ac:dyDescent="0.35">
      <c r="A5" s="6"/>
      <c r="B5" s="6"/>
      <c r="C5" s="57" t="s">
        <v>95</v>
      </c>
      <c r="D5" s="58" t="s">
        <v>103</v>
      </c>
      <c r="E5" s="58" t="s">
        <v>7</v>
      </c>
      <c r="F5" s="58" t="s">
        <v>8</v>
      </c>
      <c r="G5" s="58" t="s">
        <v>9</v>
      </c>
      <c r="H5" s="58" t="s">
        <v>22</v>
      </c>
      <c r="I5" s="58" t="s">
        <v>23</v>
      </c>
      <c r="J5" s="58" t="s">
        <v>81</v>
      </c>
      <c r="K5" s="58" t="s">
        <v>82</v>
      </c>
      <c r="L5" s="58" t="s">
        <v>83</v>
      </c>
      <c r="M5" s="58" t="s">
        <v>84</v>
      </c>
      <c r="N5" s="58" t="s">
        <v>85</v>
      </c>
      <c r="O5" s="58" t="s">
        <v>104</v>
      </c>
      <c r="P5" s="58" t="s">
        <v>105</v>
      </c>
      <c r="Q5" s="58" t="s">
        <v>106</v>
      </c>
      <c r="R5" s="58" t="s">
        <v>107</v>
      </c>
      <c r="S5" s="58" t="s">
        <v>108</v>
      </c>
      <c r="T5" s="58" t="s">
        <v>109</v>
      </c>
      <c r="U5" s="58" t="s">
        <v>110</v>
      </c>
      <c r="V5" s="58" t="s">
        <v>111</v>
      </c>
      <c r="W5" s="58" t="s">
        <v>112</v>
      </c>
      <c r="X5" s="59" t="s">
        <v>113</v>
      </c>
    </row>
    <row r="6" spans="1:26" s="27" customFormat="1" x14ac:dyDescent="0.35">
      <c r="C6" s="154" t="s">
        <v>125</v>
      </c>
      <c r="D6" s="41"/>
      <c r="E6" s="41">
        <f>+E7+E8</f>
        <v>1928000</v>
      </c>
      <c r="F6" s="41">
        <f t="shared" ref="F6:X6" si="0">+F7+F8</f>
        <v>3775404.7999999989</v>
      </c>
      <c r="G6" s="41">
        <f t="shared" si="0"/>
        <v>5668760.4118399974</v>
      </c>
      <c r="H6" s="41">
        <f t="shared" si="0"/>
        <v>5776494.9919532472</v>
      </c>
      <c r="I6" s="41">
        <f t="shared" si="0"/>
        <v>5886351.9432947254</v>
      </c>
      <c r="J6" s="41">
        <f t="shared" si="0"/>
        <v>5798373.0765776318</v>
      </c>
      <c r="K6" s="41">
        <f t="shared" si="0"/>
        <v>5912601.0261862101</v>
      </c>
      <c r="L6" s="41">
        <f t="shared" si="0"/>
        <v>6029079.2664020797</v>
      </c>
      <c r="M6" s="41">
        <f t="shared" si="0"/>
        <v>6147852.1279502008</v>
      </c>
      <c r="N6" s="41">
        <f t="shared" si="0"/>
        <v>6268964.8148708213</v>
      </c>
      <c r="O6" s="41">
        <f t="shared" si="0"/>
        <v>6392463.4217237765</v>
      </c>
      <c r="P6" s="41">
        <f t="shared" si="0"/>
        <v>6518394.9511317341</v>
      </c>
      <c r="Q6" s="41">
        <f t="shared" si="0"/>
        <v>6646807.3316690279</v>
      </c>
      <c r="R6" s="41">
        <f t="shared" si="0"/>
        <v>6777749.436102909</v>
      </c>
      <c r="S6" s="41">
        <f t="shared" si="0"/>
        <v>6911271.099994136</v>
      </c>
      <c r="T6" s="41">
        <f t="shared" si="0"/>
        <v>7047423.1406640215</v>
      </c>
      <c r="U6" s="41">
        <f t="shared" si="0"/>
        <v>7186257.3765351009</v>
      </c>
      <c r="V6" s="41">
        <f t="shared" si="0"/>
        <v>7327826.6468528435</v>
      </c>
      <c r="W6" s="41">
        <f t="shared" si="0"/>
        <v>7472184.8317958442</v>
      </c>
      <c r="X6" s="52">
        <f t="shared" si="0"/>
        <v>7619386.8729822226</v>
      </c>
    </row>
    <row r="7" spans="1:26" x14ac:dyDescent="0.35">
      <c r="A7" s="6"/>
      <c r="B7" s="6"/>
      <c r="C7" s="68" t="s">
        <v>170</v>
      </c>
      <c r="D7" s="39"/>
      <c r="E7" s="212">
        <f>+'Construcción Modelo financiero'!G23</f>
        <v>1728000</v>
      </c>
      <c r="F7" s="212">
        <f>+'Construcción Modelo financiero'!H23</f>
        <v>3575404.7999999989</v>
      </c>
      <c r="G7" s="212">
        <f>+'Construcción Modelo financiero'!I23</f>
        <v>5468760.4118399974</v>
      </c>
      <c r="H7" s="212">
        <f>+'Construcción Modelo financiero'!J23</f>
        <v>5576494.9919532472</v>
      </c>
      <c r="I7" s="212">
        <f>+'Construcción Modelo financiero'!K23</f>
        <v>5686351.9432947254</v>
      </c>
      <c r="J7" s="212">
        <f>+'Construcción Modelo financiero'!L23</f>
        <v>5798373.0765776318</v>
      </c>
      <c r="K7" s="212">
        <f>+'Construcción Modelo financiero'!M23</f>
        <v>5912601.0261862101</v>
      </c>
      <c r="L7" s="212">
        <f>+'Construcción Modelo financiero'!N23</f>
        <v>6029079.2664020797</v>
      </c>
      <c r="M7" s="212">
        <f>+'Construcción Modelo financiero'!O23</f>
        <v>6147852.1279502008</v>
      </c>
      <c r="N7" s="212">
        <f>+'Construcción Modelo financiero'!P23</f>
        <v>6268964.8148708213</v>
      </c>
      <c r="O7" s="212">
        <f>+'Construcción Modelo financiero'!Q23</f>
        <v>6392463.4217237765</v>
      </c>
      <c r="P7" s="212">
        <f>+'Construcción Modelo financiero'!R23</f>
        <v>6518394.9511317341</v>
      </c>
      <c r="Q7" s="212">
        <f>+'Construcción Modelo financiero'!S23</f>
        <v>6646807.3316690279</v>
      </c>
      <c r="R7" s="212">
        <f>+'Construcción Modelo financiero'!T23</f>
        <v>6777749.436102909</v>
      </c>
      <c r="S7" s="212">
        <f>+'Construcción Modelo financiero'!U23</f>
        <v>6911271.099994136</v>
      </c>
      <c r="T7" s="212">
        <f>+'Construcción Modelo financiero'!V23</f>
        <v>7047423.1406640215</v>
      </c>
      <c r="U7" s="212">
        <f>+'Construcción Modelo financiero'!W23</f>
        <v>7186257.3765351009</v>
      </c>
      <c r="V7" s="212">
        <f>+'Construcción Modelo financiero'!X23</f>
        <v>7327826.6468528435</v>
      </c>
      <c r="W7" s="212">
        <f>+'Construcción Modelo financiero'!Y23</f>
        <v>7472184.8317958442</v>
      </c>
      <c r="X7" s="213">
        <f>+'Construcción Modelo financiero'!Z23</f>
        <v>7619386.8729822226</v>
      </c>
    </row>
    <row r="8" spans="1:26" x14ac:dyDescent="0.35">
      <c r="A8" s="6"/>
      <c r="B8" s="6"/>
      <c r="C8" s="68" t="s">
        <v>171</v>
      </c>
      <c r="D8" s="39"/>
      <c r="E8" s="212">
        <f>+'Construcción Modelo financiero'!G24</f>
        <v>200000</v>
      </c>
      <c r="F8" s="212">
        <f>+'Construcción Modelo financiero'!H24</f>
        <v>200000</v>
      </c>
      <c r="G8" s="212">
        <f>+'Construcción Modelo financiero'!I24</f>
        <v>200000</v>
      </c>
      <c r="H8" s="212">
        <f>+'Construcción Modelo financiero'!J24</f>
        <v>200000</v>
      </c>
      <c r="I8" s="212">
        <f>+'Construcción Modelo financiero'!K24</f>
        <v>200000</v>
      </c>
      <c r="J8" s="212">
        <f>+'Construcción Modelo financiero'!L24</f>
        <v>0</v>
      </c>
      <c r="K8" s="212">
        <f>+'Construcción Modelo financiero'!M24</f>
        <v>0</v>
      </c>
      <c r="L8" s="212">
        <f>+'Construcción Modelo financiero'!N24</f>
        <v>0</v>
      </c>
      <c r="M8" s="212">
        <f>+'Construcción Modelo financiero'!O24</f>
        <v>0</v>
      </c>
      <c r="N8" s="212">
        <f>+'Construcción Modelo financiero'!P24</f>
        <v>0</v>
      </c>
      <c r="O8" s="212">
        <f>+'Construcción Modelo financiero'!Q24</f>
        <v>0</v>
      </c>
      <c r="P8" s="212">
        <f>+'Construcción Modelo financiero'!R24</f>
        <v>0</v>
      </c>
      <c r="Q8" s="212">
        <f>+'Construcción Modelo financiero'!S24</f>
        <v>0</v>
      </c>
      <c r="R8" s="212">
        <f>+'Construcción Modelo financiero'!T24</f>
        <v>0</v>
      </c>
      <c r="S8" s="212">
        <f>+'Construcción Modelo financiero'!U24</f>
        <v>0</v>
      </c>
      <c r="T8" s="212">
        <f>+'Construcción Modelo financiero'!V24</f>
        <v>0</v>
      </c>
      <c r="U8" s="212">
        <f>+'Construcción Modelo financiero'!W24</f>
        <v>0</v>
      </c>
      <c r="V8" s="212">
        <f>+'Construcción Modelo financiero'!X24</f>
        <v>0</v>
      </c>
      <c r="W8" s="212">
        <f>+'Construcción Modelo financiero'!Y24</f>
        <v>0</v>
      </c>
      <c r="X8" s="213">
        <f>+'Construcción Modelo financiero'!Z24</f>
        <v>0</v>
      </c>
    </row>
    <row r="9" spans="1:26" ht="4.5" customHeight="1" x14ac:dyDescent="0.35">
      <c r="A9" s="6"/>
      <c r="B9" s="6"/>
      <c r="C9" s="68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50"/>
    </row>
    <row r="10" spans="1:26" s="27" customFormat="1" x14ac:dyDescent="0.35">
      <c r="C10" s="154" t="s">
        <v>126</v>
      </c>
      <c r="D10" s="41"/>
      <c r="E10" s="41">
        <f>+E11+E13</f>
        <v>1346000</v>
      </c>
      <c r="F10" s="41">
        <f t="shared" ref="F10:X10" si="1">+F11+F13</f>
        <v>2733053.5999999996</v>
      </c>
      <c r="G10" s="41">
        <f t="shared" si="1"/>
        <v>4154615.3088799985</v>
      </c>
      <c r="H10" s="41">
        <f t="shared" si="1"/>
        <v>4237007.5939649353</v>
      </c>
      <c r="I10" s="41">
        <f t="shared" si="1"/>
        <v>4321039.3979710443</v>
      </c>
      <c r="J10" s="41">
        <f t="shared" si="1"/>
        <v>4406743.5111482246</v>
      </c>
      <c r="K10" s="41">
        <f t="shared" si="1"/>
        <v>4494153.3844661089</v>
      </c>
      <c r="L10" s="41">
        <f t="shared" si="1"/>
        <v>4583303.1430728044</v>
      </c>
      <c r="M10" s="41">
        <f t="shared" si="1"/>
        <v>4674227.6000320315</v>
      </c>
      <c r="N10" s="41">
        <f t="shared" si="1"/>
        <v>4766962.2703445787</v>
      </c>
      <c r="O10" s="41">
        <f t="shared" si="1"/>
        <v>4861543.385260039</v>
      </c>
      <c r="P10" s="41">
        <f t="shared" si="1"/>
        <v>4958007.9068850232</v>
      </c>
      <c r="Q10" s="41">
        <f t="shared" si="1"/>
        <v>5056393.5430940809</v>
      </c>
      <c r="R10" s="41">
        <f t="shared" si="1"/>
        <v>5156738.7627497595</v>
      </c>
      <c r="S10" s="41">
        <f t="shared" si="1"/>
        <v>5259082.8112383569</v>
      </c>
      <c r="T10" s="41">
        <f t="shared" si="1"/>
        <v>5363465.7263280554</v>
      </c>
      <c r="U10" s="41">
        <f t="shared" si="1"/>
        <v>5469928.3543562666</v>
      </c>
      <c r="V10" s="41">
        <f t="shared" si="1"/>
        <v>5578512.3667532206</v>
      </c>
      <c r="W10" s="41">
        <f t="shared" si="1"/>
        <v>5689260.2769088792</v>
      </c>
      <c r="X10" s="52">
        <f t="shared" si="1"/>
        <v>5802215.4573905226</v>
      </c>
    </row>
    <row r="11" spans="1:26" x14ac:dyDescent="0.35">
      <c r="A11" s="6"/>
      <c r="B11" s="6"/>
      <c r="C11" s="154" t="s">
        <v>5</v>
      </c>
      <c r="D11" s="39"/>
      <c r="E11" s="39">
        <f>+E12</f>
        <v>50000</v>
      </c>
      <c r="F11" s="39">
        <f t="shared" ref="F11:X11" si="2">+F12</f>
        <v>51500</v>
      </c>
      <c r="G11" s="39">
        <f t="shared" si="2"/>
        <v>53045</v>
      </c>
      <c r="H11" s="39">
        <f t="shared" si="2"/>
        <v>54636.35</v>
      </c>
      <c r="I11" s="39">
        <f t="shared" si="2"/>
        <v>56275.440499999997</v>
      </c>
      <c r="J11" s="39">
        <f t="shared" si="2"/>
        <v>57963.703714999996</v>
      </c>
      <c r="K11" s="39">
        <f t="shared" si="2"/>
        <v>59702.614826450001</v>
      </c>
      <c r="L11" s="39">
        <f t="shared" si="2"/>
        <v>61493.693271243501</v>
      </c>
      <c r="M11" s="39">
        <f t="shared" si="2"/>
        <v>63338.504069380804</v>
      </c>
      <c r="N11" s="39">
        <f t="shared" si="2"/>
        <v>65238.659191462233</v>
      </c>
      <c r="O11" s="39">
        <f t="shared" si="2"/>
        <v>67195.818967206098</v>
      </c>
      <c r="P11" s="39">
        <f t="shared" si="2"/>
        <v>69211.693536222287</v>
      </c>
      <c r="Q11" s="39">
        <f t="shared" si="2"/>
        <v>71288.04434230896</v>
      </c>
      <c r="R11" s="39">
        <f t="shared" si="2"/>
        <v>73426.685672578227</v>
      </c>
      <c r="S11" s="39">
        <f t="shared" si="2"/>
        <v>75629.486242755578</v>
      </c>
      <c r="T11" s="39">
        <f t="shared" si="2"/>
        <v>77898.370830038242</v>
      </c>
      <c r="U11" s="39">
        <f t="shared" si="2"/>
        <v>80235.321954939398</v>
      </c>
      <c r="V11" s="39">
        <f t="shared" si="2"/>
        <v>82642.381613587582</v>
      </c>
      <c r="W11" s="39">
        <f t="shared" si="2"/>
        <v>85121.65306199521</v>
      </c>
      <c r="X11" s="50">
        <f t="shared" si="2"/>
        <v>87675.302653855062</v>
      </c>
    </row>
    <row r="12" spans="1:26" x14ac:dyDescent="0.35">
      <c r="A12" s="6"/>
      <c r="B12" s="6"/>
      <c r="C12" s="68" t="s">
        <v>6</v>
      </c>
      <c r="D12" s="39"/>
      <c r="E12" s="212">
        <f>+'Construcción Modelo financiero'!G34</f>
        <v>50000</v>
      </c>
      <c r="F12" s="212">
        <f>+'Construcción Modelo financiero'!H34</f>
        <v>51500</v>
      </c>
      <c r="G12" s="212">
        <f>+'Construcción Modelo financiero'!I34</f>
        <v>53045</v>
      </c>
      <c r="H12" s="212">
        <f>+'Construcción Modelo financiero'!J34</f>
        <v>54636.35</v>
      </c>
      <c r="I12" s="212">
        <f>+'Construcción Modelo financiero'!K34</f>
        <v>56275.440499999997</v>
      </c>
      <c r="J12" s="212">
        <f>+'Construcción Modelo financiero'!L34</f>
        <v>57963.703714999996</v>
      </c>
      <c r="K12" s="212">
        <f>+'Construcción Modelo financiero'!M34</f>
        <v>59702.614826450001</v>
      </c>
      <c r="L12" s="212">
        <f>+'Construcción Modelo financiero'!N34</f>
        <v>61493.693271243501</v>
      </c>
      <c r="M12" s="212">
        <f>+'Construcción Modelo financiero'!O34</f>
        <v>63338.504069380804</v>
      </c>
      <c r="N12" s="212">
        <f>+'Construcción Modelo financiero'!P34</f>
        <v>65238.659191462233</v>
      </c>
      <c r="O12" s="212">
        <f>+'Construcción Modelo financiero'!Q34</f>
        <v>67195.818967206098</v>
      </c>
      <c r="P12" s="212">
        <f>+'Construcción Modelo financiero'!R34</f>
        <v>69211.693536222287</v>
      </c>
      <c r="Q12" s="212">
        <f>+'Construcción Modelo financiero'!S34</f>
        <v>71288.04434230896</v>
      </c>
      <c r="R12" s="212">
        <f>+'Construcción Modelo financiero'!T34</f>
        <v>73426.685672578227</v>
      </c>
      <c r="S12" s="212">
        <f>+'Construcción Modelo financiero'!U34</f>
        <v>75629.486242755578</v>
      </c>
      <c r="T12" s="212">
        <f>+'Construcción Modelo financiero'!V34</f>
        <v>77898.370830038242</v>
      </c>
      <c r="U12" s="212">
        <f>+'Construcción Modelo financiero'!W34</f>
        <v>80235.321954939398</v>
      </c>
      <c r="V12" s="212">
        <f>+'Construcción Modelo financiero'!X34</f>
        <v>82642.381613587582</v>
      </c>
      <c r="W12" s="212">
        <f>+'Construcción Modelo financiero'!Y34</f>
        <v>85121.65306199521</v>
      </c>
      <c r="X12" s="213">
        <f>+'Construcción Modelo financiero'!Z34</f>
        <v>87675.302653855062</v>
      </c>
    </row>
    <row r="13" spans="1:26" x14ac:dyDescent="0.35">
      <c r="A13" s="6"/>
      <c r="B13" s="6"/>
      <c r="C13" s="154" t="s">
        <v>4</v>
      </c>
      <c r="D13" s="39"/>
      <c r="E13" s="39">
        <f>+SUM(E14:E16)</f>
        <v>1296000</v>
      </c>
      <c r="F13" s="39">
        <f t="shared" ref="F13:X13" si="3">+SUM(F14:F16)</f>
        <v>2681553.5999999996</v>
      </c>
      <c r="G13" s="39">
        <f t="shared" si="3"/>
        <v>4101570.3088799985</v>
      </c>
      <c r="H13" s="39">
        <f t="shared" si="3"/>
        <v>4182371.2439649357</v>
      </c>
      <c r="I13" s="39">
        <f t="shared" si="3"/>
        <v>4264763.9574710447</v>
      </c>
      <c r="J13" s="39">
        <f t="shared" si="3"/>
        <v>4348779.8074332243</v>
      </c>
      <c r="K13" s="39">
        <f t="shared" si="3"/>
        <v>4434450.7696396587</v>
      </c>
      <c r="L13" s="39">
        <f t="shared" si="3"/>
        <v>4521809.4498015605</v>
      </c>
      <c r="M13" s="39">
        <f t="shared" si="3"/>
        <v>4610889.0959626511</v>
      </c>
      <c r="N13" s="39">
        <f t="shared" si="3"/>
        <v>4701723.6111531164</v>
      </c>
      <c r="O13" s="39">
        <f t="shared" si="3"/>
        <v>4794347.5662928326</v>
      </c>
      <c r="P13" s="39">
        <f t="shared" si="3"/>
        <v>4888796.2133488012</v>
      </c>
      <c r="Q13" s="39">
        <f t="shared" si="3"/>
        <v>4985105.4987517716</v>
      </c>
      <c r="R13" s="39">
        <f t="shared" si="3"/>
        <v>5083312.0770771811</v>
      </c>
      <c r="S13" s="39">
        <f t="shared" si="3"/>
        <v>5183453.3249956015</v>
      </c>
      <c r="T13" s="39">
        <f t="shared" si="3"/>
        <v>5285567.3554980168</v>
      </c>
      <c r="U13" s="39">
        <f t="shared" si="3"/>
        <v>5389693.032401327</v>
      </c>
      <c r="V13" s="39">
        <f t="shared" si="3"/>
        <v>5495869.9851396326</v>
      </c>
      <c r="W13" s="39">
        <f t="shared" si="3"/>
        <v>5604138.6238468839</v>
      </c>
      <c r="X13" s="50">
        <f t="shared" si="3"/>
        <v>5714540.1547366679</v>
      </c>
    </row>
    <row r="14" spans="1:26" x14ac:dyDescent="0.35">
      <c r="A14" s="6"/>
      <c r="B14" s="6"/>
      <c r="C14" s="68" t="s">
        <v>130</v>
      </c>
      <c r="D14" s="39"/>
      <c r="E14" s="212">
        <f>+'Construcción Modelo financiero'!G36</f>
        <v>576000</v>
      </c>
      <c r="F14" s="212">
        <f>+'Construcción Modelo financiero'!H36</f>
        <v>1191801.5999999999</v>
      </c>
      <c r="G14" s="212">
        <f>+'Construcción Modelo financiero'!I36</f>
        <v>1822920.1372799994</v>
      </c>
      <c r="H14" s="212">
        <f>+'Construcción Modelo financiero'!J36</f>
        <v>1858831.6639844158</v>
      </c>
      <c r="I14" s="212">
        <f>+'Construcción Modelo financiero'!K36</f>
        <v>1895450.6477649086</v>
      </c>
      <c r="J14" s="212">
        <f>+'Construcción Modelo financiero'!L36</f>
        <v>1932791.0255258775</v>
      </c>
      <c r="K14" s="212">
        <f>+'Construcción Modelo financiero'!M36</f>
        <v>1970867.0087287372</v>
      </c>
      <c r="L14" s="212">
        <f>+'Construcción Modelo financiero'!N36</f>
        <v>2009693.0888006934</v>
      </c>
      <c r="M14" s="212">
        <f>+'Construcción Modelo financiero'!O36</f>
        <v>2049284.0426500672</v>
      </c>
      <c r="N14" s="212">
        <f>+'Construcción Modelo financiero'!P36</f>
        <v>2089654.9382902738</v>
      </c>
      <c r="O14" s="212">
        <f>+'Construcción Modelo financiero'!Q36</f>
        <v>2130821.1405745922</v>
      </c>
      <c r="P14" s="212">
        <f>+'Construcción Modelo financiero'!R36</f>
        <v>2172798.3170439117</v>
      </c>
      <c r="Q14" s="212">
        <f>+'Construcción Modelo financiero'!S36</f>
        <v>2215602.4438896761</v>
      </c>
      <c r="R14" s="212">
        <f>+'Construcción Modelo financiero'!T36</f>
        <v>2259249.8120343029</v>
      </c>
      <c r="S14" s="212">
        <f>+'Construcción Modelo financiero'!U36</f>
        <v>2303757.0333313788</v>
      </c>
      <c r="T14" s="212">
        <f>+'Construcción Modelo financiero'!V36</f>
        <v>2349141.0468880078</v>
      </c>
      <c r="U14" s="212">
        <f>+'Construcción Modelo financiero'!W36</f>
        <v>2395419.1255117008</v>
      </c>
      <c r="V14" s="212">
        <f>+'Construcción Modelo financiero'!X36</f>
        <v>2442608.8822842813</v>
      </c>
      <c r="W14" s="212">
        <f>+'Construcción Modelo financiero'!Y36</f>
        <v>2490728.2772652819</v>
      </c>
      <c r="X14" s="213">
        <f>+'Construcción Modelo financiero'!Z36</f>
        <v>2539795.6243274081</v>
      </c>
    </row>
    <row r="15" spans="1:26" x14ac:dyDescent="0.35">
      <c r="A15" s="6"/>
      <c r="B15" s="6"/>
      <c r="C15" s="68" t="s">
        <v>3</v>
      </c>
      <c r="D15" s="39"/>
      <c r="E15" s="212">
        <f>+'Construcción Modelo financiero'!G37</f>
        <v>288000</v>
      </c>
      <c r="F15" s="212">
        <f>+'Construcción Modelo financiero'!H37</f>
        <v>595900.79999999993</v>
      </c>
      <c r="G15" s="212">
        <f>+'Construcción Modelo financiero'!I37</f>
        <v>911460.06863999972</v>
      </c>
      <c r="H15" s="212">
        <f>+'Construcción Modelo financiero'!J37</f>
        <v>929415.83199220791</v>
      </c>
      <c r="I15" s="212">
        <f>+'Construcción Modelo financiero'!K37</f>
        <v>947725.32388245431</v>
      </c>
      <c r="J15" s="212">
        <f>+'Construcción Modelo financiero'!L37</f>
        <v>966395.51276293874</v>
      </c>
      <c r="K15" s="212">
        <f>+'Construcción Modelo financiero'!M37</f>
        <v>985433.50436436862</v>
      </c>
      <c r="L15" s="212">
        <f>+'Construcción Modelo financiero'!N37</f>
        <v>1004846.5444003467</v>
      </c>
      <c r="M15" s="212">
        <f>+'Construcción Modelo financiero'!O37</f>
        <v>1024642.0213250336</v>
      </c>
      <c r="N15" s="212">
        <f>+'Construcción Modelo financiero'!P37</f>
        <v>1044827.4691451369</v>
      </c>
      <c r="O15" s="212">
        <f>+'Construcción Modelo financiero'!Q37</f>
        <v>1065410.5702872961</v>
      </c>
      <c r="P15" s="212">
        <f>+'Construcción Modelo financiero'!R37</f>
        <v>1086399.1585219558</v>
      </c>
      <c r="Q15" s="212">
        <f>+'Construcción Modelo financiero'!S37</f>
        <v>1107801.2219448381</v>
      </c>
      <c r="R15" s="212">
        <f>+'Construcción Modelo financiero'!T37</f>
        <v>1129624.9060171514</v>
      </c>
      <c r="S15" s="212">
        <f>+'Construcción Modelo financiero'!U37</f>
        <v>1151878.5166656894</v>
      </c>
      <c r="T15" s="212">
        <f>+'Construcción Modelo financiero'!V37</f>
        <v>1174570.5234440039</v>
      </c>
      <c r="U15" s="212">
        <f>+'Construcción Modelo financiero'!W37</f>
        <v>1197709.5627558504</v>
      </c>
      <c r="V15" s="212">
        <f>+'Construcción Modelo financiero'!X37</f>
        <v>1221304.4411421407</v>
      </c>
      <c r="W15" s="212">
        <f>+'Construcción Modelo financiero'!Y37</f>
        <v>1245364.1386326409</v>
      </c>
      <c r="X15" s="213">
        <f>+'Construcción Modelo financiero'!Z37</f>
        <v>1269897.8121637041</v>
      </c>
    </row>
    <row r="16" spans="1:26" x14ac:dyDescent="0.35">
      <c r="A16" s="6"/>
      <c r="B16" s="6"/>
      <c r="C16" s="68" t="s">
        <v>131</v>
      </c>
      <c r="D16" s="39"/>
      <c r="E16" s="212">
        <f>+'Construcción Modelo financiero'!G38</f>
        <v>432000</v>
      </c>
      <c r="F16" s="212">
        <f>+'Construcción Modelo financiero'!H38</f>
        <v>893851.19999999972</v>
      </c>
      <c r="G16" s="212">
        <f>+'Construcción Modelo financiero'!I38</f>
        <v>1367190.1029599993</v>
      </c>
      <c r="H16" s="212">
        <f>+'Construcción Modelo financiero'!J38</f>
        <v>1394123.7479883118</v>
      </c>
      <c r="I16" s="212">
        <f>+'Construcción Modelo financiero'!K38</f>
        <v>1421587.9858236813</v>
      </c>
      <c r="J16" s="212">
        <f>+'Construcción Modelo financiero'!L38</f>
        <v>1449593.2691444079</v>
      </c>
      <c r="K16" s="212">
        <f>+'Construcción Modelo financiero'!M38</f>
        <v>1478150.2565465525</v>
      </c>
      <c r="L16" s="212">
        <f>+'Construcción Modelo financiero'!N38</f>
        <v>1507269.8166005199</v>
      </c>
      <c r="M16" s="212">
        <f>+'Construcción Modelo financiero'!O38</f>
        <v>1536963.0319875502</v>
      </c>
      <c r="N16" s="212">
        <f>+'Construcción Modelo financiero'!P38</f>
        <v>1567241.2037177053</v>
      </c>
      <c r="O16" s="212">
        <f>+'Construcción Modelo financiero'!Q38</f>
        <v>1598115.8554309441</v>
      </c>
      <c r="P16" s="212">
        <f>+'Construcción Modelo financiero'!R38</f>
        <v>1629598.7377829335</v>
      </c>
      <c r="Q16" s="212">
        <f>+'Construcción Modelo financiero'!S38</f>
        <v>1661701.832917257</v>
      </c>
      <c r="R16" s="212">
        <f>+'Construcción Modelo financiero'!T38</f>
        <v>1694437.3590257273</v>
      </c>
      <c r="S16" s="212">
        <f>+'Construcción Modelo financiero'!U38</f>
        <v>1727817.774998534</v>
      </c>
      <c r="T16" s="212">
        <f>+'Construcción Modelo financiero'!V38</f>
        <v>1761855.7851660054</v>
      </c>
      <c r="U16" s="212">
        <f>+'Construcción Modelo financiero'!W38</f>
        <v>1796564.3441337752</v>
      </c>
      <c r="V16" s="212">
        <f>+'Construcción Modelo financiero'!X38</f>
        <v>1831956.6617132109</v>
      </c>
      <c r="W16" s="212">
        <f>+'Construcción Modelo financiero'!Y38</f>
        <v>1868046.2079489611</v>
      </c>
      <c r="X16" s="213">
        <f>+'Construcción Modelo financiero'!Z38</f>
        <v>1904846.7182455556</v>
      </c>
    </row>
    <row r="17" spans="1:24" ht="6" customHeight="1" x14ac:dyDescent="0.35">
      <c r="A17" s="6"/>
      <c r="B17" s="6"/>
      <c r="C17" s="68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50"/>
    </row>
    <row r="18" spans="1:24" s="27" customFormat="1" x14ac:dyDescent="0.35">
      <c r="C18" s="154" t="s">
        <v>129</v>
      </c>
      <c r="D18" s="41">
        <f>+SUM(D19:D22)</f>
        <v>10950000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52"/>
    </row>
    <row r="19" spans="1:24" x14ac:dyDescent="0.35">
      <c r="A19" s="6"/>
      <c r="B19" s="6"/>
      <c r="C19" s="68" t="str">
        <f>+'Construcción Modelo financiero'!D27</f>
        <v>Estudios y Diseños</v>
      </c>
      <c r="D19" s="212">
        <f>+'Construcción Modelo financiero'!F27</f>
        <v>250000</v>
      </c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50"/>
    </row>
    <row r="20" spans="1:24" x14ac:dyDescent="0.35">
      <c r="A20" s="6"/>
      <c r="B20" s="6"/>
      <c r="C20" s="68" t="str">
        <f>+'Construcción Modelo financiero'!D28</f>
        <v xml:space="preserve">Obras de Infraestructura </v>
      </c>
      <c r="D20" s="212">
        <f>+'Construcción Modelo financiero'!F28</f>
        <v>10000000</v>
      </c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50"/>
    </row>
    <row r="21" spans="1:24" x14ac:dyDescent="0.35">
      <c r="A21" s="6"/>
      <c r="B21" s="6"/>
      <c r="C21" s="68" t="str">
        <f>+'Construcción Modelo financiero'!D29</f>
        <v>Equipos y maquinas</v>
      </c>
      <c r="D21" s="212">
        <f>+'Construcción Modelo financiero'!F29</f>
        <v>500000</v>
      </c>
      <c r="E21" s="39"/>
      <c r="F21" s="39"/>
      <c r="G21" s="39"/>
      <c r="H21" s="39"/>
      <c r="I21" s="39"/>
      <c r="J21" s="39">
        <f>1400000+2800000</f>
        <v>4200000</v>
      </c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50"/>
    </row>
    <row r="22" spans="1:24" x14ac:dyDescent="0.35">
      <c r="A22" s="6"/>
      <c r="B22" s="6"/>
      <c r="C22" s="68" t="str">
        <f>+'Construcción Modelo financiero'!D30</f>
        <v>Otros</v>
      </c>
      <c r="D22" s="212">
        <f>+'Construcción Modelo financiero'!F30</f>
        <v>200000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50"/>
    </row>
    <row r="23" spans="1:24" s="27" customFormat="1" x14ac:dyDescent="0.35">
      <c r="C23" s="154" t="s">
        <v>132</v>
      </c>
      <c r="D23" s="41"/>
      <c r="E23" s="214">
        <f>+'Estado de Resultados'!D31</f>
        <v>0</v>
      </c>
      <c r="F23" s="214">
        <f>+'Estado de Resultados'!E31</f>
        <v>104087.81974341646</v>
      </c>
      <c r="G23" s="214">
        <f>+'Estado de Resultados'!F31</f>
        <v>273125.29451385263</v>
      </c>
      <c r="H23" s="214">
        <f>+'Estado de Resultados'!G31</f>
        <v>286041.54281390377</v>
      </c>
      <c r="I23" s="214">
        <f>+'Estado de Resultados'!H31</f>
        <v>299268.41499782953</v>
      </c>
      <c r="J23" s="214">
        <f>+'Estado de Resultados'!I31</f>
        <v>242814.02512295934</v>
      </c>
      <c r="K23" s="214">
        <f>+'Estado de Resultados'!J31</f>
        <v>256686.71777091231</v>
      </c>
      <c r="L23" s="214">
        <f>+'Estado de Resultados'!K31</f>
        <v>270895.07508845063</v>
      </c>
      <c r="M23" s="214">
        <f>+'Estado de Resultados'!L31</f>
        <v>285447.92405529245</v>
      </c>
      <c r="N23" s="214">
        <f>+'Estado de Resultados'!M31</f>
        <v>300354.34398647246</v>
      </c>
      <c r="O23" s="214">
        <f>+'Estado de Resultados'!N31</f>
        <v>315623.6742770925</v>
      </c>
      <c r="P23" s="214">
        <f>+'Estado de Resultados'!O31</f>
        <v>331265.52239756734</v>
      </c>
      <c r="Q23" s="214">
        <f>+'Estado de Resultados'!P31</f>
        <v>347289.77214775939</v>
      </c>
      <c r="R23" s="214">
        <f>+'Estado de Resultados'!Q31</f>
        <v>363706.59217867552</v>
      </c>
      <c r="S23" s="214">
        <f>+'Estado de Resultados'!R31</f>
        <v>380526.44479069015</v>
      </c>
      <c r="T23" s="214">
        <f>+'Estado de Resultados'!S31</f>
        <v>397760.09501758812</v>
      </c>
      <c r="U23" s="214">
        <f>+'Estado de Resultados'!T31</f>
        <v>409090.15776259196</v>
      </c>
      <c r="V23" s="214">
        <f>+'Estado de Resultados'!U31</f>
        <v>420634.99803486798</v>
      </c>
      <c r="W23" s="214">
        <f>+'Estado de Resultados'!V31</f>
        <v>432398.59421043773</v>
      </c>
      <c r="X23" s="215">
        <f>+'Estado de Resultados'!W31</f>
        <v>444384.99545709498</v>
      </c>
    </row>
    <row r="24" spans="1:24" s="27" customFormat="1" x14ac:dyDescent="0.35">
      <c r="C24" s="70" t="s">
        <v>133</v>
      </c>
      <c r="D24" s="71">
        <f t="shared" ref="D24:X24" si="4">+D6-D10-D18-D23</f>
        <v>-10950000</v>
      </c>
      <c r="E24" s="71">
        <f t="shared" si="4"/>
        <v>582000</v>
      </c>
      <c r="F24" s="71">
        <f t="shared" si="4"/>
        <v>938263.38025658275</v>
      </c>
      <c r="G24" s="71">
        <f t="shared" si="4"/>
        <v>1241019.8084461463</v>
      </c>
      <c r="H24" s="71">
        <f t="shared" si="4"/>
        <v>1253445.8551744083</v>
      </c>
      <c r="I24" s="71">
        <f t="shared" si="4"/>
        <v>1266044.1303258515</v>
      </c>
      <c r="J24" s="71">
        <f t="shared" si="4"/>
        <v>1148815.5403064478</v>
      </c>
      <c r="K24" s="71">
        <f t="shared" si="4"/>
        <v>1161760.923949189</v>
      </c>
      <c r="L24" s="71">
        <f t="shared" si="4"/>
        <v>1174881.0482408246</v>
      </c>
      <c r="M24" s="71">
        <f t="shared" si="4"/>
        <v>1188176.6038628768</v>
      </c>
      <c r="N24" s="71">
        <f t="shared" si="4"/>
        <v>1201648.2005397701</v>
      </c>
      <c r="O24" s="71">
        <f t="shared" si="4"/>
        <v>1215296.3621866449</v>
      </c>
      <c r="P24" s="71">
        <f t="shared" si="4"/>
        <v>1229121.5218491436</v>
      </c>
      <c r="Q24" s="71">
        <f t="shared" si="4"/>
        <v>1243124.0164271877</v>
      </c>
      <c r="R24" s="71">
        <f t="shared" si="4"/>
        <v>1257304.081174474</v>
      </c>
      <c r="S24" s="71">
        <f t="shared" si="4"/>
        <v>1271661.8439650889</v>
      </c>
      <c r="T24" s="71">
        <f t="shared" si="4"/>
        <v>1286197.3193183779</v>
      </c>
      <c r="U24" s="71">
        <f t="shared" si="4"/>
        <v>1307238.8644162423</v>
      </c>
      <c r="V24" s="71">
        <f t="shared" si="4"/>
        <v>1328679.282064755</v>
      </c>
      <c r="W24" s="71">
        <f t="shared" si="4"/>
        <v>1350525.9606765273</v>
      </c>
      <c r="X24" s="72">
        <f t="shared" si="4"/>
        <v>1372786.4201346049</v>
      </c>
    </row>
    <row r="25" spans="1:24" ht="14.25" customHeight="1" x14ac:dyDescent="0.35">
      <c r="A25" s="6"/>
      <c r="B25" s="6"/>
      <c r="W25" s="25"/>
      <c r="X25" s="25"/>
    </row>
    <row r="26" spans="1:24" x14ac:dyDescent="0.35">
      <c r="A26" s="6"/>
      <c r="B26" s="6"/>
      <c r="C26" s="156" t="s">
        <v>181</v>
      </c>
      <c r="D26" s="216">
        <v>5000000</v>
      </c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9"/>
    </row>
    <row r="27" spans="1:24" x14ac:dyDescent="0.35">
      <c r="A27" s="6"/>
      <c r="B27" s="6"/>
      <c r="C27" s="155" t="s">
        <v>179</v>
      </c>
      <c r="D27" s="71">
        <f>-+IF(D24+D26&lt;0,D24+D26,0)</f>
        <v>5950000</v>
      </c>
      <c r="E27" s="71">
        <f t="shared" ref="E27:X27" si="5">+IF(E24+E26&lt;0,E24+E26,0)</f>
        <v>0</v>
      </c>
      <c r="F27" s="71">
        <f t="shared" si="5"/>
        <v>0</v>
      </c>
      <c r="G27" s="71">
        <f t="shared" si="5"/>
        <v>0</v>
      </c>
      <c r="H27" s="71">
        <f t="shared" si="5"/>
        <v>0</v>
      </c>
      <c r="I27" s="71">
        <f t="shared" si="5"/>
        <v>0</v>
      </c>
      <c r="J27" s="71">
        <f t="shared" si="5"/>
        <v>0</v>
      </c>
      <c r="K27" s="71">
        <f t="shared" si="5"/>
        <v>0</v>
      </c>
      <c r="L27" s="71">
        <f t="shared" si="5"/>
        <v>0</v>
      </c>
      <c r="M27" s="71">
        <f t="shared" si="5"/>
        <v>0</v>
      </c>
      <c r="N27" s="71">
        <f t="shared" si="5"/>
        <v>0</v>
      </c>
      <c r="O27" s="71">
        <f t="shared" si="5"/>
        <v>0</v>
      </c>
      <c r="P27" s="71">
        <f t="shared" si="5"/>
        <v>0</v>
      </c>
      <c r="Q27" s="71">
        <f t="shared" si="5"/>
        <v>0</v>
      </c>
      <c r="R27" s="71">
        <f t="shared" si="5"/>
        <v>0</v>
      </c>
      <c r="S27" s="71">
        <f t="shared" si="5"/>
        <v>0</v>
      </c>
      <c r="T27" s="71">
        <f t="shared" si="5"/>
        <v>0</v>
      </c>
      <c r="U27" s="71">
        <f t="shared" si="5"/>
        <v>0</v>
      </c>
      <c r="V27" s="71">
        <f t="shared" si="5"/>
        <v>0</v>
      </c>
      <c r="W27" s="71">
        <f t="shared" si="5"/>
        <v>0</v>
      </c>
      <c r="X27" s="72">
        <f t="shared" si="5"/>
        <v>0</v>
      </c>
    </row>
    <row r="28" spans="1:24" x14ac:dyDescent="0.35">
      <c r="A28" s="6"/>
      <c r="B28" s="6"/>
      <c r="C28" s="69" t="s">
        <v>180</v>
      </c>
      <c r="E28" s="41">
        <f>-PMT(D33,15,D27,,)</f>
        <v>516609.16272789618</v>
      </c>
      <c r="F28" s="41">
        <f>+E28</f>
        <v>516609.16272789618</v>
      </c>
      <c r="G28" s="41">
        <f>+F28</f>
        <v>516609.16272789618</v>
      </c>
      <c r="H28" s="41">
        <f t="shared" ref="H28:S28" si="6">+G28</f>
        <v>516609.16272789618</v>
      </c>
      <c r="I28" s="41">
        <f t="shared" si="6"/>
        <v>516609.16272789618</v>
      </c>
      <c r="J28" s="41">
        <f t="shared" si="6"/>
        <v>516609.16272789618</v>
      </c>
      <c r="K28" s="41">
        <f t="shared" si="6"/>
        <v>516609.16272789618</v>
      </c>
      <c r="L28" s="41">
        <f t="shared" si="6"/>
        <v>516609.16272789618</v>
      </c>
      <c r="M28" s="41">
        <f t="shared" si="6"/>
        <v>516609.16272789618</v>
      </c>
      <c r="N28" s="41">
        <f t="shared" si="6"/>
        <v>516609.16272789618</v>
      </c>
      <c r="O28" s="41">
        <f t="shared" si="6"/>
        <v>516609.16272789618</v>
      </c>
      <c r="P28" s="41">
        <f>+O28</f>
        <v>516609.16272789618</v>
      </c>
      <c r="Q28" s="41">
        <f t="shared" si="6"/>
        <v>516609.16272789618</v>
      </c>
      <c r="R28" s="41">
        <f t="shared" si="6"/>
        <v>516609.16272789618</v>
      </c>
      <c r="S28" s="41">
        <f t="shared" si="6"/>
        <v>516609.16272789618</v>
      </c>
      <c r="T28" s="41">
        <f t="shared" ref="T28" si="7">+S28</f>
        <v>516609.16272789618</v>
      </c>
      <c r="W28" s="25"/>
      <c r="X28" s="83"/>
    </row>
    <row r="29" spans="1:24" x14ac:dyDescent="0.35">
      <c r="A29" s="6"/>
      <c r="B29" s="6"/>
      <c r="C29" s="69" t="s">
        <v>211</v>
      </c>
      <c r="E29" s="41">
        <f>+E7*2%</f>
        <v>34560</v>
      </c>
      <c r="F29" s="41">
        <f t="shared" ref="F29:X29" si="8">+F7*2%</f>
        <v>71508.095999999976</v>
      </c>
      <c r="G29" s="41">
        <f t="shared" si="8"/>
        <v>109375.20823679995</v>
      </c>
      <c r="H29" s="41">
        <f t="shared" si="8"/>
        <v>111529.89983906495</v>
      </c>
      <c r="I29" s="41">
        <f t="shared" si="8"/>
        <v>113727.03886589452</v>
      </c>
      <c r="J29" s="41">
        <f t="shared" si="8"/>
        <v>115967.46153155263</v>
      </c>
      <c r="K29" s="41">
        <f t="shared" si="8"/>
        <v>118252.0205237242</v>
      </c>
      <c r="L29" s="41">
        <f t="shared" si="8"/>
        <v>120581.58532804159</v>
      </c>
      <c r="M29" s="41">
        <f t="shared" si="8"/>
        <v>122957.04255900402</v>
      </c>
      <c r="N29" s="41">
        <f t="shared" si="8"/>
        <v>125379.29629741643</v>
      </c>
      <c r="O29" s="41">
        <f t="shared" si="8"/>
        <v>127849.26843447554</v>
      </c>
      <c r="P29" s="41">
        <f t="shared" si="8"/>
        <v>130367.89902263468</v>
      </c>
      <c r="Q29" s="41">
        <f t="shared" si="8"/>
        <v>132936.14663338056</v>
      </c>
      <c r="R29" s="41">
        <f t="shared" si="8"/>
        <v>135554.98872205819</v>
      </c>
      <c r="S29" s="41">
        <f t="shared" si="8"/>
        <v>138225.42199988273</v>
      </c>
      <c r="T29" s="41">
        <f t="shared" si="8"/>
        <v>140948.46281328044</v>
      </c>
      <c r="U29" s="41">
        <f t="shared" si="8"/>
        <v>143725.14753070203</v>
      </c>
      <c r="V29" s="41">
        <f t="shared" si="8"/>
        <v>146556.53293705688</v>
      </c>
      <c r="W29" s="41">
        <f t="shared" si="8"/>
        <v>149443.69663591689</v>
      </c>
      <c r="X29" s="52">
        <f t="shared" si="8"/>
        <v>152387.73745964444</v>
      </c>
    </row>
    <row r="30" spans="1:24" x14ac:dyDescent="0.35">
      <c r="A30" s="27"/>
      <c r="B30" s="27"/>
      <c r="C30" s="80" t="s">
        <v>178</v>
      </c>
      <c r="D30" s="81">
        <f>+D24+D26+D27-D28</f>
        <v>0</v>
      </c>
      <c r="E30" s="81">
        <f>+E24+E26+E27-E28-E29</f>
        <v>30830.837272103818</v>
      </c>
      <c r="F30" s="81">
        <f t="shared" ref="F30:X30" si="9">+F24+F26+F27-F28-F29</f>
        <v>350146.12152868661</v>
      </c>
      <c r="G30" s="81">
        <f t="shared" si="9"/>
        <v>615035.43748145027</v>
      </c>
      <c r="H30" s="81">
        <f t="shared" si="9"/>
        <v>625306.79260744725</v>
      </c>
      <c r="I30" s="81">
        <f t="shared" si="9"/>
        <v>635707.92873206083</v>
      </c>
      <c r="J30" s="81">
        <f t="shared" si="9"/>
        <v>516238.91604699905</v>
      </c>
      <c r="K30" s="81">
        <f t="shared" si="9"/>
        <v>526899.74069756875</v>
      </c>
      <c r="L30" s="81">
        <f t="shared" si="9"/>
        <v>537690.3001848869</v>
      </c>
      <c r="M30" s="81">
        <f t="shared" si="9"/>
        <v>548610.39857597661</v>
      </c>
      <c r="N30" s="81">
        <f t="shared" si="9"/>
        <v>559659.74151445751</v>
      </c>
      <c r="O30" s="81">
        <f t="shared" si="9"/>
        <v>570837.93102427328</v>
      </c>
      <c r="P30" s="81">
        <f t="shared" si="9"/>
        <v>582144.4600986127</v>
      </c>
      <c r="Q30" s="81">
        <f t="shared" si="9"/>
        <v>593578.70706591103</v>
      </c>
      <c r="R30" s="81">
        <f t="shared" si="9"/>
        <v>605139.92972451961</v>
      </c>
      <c r="S30" s="81">
        <f t="shared" si="9"/>
        <v>616827.25923731015</v>
      </c>
      <c r="T30" s="81">
        <f t="shared" si="9"/>
        <v>628639.69377720135</v>
      </c>
      <c r="U30" s="81">
        <f t="shared" si="9"/>
        <v>1163513.7168855404</v>
      </c>
      <c r="V30" s="81">
        <f t="shared" si="9"/>
        <v>1182122.7491276981</v>
      </c>
      <c r="W30" s="81">
        <f t="shared" si="9"/>
        <v>1201082.2640406105</v>
      </c>
      <c r="X30" s="82">
        <f t="shared" si="9"/>
        <v>1220398.6826749605</v>
      </c>
    </row>
    <row r="31" spans="1:24" ht="21" x14ac:dyDescent="0.35">
      <c r="C31" s="205"/>
    </row>
    <row r="32" spans="1:24" x14ac:dyDescent="0.35">
      <c r="C32" s="80" t="s">
        <v>209</v>
      </c>
      <c r="D32" s="58" t="s">
        <v>103</v>
      </c>
      <c r="E32" s="58" t="s">
        <v>7</v>
      </c>
      <c r="F32" s="58" t="s">
        <v>8</v>
      </c>
      <c r="G32" s="58" t="s">
        <v>9</v>
      </c>
      <c r="H32" s="58" t="s">
        <v>22</v>
      </c>
      <c r="I32" s="58" t="s">
        <v>23</v>
      </c>
      <c r="J32" s="58" t="s">
        <v>81</v>
      </c>
      <c r="K32" s="58" t="s">
        <v>82</v>
      </c>
      <c r="L32" s="58" t="s">
        <v>83</v>
      </c>
      <c r="M32" s="58" t="s">
        <v>84</v>
      </c>
      <c r="N32" s="58" t="s">
        <v>85</v>
      </c>
      <c r="O32" s="58" t="s">
        <v>104</v>
      </c>
      <c r="P32" s="58" t="s">
        <v>105</v>
      </c>
      <c r="Q32" s="58" t="s">
        <v>106</v>
      </c>
      <c r="R32" s="58" t="s">
        <v>107</v>
      </c>
      <c r="S32" s="58" t="s">
        <v>108</v>
      </c>
      <c r="T32" s="58" t="s">
        <v>109</v>
      </c>
      <c r="U32" s="58" t="s">
        <v>110</v>
      </c>
      <c r="V32" s="58" t="s">
        <v>111</v>
      </c>
      <c r="W32" s="58" t="s">
        <v>112</v>
      </c>
      <c r="X32" s="59" t="s">
        <v>113</v>
      </c>
    </row>
    <row r="33" spans="1:24" x14ac:dyDescent="0.35">
      <c r="C33" s="265" t="s">
        <v>210</v>
      </c>
      <c r="D33" s="267">
        <v>3.5000000000000003E-2</v>
      </c>
      <c r="E33" s="266"/>
      <c r="F33" s="266"/>
      <c r="G33" s="266"/>
      <c r="H33" s="266"/>
      <c r="I33" s="266"/>
      <c r="J33" s="266"/>
      <c r="K33" s="266"/>
      <c r="L33" s="266"/>
      <c r="M33" s="266"/>
      <c r="N33" s="266"/>
      <c r="O33" s="266"/>
      <c r="P33" s="266"/>
      <c r="Q33" s="266"/>
      <c r="R33" s="266"/>
      <c r="S33" s="266"/>
      <c r="T33" s="266"/>
      <c r="U33" s="266"/>
      <c r="V33" s="266"/>
      <c r="W33" s="266"/>
      <c r="X33" s="268"/>
    </row>
    <row r="34" spans="1:24" x14ac:dyDescent="0.35">
      <c r="A34" s="6"/>
      <c r="B34" s="6"/>
      <c r="C34" s="154" t="s">
        <v>208</v>
      </c>
      <c r="D34" s="39">
        <f>+D27</f>
        <v>5950000</v>
      </c>
      <c r="E34" s="39">
        <f>+D34-E36</f>
        <v>5641640.8372721039</v>
      </c>
      <c r="F34" s="39">
        <f t="shared" ref="F34:S34" si="10">+E34-F36</f>
        <v>5322489.1038487311</v>
      </c>
      <c r="G34" s="39">
        <f t="shared" si="10"/>
        <v>4992167.0597555405</v>
      </c>
      <c r="H34" s="39">
        <f t="shared" si="10"/>
        <v>4650283.7441190882</v>
      </c>
      <c r="I34" s="39">
        <f t="shared" si="10"/>
        <v>4296434.5124353599</v>
      </c>
      <c r="J34" s="39">
        <f t="shared" si="10"/>
        <v>3930200.5576427011</v>
      </c>
      <c r="K34" s="39">
        <f t="shared" si="10"/>
        <v>3551148.4144322993</v>
      </c>
      <c r="L34" s="39">
        <f t="shared" si="10"/>
        <v>3158829.4462095336</v>
      </c>
      <c r="M34" s="39">
        <f t="shared" si="10"/>
        <v>2752779.314098971</v>
      </c>
      <c r="N34" s="39">
        <f t="shared" si="10"/>
        <v>2332517.4273645389</v>
      </c>
      <c r="O34" s="39">
        <f t="shared" si="10"/>
        <v>1897546.3745944016</v>
      </c>
      <c r="P34" s="39">
        <f t="shared" si="10"/>
        <v>1447351.3349773095</v>
      </c>
      <c r="Q34" s="39">
        <f t="shared" si="10"/>
        <v>981399.46897361916</v>
      </c>
      <c r="R34" s="39">
        <f t="shared" si="10"/>
        <v>499139.28765979968</v>
      </c>
      <c r="S34" s="39">
        <f t="shared" si="10"/>
        <v>-3.4924596548080444E-9</v>
      </c>
      <c r="T34" s="39"/>
      <c r="U34" s="39"/>
      <c r="V34" s="39"/>
      <c r="W34" s="39"/>
      <c r="X34" s="50"/>
    </row>
    <row r="35" spans="1:24" x14ac:dyDescent="0.35">
      <c r="A35" s="6"/>
      <c r="B35" s="6"/>
      <c r="C35" s="154" t="s">
        <v>206</v>
      </c>
      <c r="D35" s="39"/>
      <c r="E35" s="39">
        <f>+D34*$D$33</f>
        <v>208250.00000000003</v>
      </c>
      <c r="F35" s="39">
        <f t="shared" ref="F35:S35" si="11">+E34*$D$33</f>
        <v>197457.42930452366</v>
      </c>
      <c r="G35" s="39">
        <f t="shared" si="11"/>
        <v>186287.11863470561</v>
      </c>
      <c r="H35" s="39">
        <f t="shared" si="11"/>
        <v>174725.84709144392</v>
      </c>
      <c r="I35" s="39">
        <f t="shared" si="11"/>
        <v>162759.9310441681</v>
      </c>
      <c r="J35" s="39">
        <f t="shared" si="11"/>
        <v>150375.20793523762</v>
      </c>
      <c r="K35" s="39">
        <f t="shared" si="11"/>
        <v>137557.01951749454</v>
      </c>
      <c r="L35" s="39">
        <f t="shared" si="11"/>
        <v>124290.19450513049</v>
      </c>
      <c r="M35" s="39">
        <f t="shared" si="11"/>
        <v>110559.03061733369</v>
      </c>
      <c r="N35" s="39">
        <f t="shared" si="11"/>
        <v>96347.275993463991</v>
      </c>
      <c r="O35" s="39">
        <f t="shared" si="11"/>
        <v>81638.109957758876</v>
      </c>
      <c r="P35" s="39">
        <f t="shared" si="11"/>
        <v>66414.123110804067</v>
      </c>
      <c r="Q35" s="39">
        <f t="shared" si="11"/>
        <v>50657.296724205837</v>
      </c>
      <c r="R35" s="39">
        <f t="shared" si="11"/>
        <v>34348.981414076676</v>
      </c>
      <c r="S35" s="39">
        <f t="shared" si="11"/>
        <v>17469.875068092992</v>
      </c>
      <c r="T35" s="39"/>
      <c r="U35" s="39"/>
      <c r="V35" s="39"/>
      <c r="W35" s="39"/>
      <c r="X35" s="50"/>
    </row>
    <row r="36" spans="1:24" x14ac:dyDescent="0.35">
      <c r="A36" s="6"/>
      <c r="B36" s="6"/>
      <c r="C36" s="155" t="s">
        <v>207</v>
      </c>
      <c r="D36" s="55"/>
      <c r="E36" s="55">
        <f>+E28-E35</f>
        <v>308359.16272789612</v>
      </c>
      <c r="F36" s="55">
        <f t="shared" ref="F36:S36" si="12">+F28-F35</f>
        <v>319151.7334233725</v>
      </c>
      <c r="G36" s="55">
        <f t="shared" si="12"/>
        <v>330322.04409319058</v>
      </c>
      <c r="H36" s="55">
        <f t="shared" si="12"/>
        <v>341883.31563645229</v>
      </c>
      <c r="I36" s="55">
        <f t="shared" si="12"/>
        <v>353849.23168372805</v>
      </c>
      <c r="J36" s="55">
        <f t="shared" si="12"/>
        <v>366233.95479265857</v>
      </c>
      <c r="K36" s="55">
        <f t="shared" si="12"/>
        <v>379052.14321040164</v>
      </c>
      <c r="L36" s="55">
        <f t="shared" si="12"/>
        <v>392318.96822276572</v>
      </c>
      <c r="M36" s="55">
        <f t="shared" si="12"/>
        <v>406050.13211056252</v>
      </c>
      <c r="N36" s="55">
        <f t="shared" si="12"/>
        <v>420261.88673443219</v>
      </c>
      <c r="O36" s="55">
        <f t="shared" si="12"/>
        <v>434971.05277013732</v>
      </c>
      <c r="P36" s="55">
        <f t="shared" si="12"/>
        <v>450195.03961709212</v>
      </c>
      <c r="Q36" s="55">
        <f t="shared" si="12"/>
        <v>465951.86600369035</v>
      </c>
      <c r="R36" s="55">
        <f t="shared" si="12"/>
        <v>482260.18131381948</v>
      </c>
      <c r="S36" s="55">
        <f t="shared" si="12"/>
        <v>499139.28765980317</v>
      </c>
      <c r="T36" s="55"/>
      <c r="U36" s="55"/>
      <c r="V36" s="55"/>
      <c r="W36" s="55"/>
      <c r="X36" s="56"/>
    </row>
    <row r="41" spans="1:24" x14ac:dyDescent="0.35">
      <c r="C41" s="92" t="s">
        <v>196</v>
      </c>
      <c r="E41" s="252"/>
    </row>
    <row r="42" spans="1:24" x14ac:dyDescent="0.35">
      <c r="C42" s="92" t="s">
        <v>197</v>
      </c>
    </row>
    <row r="43" spans="1:24" x14ac:dyDescent="0.35">
      <c r="C43" s="92" t="s">
        <v>198</v>
      </c>
    </row>
    <row r="44" spans="1:24" x14ac:dyDescent="0.35">
      <c r="C44" s="92"/>
    </row>
    <row r="45" spans="1:24" x14ac:dyDescent="0.35">
      <c r="C45" s="92"/>
    </row>
    <row r="46" spans="1:24" x14ac:dyDescent="0.35">
      <c r="C46" s="25" t="s">
        <v>208</v>
      </c>
      <c r="D46" s="6"/>
    </row>
    <row r="47" spans="1:24" x14ac:dyDescent="0.35">
      <c r="C47" s="25" t="s">
        <v>206</v>
      </c>
      <c r="D47" s="6"/>
      <c r="E47" s="263">
        <f>+D27*3.5%</f>
        <v>208250.00000000003</v>
      </c>
      <c r="F47" s="263">
        <f>+E27*3.5%</f>
        <v>0</v>
      </c>
    </row>
    <row r="48" spans="1:24" x14ac:dyDescent="0.35">
      <c r="C48" s="25" t="s">
        <v>207</v>
      </c>
      <c r="D48" s="6"/>
      <c r="E48" s="264">
        <f>+E28-E47</f>
        <v>308359.16272789612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C726E-C441-4717-A07C-1C26E566907B}">
  <sheetPr codeName="Hoja17"/>
  <dimension ref="A1:H20"/>
  <sheetViews>
    <sheetView topLeftCell="A8" workbookViewId="0">
      <selection activeCell="E20" sqref="E20"/>
    </sheetView>
  </sheetViews>
  <sheetFormatPr defaultColWidth="10.90625" defaultRowHeight="14.5" x14ac:dyDescent="0.35"/>
  <cols>
    <col min="2" max="2" width="15.54296875" customWidth="1"/>
    <col min="3" max="3" width="29.54296875" customWidth="1"/>
    <col min="4" max="4" width="19.1796875" customWidth="1"/>
    <col min="5" max="5" width="18.7265625" customWidth="1"/>
    <col min="7" max="7" width="12.54296875" bestFit="1" customWidth="1"/>
  </cols>
  <sheetData>
    <row r="1" spans="1:8" ht="19.5" customHeight="1" x14ac:dyDescent="0.35">
      <c r="A1" s="198"/>
      <c r="B1" s="199"/>
      <c r="C1" s="199"/>
      <c r="D1" s="199"/>
      <c r="E1" s="199"/>
      <c r="F1" s="199"/>
      <c r="G1" s="199"/>
      <c r="H1" s="199"/>
    </row>
    <row r="2" spans="1:8" ht="72.75" customHeight="1" x14ac:dyDescent="0.35">
      <c r="A2" s="205"/>
      <c r="B2" s="205"/>
      <c r="C2" s="205" t="s">
        <v>188</v>
      </c>
      <c r="D2" s="205"/>
      <c r="E2" s="205"/>
      <c r="F2" s="205"/>
      <c r="G2" s="205"/>
      <c r="H2" s="205"/>
    </row>
    <row r="5" spans="1:8" x14ac:dyDescent="0.35">
      <c r="C5" s="169" t="s">
        <v>158</v>
      </c>
      <c r="D5" s="170">
        <v>44531</v>
      </c>
      <c r="E5" s="171">
        <v>111.41</v>
      </c>
    </row>
    <row r="6" spans="1:8" x14ac:dyDescent="0.35">
      <c r="C6" s="172" t="s">
        <v>159</v>
      </c>
      <c r="D6" s="38">
        <v>44593</v>
      </c>
      <c r="E6" s="173">
        <v>115.11</v>
      </c>
    </row>
    <row r="7" spans="1:8" x14ac:dyDescent="0.35">
      <c r="C7" s="28"/>
      <c r="D7" s="28"/>
      <c r="E7" s="28"/>
    </row>
    <row r="8" spans="1:8" x14ac:dyDescent="0.35">
      <c r="C8" s="28"/>
      <c r="D8" s="28"/>
      <c r="E8" s="28"/>
    </row>
    <row r="9" spans="1:8" ht="27.75" customHeight="1" x14ac:dyDescent="0.35">
      <c r="C9" s="174" t="s">
        <v>95</v>
      </c>
      <c r="D9" s="118" t="s">
        <v>166</v>
      </c>
      <c r="E9" s="166" t="s">
        <v>167</v>
      </c>
    </row>
    <row r="10" spans="1:8" x14ac:dyDescent="0.35">
      <c r="C10" s="162" t="s">
        <v>160</v>
      </c>
      <c r="D10" s="225">
        <v>3623.95</v>
      </c>
      <c r="E10" s="163">
        <v>3771.81</v>
      </c>
    </row>
    <row r="11" spans="1:8" x14ac:dyDescent="0.35">
      <c r="C11" s="167" t="s">
        <v>161</v>
      </c>
      <c r="D11" s="226">
        <v>3623.95</v>
      </c>
      <c r="E11" s="164">
        <f>+E10</f>
        <v>3771.81</v>
      </c>
    </row>
    <row r="12" spans="1:8" x14ac:dyDescent="0.35">
      <c r="C12" s="162" t="s">
        <v>162</v>
      </c>
      <c r="D12" s="225">
        <v>177.47</v>
      </c>
      <c r="E12" s="163">
        <v>184.71</v>
      </c>
    </row>
    <row r="13" spans="1:8" x14ac:dyDescent="0.35">
      <c r="C13" s="162" t="s">
        <v>163</v>
      </c>
      <c r="D13" s="225">
        <v>330.17</v>
      </c>
      <c r="E13" s="163">
        <v>343.64</v>
      </c>
    </row>
    <row r="14" spans="1:8" x14ac:dyDescent="0.35">
      <c r="C14" s="162" t="s">
        <v>164</v>
      </c>
      <c r="D14" s="225">
        <v>58.83</v>
      </c>
      <c r="E14" s="163">
        <v>58.83</v>
      </c>
      <c r="G14" s="228"/>
    </row>
    <row r="15" spans="1:8" x14ac:dyDescent="0.35">
      <c r="C15" s="168" t="s">
        <v>165</v>
      </c>
      <c r="D15" s="227">
        <v>566.47</v>
      </c>
      <c r="E15" s="165">
        <f>+SUM(E12:E14)</f>
        <v>587.18000000000006</v>
      </c>
    </row>
    <row r="18" spans="3:3" x14ac:dyDescent="0.35">
      <c r="C18" s="252" t="s">
        <v>196</v>
      </c>
    </row>
    <row r="19" spans="3:3" x14ac:dyDescent="0.35">
      <c r="C19" s="252" t="s">
        <v>197</v>
      </c>
    </row>
    <row r="20" spans="3:3" x14ac:dyDescent="0.35">
      <c r="C20" s="252" t="s">
        <v>198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A4ED-5362-443D-861E-F79D40064CB5}">
  <sheetPr codeName="Hoja14"/>
  <dimension ref="A1:K17"/>
  <sheetViews>
    <sheetView workbookViewId="0"/>
  </sheetViews>
  <sheetFormatPr defaultColWidth="10.90625" defaultRowHeight="14.5" x14ac:dyDescent="0.35"/>
  <cols>
    <col min="2" max="2" width="15.81640625" customWidth="1"/>
    <col min="3" max="3" width="44.7265625" customWidth="1"/>
    <col min="4" max="5" width="12.1796875" bestFit="1" customWidth="1"/>
  </cols>
  <sheetData>
    <row r="1" spans="1:11" ht="19.5" customHeight="1" x14ac:dyDescent="0.35">
      <c r="A1" s="198"/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72.75" customHeight="1" x14ac:dyDescent="0.35">
      <c r="A2" s="205"/>
      <c r="B2" s="205"/>
      <c r="C2" s="205" t="s">
        <v>191</v>
      </c>
      <c r="D2" s="205"/>
      <c r="E2" s="205"/>
      <c r="F2" s="205"/>
      <c r="G2" s="205"/>
      <c r="H2" s="205"/>
      <c r="I2" s="205"/>
      <c r="J2" s="205"/>
      <c r="K2" s="205"/>
    </row>
    <row r="5" spans="1:11" x14ac:dyDescent="0.35">
      <c r="C5" s="271" t="s">
        <v>143</v>
      </c>
      <c r="D5" s="272"/>
      <c r="E5" s="273"/>
    </row>
    <row r="6" spans="1:11" x14ac:dyDescent="0.35">
      <c r="C6" s="161" t="s">
        <v>134</v>
      </c>
      <c r="D6" s="58" t="s">
        <v>7</v>
      </c>
      <c r="E6" s="59" t="s">
        <v>141</v>
      </c>
    </row>
    <row r="7" spans="1:11" ht="15" x14ac:dyDescent="0.4">
      <c r="C7" s="120" t="s">
        <v>135</v>
      </c>
      <c r="D7" s="217">
        <v>69050600</v>
      </c>
      <c r="E7" s="218">
        <v>110677809.48999999</v>
      </c>
    </row>
    <row r="8" spans="1:11" ht="15" x14ac:dyDescent="0.4">
      <c r="C8" s="120" t="s">
        <v>136</v>
      </c>
      <c r="D8" s="217">
        <v>140084000</v>
      </c>
      <c r="E8" s="218">
        <v>162473998.63</v>
      </c>
    </row>
    <row r="9" spans="1:11" ht="15" x14ac:dyDescent="0.4">
      <c r="C9" s="120" t="s">
        <v>137</v>
      </c>
      <c r="D9" s="217">
        <v>272205381</v>
      </c>
      <c r="E9" s="218">
        <v>278603129.13</v>
      </c>
    </row>
    <row r="10" spans="1:11" ht="15" x14ac:dyDescent="0.4">
      <c r="C10" s="120" t="s">
        <v>138</v>
      </c>
      <c r="D10" s="219">
        <f>SUM(D7:D9)</f>
        <v>481339981</v>
      </c>
      <c r="E10" s="220">
        <f>SUM(E7:E9)</f>
        <v>551754937.25</v>
      </c>
    </row>
    <row r="11" spans="1:11" ht="15" x14ac:dyDescent="0.4">
      <c r="C11" s="120" t="s">
        <v>142</v>
      </c>
      <c r="D11" s="217">
        <v>12989935.880000001</v>
      </c>
      <c r="E11" s="218">
        <v>13199118</v>
      </c>
    </row>
    <row r="12" spans="1:11" ht="15" x14ac:dyDescent="0.4">
      <c r="C12" s="157" t="s">
        <v>139</v>
      </c>
      <c r="D12" s="158">
        <f>(D10/D11)</f>
        <v>37.054838872691953</v>
      </c>
      <c r="E12" s="159">
        <f>(E10/E11)</f>
        <v>41.80240961933972</v>
      </c>
    </row>
    <row r="13" spans="1:11" ht="15" x14ac:dyDescent="0.4">
      <c r="C13" s="122" t="s">
        <v>140</v>
      </c>
      <c r="D13" s="30"/>
      <c r="E13" s="160">
        <f>E12/D12-1</f>
        <v>0.12812282797825225</v>
      </c>
    </row>
    <row r="15" spans="1:11" x14ac:dyDescent="0.35">
      <c r="C15" s="252" t="s">
        <v>196</v>
      </c>
    </row>
    <row r="16" spans="1:11" x14ac:dyDescent="0.35">
      <c r="C16" s="252" t="s">
        <v>197</v>
      </c>
    </row>
    <row r="17" spans="3:3" x14ac:dyDescent="0.35">
      <c r="C17" s="252" t="s">
        <v>198</v>
      </c>
    </row>
  </sheetData>
  <mergeCells count="1">
    <mergeCell ref="C5:E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22F6A-98B7-4E53-A4E8-BD878E260C52}">
  <sheetPr codeName="Hoja16"/>
  <dimension ref="A1:M29"/>
  <sheetViews>
    <sheetView workbookViewId="0"/>
  </sheetViews>
  <sheetFormatPr defaultColWidth="10.90625" defaultRowHeight="14.5" x14ac:dyDescent="0.35"/>
  <cols>
    <col min="2" max="2" width="15" customWidth="1"/>
    <col min="3" max="3" width="29.1796875" customWidth="1"/>
    <col min="4" max="4" width="18.54296875" bestFit="1" customWidth="1"/>
    <col min="5" max="5" width="17.54296875" customWidth="1"/>
  </cols>
  <sheetData>
    <row r="1" spans="1:13" ht="19.5" customHeight="1" x14ac:dyDescent="0.35">
      <c r="A1" s="198"/>
      <c r="B1" s="199"/>
      <c r="C1" s="199"/>
      <c r="D1" s="199"/>
      <c r="E1" s="199"/>
      <c r="F1" s="199"/>
      <c r="G1" s="199"/>
      <c r="H1" s="199"/>
      <c r="I1" s="6"/>
      <c r="J1" s="6"/>
      <c r="K1" s="6"/>
      <c r="L1" s="6"/>
      <c r="M1" s="6"/>
    </row>
    <row r="2" spans="1:13" ht="72.75" customHeight="1" x14ac:dyDescent="0.35">
      <c r="A2" s="201"/>
      <c r="B2" s="205"/>
      <c r="C2" s="205" t="s">
        <v>187</v>
      </c>
      <c r="D2" s="205"/>
      <c r="E2" s="205"/>
      <c r="F2" s="205"/>
      <c r="G2" s="205"/>
      <c r="H2" s="205"/>
      <c r="I2" s="200"/>
      <c r="J2" s="200"/>
      <c r="K2" s="200"/>
      <c r="L2" s="200"/>
      <c r="M2" s="200"/>
    </row>
    <row r="4" spans="1:13" ht="15" x14ac:dyDescent="0.4">
      <c r="C4" s="5"/>
      <c r="D4" s="31">
        <v>2020</v>
      </c>
      <c r="E4" s="31">
        <v>2021</v>
      </c>
    </row>
    <row r="5" spans="1:13" x14ac:dyDescent="0.35">
      <c r="C5" s="5" t="s">
        <v>144</v>
      </c>
      <c r="D5" s="221">
        <v>109212373749.49001</v>
      </c>
      <c r="E5" s="221">
        <v>122198434813.48</v>
      </c>
    </row>
    <row r="6" spans="1:13" x14ac:dyDescent="0.35">
      <c r="C6" s="5" t="s">
        <v>145</v>
      </c>
      <c r="D6" s="221">
        <v>56366650203.230003</v>
      </c>
      <c r="E6" s="221">
        <v>67178490221.889999</v>
      </c>
    </row>
    <row r="7" spans="1:13" x14ac:dyDescent="0.35">
      <c r="C7" s="37" t="s">
        <v>146</v>
      </c>
      <c r="D7" s="35">
        <v>52845723546.260002</v>
      </c>
      <c r="E7" s="35">
        <v>55019944591.589996</v>
      </c>
    </row>
    <row r="8" spans="1:13" x14ac:dyDescent="0.35">
      <c r="C8" s="5"/>
      <c r="D8" s="33"/>
      <c r="E8" s="33"/>
    </row>
    <row r="9" spans="1:13" x14ac:dyDescent="0.35">
      <c r="C9" s="5" t="s">
        <v>147</v>
      </c>
      <c r="D9" s="221">
        <v>21352823945.099998</v>
      </c>
      <c r="E9" s="221">
        <v>2617017783105</v>
      </c>
    </row>
    <row r="10" spans="1:13" x14ac:dyDescent="0.35">
      <c r="C10" s="5" t="s">
        <v>148</v>
      </c>
      <c r="D10" s="221">
        <v>7581143739.75</v>
      </c>
      <c r="E10" s="221">
        <v>8812082472.3999996</v>
      </c>
    </row>
    <row r="11" spans="1:13" ht="44.25" customHeight="1" x14ac:dyDescent="0.35">
      <c r="C11" s="34" t="s">
        <v>149</v>
      </c>
      <c r="D11" s="222">
        <v>1353082737.5699999</v>
      </c>
      <c r="E11" s="222">
        <v>3074837457.7600002</v>
      </c>
    </row>
    <row r="12" spans="1:13" x14ac:dyDescent="0.35">
      <c r="C12" s="29" t="s">
        <v>150</v>
      </c>
      <c r="D12" s="223">
        <v>30287050422.419998</v>
      </c>
      <c r="E12" s="223">
        <v>38057097761.209999</v>
      </c>
    </row>
    <row r="13" spans="1:13" ht="7.5" customHeight="1" x14ac:dyDescent="0.35">
      <c r="C13" s="5"/>
      <c r="D13" s="33"/>
      <c r="E13" s="33"/>
    </row>
    <row r="14" spans="1:13" x14ac:dyDescent="0.35">
      <c r="C14" s="37" t="s">
        <v>151</v>
      </c>
      <c r="D14" s="223">
        <v>22558673123.84</v>
      </c>
      <c r="E14" s="223">
        <v>16962846830.379999</v>
      </c>
    </row>
    <row r="15" spans="1:13" x14ac:dyDescent="0.35">
      <c r="C15" s="5"/>
      <c r="D15" s="33"/>
      <c r="E15" s="33"/>
    </row>
    <row r="16" spans="1:13" x14ac:dyDescent="0.35">
      <c r="C16" s="5" t="s">
        <v>152</v>
      </c>
      <c r="D16" s="221">
        <v>10520084920.84</v>
      </c>
      <c r="E16" s="221">
        <v>19410027228.650002</v>
      </c>
    </row>
    <row r="17" spans="3:5" x14ac:dyDescent="0.35">
      <c r="C17" s="5" t="s">
        <v>153</v>
      </c>
      <c r="D17" s="221">
        <v>5210110881.4399996</v>
      </c>
      <c r="E17" s="221">
        <v>13530192091.1</v>
      </c>
    </row>
    <row r="18" spans="3:5" x14ac:dyDescent="0.35">
      <c r="C18" s="5"/>
      <c r="D18" s="33"/>
      <c r="E18" s="33"/>
    </row>
    <row r="19" spans="3:5" x14ac:dyDescent="0.35">
      <c r="C19" s="37" t="s">
        <v>154</v>
      </c>
      <c r="D19" s="223">
        <v>5309974039.3999996</v>
      </c>
      <c r="E19" s="223">
        <v>5879835137.5500002</v>
      </c>
    </row>
    <row r="20" spans="3:5" x14ac:dyDescent="0.35">
      <c r="C20" s="5"/>
      <c r="D20" s="33"/>
      <c r="E20" s="33"/>
    </row>
    <row r="21" spans="3:5" x14ac:dyDescent="0.35">
      <c r="C21" s="36" t="s">
        <v>155</v>
      </c>
      <c r="D21" s="221">
        <v>27868647163.240002</v>
      </c>
      <c r="E21" s="221">
        <v>22842681967.93</v>
      </c>
    </row>
    <row r="22" spans="3:5" x14ac:dyDescent="0.35">
      <c r="C22" s="5"/>
      <c r="D22" s="5"/>
      <c r="E22" s="33"/>
    </row>
    <row r="23" spans="3:5" x14ac:dyDescent="0.35">
      <c r="C23" s="5" t="s">
        <v>156</v>
      </c>
      <c r="D23" s="5"/>
      <c r="E23" s="33"/>
    </row>
    <row r="24" spans="3:5" x14ac:dyDescent="0.35">
      <c r="C24" s="37" t="s">
        <v>157</v>
      </c>
      <c r="D24" s="224">
        <v>27868647163.240002</v>
      </c>
      <c r="E24" s="223">
        <v>22842681967.93</v>
      </c>
    </row>
    <row r="27" spans="3:5" x14ac:dyDescent="0.35">
      <c r="C27" s="252" t="s">
        <v>196</v>
      </c>
    </row>
    <row r="28" spans="3:5" x14ac:dyDescent="0.35">
      <c r="C28" s="252" t="s">
        <v>197</v>
      </c>
    </row>
    <row r="29" spans="3:5" x14ac:dyDescent="0.35">
      <c r="C29" s="252" t="s">
        <v>198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CEFF-C0A8-4A7B-911E-3A6E1ADA6F3C}">
  <sheetPr codeName="Hoja5"/>
  <dimension ref="A1:L25"/>
  <sheetViews>
    <sheetView workbookViewId="0"/>
  </sheetViews>
  <sheetFormatPr defaultColWidth="10.90625" defaultRowHeight="14.5" x14ac:dyDescent="0.35"/>
  <cols>
    <col min="2" max="2" width="16.54296875" customWidth="1"/>
    <col min="3" max="3" width="27.1796875" bestFit="1" customWidth="1"/>
    <col min="4" max="4" width="11.26953125" bestFit="1" customWidth="1"/>
    <col min="5" max="5" width="8.26953125" bestFit="1" customWidth="1"/>
    <col min="6" max="6" width="10.26953125" bestFit="1" customWidth="1"/>
    <col min="7" max="7" width="10" bestFit="1" customWidth="1"/>
    <col min="8" max="8" width="10.26953125" bestFit="1" customWidth="1"/>
    <col min="9" max="9" width="10" bestFit="1" customWidth="1"/>
    <col min="10" max="10" width="11" bestFit="1" customWidth="1"/>
  </cols>
  <sheetData>
    <row r="1" spans="1:12" ht="19.5" customHeight="1" x14ac:dyDescent="0.3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ht="72.75" customHeight="1" x14ac:dyDescent="0.35">
      <c r="A2" s="205"/>
      <c r="B2" s="205"/>
      <c r="C2" s="205" t="s">
        <v>192</v>
      </c>
      <c r="D2" s="205"/>
      <c r="E2" s="205"/>
      <c r="F2" s="205"/>
      <c r="G2" s="205"/>
      <c r="H2" s="205"/>
      <c r="I2" s="205"/>
      <c r="J2" s="205"/>
      <c r="K2" s="205"/>
      <c r="L2" s="205"/>
    </row>
    <row r="5" spans="1:12" x14ac:dyDescent="0.35">
      <c r="C5" s="57" t="s">
        <v>29</v>
      </c>
      <c r="D5" s="58" t="s">
        <v>11</v>
      </c>
      <c r="E5" s="118" t="s">
        <v>33</v>
      </c>
      <c r="F5" s="118" t="s">
        <v>7</v>
      </c>
      <c r="G5" s="118" t="s">
        <v>8</v>
      </c>
      <c r="H5" s="58" t="s">
        <v>9</v>
      </c>
      <c r="I5" s="58" t="s">
        <v>22</v>
      </c>
      <c r="J5" s="59" t="s">
        <v>23</v>
      </c>
    </row>
    <row r="6" spans="1:12" ht="15" customHeight="1" x14ac:dyDescent="0.35">
      <c r="C6" s="43" t="s">
        <v>37</v>
      </c>
      <c r="D6" s="119"/>
      <c r="E6" s="5"/>
      <c r="F6" s="124"/>
      <c r="G6" s="124"/>
      <c r="H6" s="124"/>
      <c r="I6" s="124"/>
      <c r="J6" s="125"/>
    </row>
    <row r="7" spans="1:12" ht="15" customHeight="1" x14ac:dyDescent="0.35">
      <c r="C7" s="120" t="s">
        <v>24</v>
      </c>
      <c r="D7" s="121" t="s">
        <v>30</v>
      </c>
      <c r="E7" s="229">
        <v>0.09</v>
      </c>
      <c r="F7" s="229">
        <v>7.0000000000000007E-2</v>
      </c>
      <c r="G7" s="229">
        <v>7.0000000000000007E-2</v>
      </c>
      <c r="H7" s="229">
        <v>0.05</v>
      </c>
      <c r="I7" s="229">
        <v>0.05</v>
      </c>
      <c r="J7" s="230">
        <v>0.05</v>
      </c>
    </row>
    <row r="8" spans="1:12" ht="15" customHeight="1" x14ac:dyDescent="0.35">
      <c r="C8" s="120" t="s">
        <v>34</v>
      </c>
      <c r="D8" s="121"/>
      <c r="E8" s="126"/>
      <c r="F8" s="126">
        <f>+F7</f>
        <v>7.0000000000000007E-2</v>
      </c>
      <c r="G8" s="126">
        <f>+(F8+1)*(G7+1)-1</f>
        <v>0.14490000000000003</v>
      </c>
      <c r="H8" s="126">
        <f t="shared" ref="H8:J8" si="0">+(G8+1)*(H7+1)-1</f>
        <v>0.20214500000000002</v>
      </c>
      <c r="I8" s="126">
        <f t="shared" si="0"/>
        <v>0.26225224999999996</v>
      </c>
      <c r="J8" s="127">
        <f t="shared" si="0"/>
        <v>0.32536486250000007</v>
      </c>
    </row>
    <row r="9" spans="1:12" ht="15" customHeight="1" x14ac:dyDescent="0.35">
      <c r="C9" s="120" t="s">
        <v>38</v>
      </c>
      <c r="D9" s="121" t="s">
        <v>30</v>
      </c>
      <c r="E9" s="126">
        <f>+E7+2%</f>
        <v>0.11</v>
      </c>
      <c r="F9" s="126">
        <f t="shared" ref="F9:J9" si="1">+F7+2%</f>
        <v>9.0000000000000011E-2</v>
      </c>
      <c r="G9" s="126">
        <f t="shared" si="1"/>
        <v>9.0000000000000011E-2</v>
      </c>
      <c r="H9" s="126">
        <f t="shared" si="1"/>
        <v>7.0000000000000007E-2</v>
      </c>
      <c r="I9" s="126">
        <f t="shared" si="1"/>
        <v>7.0000000000000007E-2</v>
      </c>
      <c r="J9" s="127">
        <f t="shared" si="1"/>
        <v>7.0000000000000007E-2</v>
      </c>
    </row>
    <row r="10" spans="1:12" x14ac:dyDescent="0.35">
      <c r="C10" s="120"/>
      <c r="D10" s="121"/>
      <c r="E10" s="128"/>
      <c r="F10" s="128"/>
      <c r="G10" s="128"/>
      <c r="H10" s="128"/>
      <c r="I10" s="128"/>
      <c r="J10" s="129"/>
    </row>
    <row r="11" spans="1:12" ht="15" customHeight="1" x14ac:dyDescent="0.35">
      <c r="C11" s="49" t="s">
        <v>25</v>
      </c>
      <c r="D11" s="119"/>
      <c r="E11" s="128"/>
      <c r="F11" s="128"/>
      <c r="G11" s="128"/>
      <c r="H11" s="128"/>
      <c r="I11" s="128"/>
      <c r="J11" s="129"/>
    </row>
    <row r="12" spans="1:12" ht="15" customHeight="1" x14ac:dyDescent="0.35">
      <c r="C12" s="120" t="s">
        <v>26</v>
      </c>
      <c r="D12" s="121" t="s">
        <v>31</v>
      </c>
      <c r="E12" s="128"/>
      <c r="F12" s="231">
        <v>20000</v>
      </c>
      <c r="G12" s="130"/>
      <c r="H12" s="231">
        <v>20000</v>
      </c>
      <c r="I12" s="130"/>
      <c r="J12" s="232">
        <v>20000</v>
      </c>
    </row>
    <row r="13" spans="1:12" ht="15" customHeight="1" x14ac:dyDescent="0.35">
      <c r="C13" s="120" t="s">
        <v>39</v>
      </c>
      <c r="D13" s="121" t="s">
        <v>32</v>
      </c>
      <c r="E13" s="128"/>
      <c r="F13" s="130">
        <f>+F12*14*12</f>
        <v>3360000</v>
      </c>
      <c r="G13" s="130">
        <f>+F13</f>
        <v>3360000</v>
      </c>
      <c r="H13" s="130">
        <f>G13+H12*14*12</f>
        <v>6720000</v>
      </c>
      <c r="I13" s="130">
        <f>H13+I12*14*12</f>
        <v>6720000</v>
      </c>
      <c r="J13" s="131">
        <f t="shared" ref="J13" si="2">I13+J12*14*12</f>
        <v>10080000</v>
      </c>
      <c r="K13" s="3">
        <f t="shared" ref="K13" si="3">+K12*14*12</f>
        <v>0</v>
      </c>
    </row>
    <row r="14" spans="1:12" x14ac:dyDescent="0.35">
      <c r="C14" s="120"/>
      <c r="D14" s="121"/>
      <c r="E14" s="128"/>
      <c r="F14" s="128"/>
      <c r="G14" s="128"/>
      <c r="H14" s="128"/>
      <c r="I14" s="128"/>
      <c r="J14" s="129"/>
    </row>
    <row r="15" spans="1:12" ht="15" customHeight="1" x14ac:dyDescent="0.35">
      <c r="C15" s="43" t="s">
        <v>40</v>
      </c>
      <c r="D15" s="119"/>
      <c r="E15" s="128"/>
      <c r="F15" s="128"/>
      <c r="G15" s="128"/>
      <c r="H15" s="128"/>
      <c r="I15" s="128"/>
      <c r="J15" s="129"/>
    </row>
    <row r="16" spans="1:12" ht="15" customHeight="1" x14ac:dyDescent="0.35">
      <c r="C16" s="120" t="s">
        <v>27</v>
      </c>
      <c r="D16" s="121" t="s">
        <v>35</v>
      </c>
      <c r="E16" s="231">
        <v>1200</v>
      </c>
      <c r="F16" s="130">
        <f>+$E$16*(1+F8)</f>
        <v>1284</v>
      </c>
      <c r="G16" s="130">
        <f>+$E$16*(1+G8)</f>
        <v>1373.88</v>
      </c>
      <c r="H16" s="130">
        <f>+$E$16*(1+H8)</f>
        <v>1442.5740000000001</v>
      </c>
      <c r="I16" s="130">
        <f>+$E$16*(1+I8)</f>
        <v>1514.7027</v>
      </c>
      <c r="J16" s="131">
        <f>+$E$16*(1+J8)</f>
        <v>1590.4378350000002</v>
      </c>
    </row>
    <row r="17" spans="3:10" ht="15" customHeight="1" x14ac:dyDescent="0.35">
      <c r="C17" s="120" t="s">
        <v>28</v>
      </c>
      <c r="D17" s="121" t="s">
        <v>35</v>
      </c>
      <c r="E17" s="231">
        <v>1100</v>
      </c>
      <c r="F17" s="130">
        <f>+$E$17*(1+F8)</f>
        <v>1177</v>
      </c>
      <c r="G17" s="130">
        <f>+$E$17*(1+G8)</f>
        <v>1259.3900000000001</v>
      </c>
      <c r="H17" s="130">
        <f>+$E$17*(1+H8)</f>
        <v>1322.3595</v>
      </c>
      <c r="I17" s="130">
        <f>+$E$17*(1+I8)</f>
        <v>1388.4774749999999</v>
      </c>
      <c r="J17" s="131">
        <f>+$E$17*(1+J8)</f>
        <v>1457.9013487500001</v>
      </c>
    </row>
    <row r="18" spans="3:10" x14ac:dyDescent="0.35">
      <c r="C18" s="120"/>
      <c r="D18" s="121"/>
      <c r="E18" s="128"/>
      <c r="F18" s="128"/>
      <c r="G18" s="128"/>
      <c r="H18" s="128"/>
      <c r="I18" s="128"/>
      <c r="J18" s="129"/>
    </row>
    <row r="19" spans="3:10" ht="15" customHeight="1" x14ac:dyDescent="0.35">
      <c r="C19" s="43" t="s">
        <v>41</v>
      </c>
      <c r="D19" s="119"/>
      <c r="E19" s="128"/>
      <c r="F19" s="128"/>
      <c r="G19" s="128"/>
      <c r="H19" s="128"/>
      <c r="I19" s="128"/>
      <c r="J19" s="129"/>
    </row>
    <row r="20" spans="3:10" ht="15" customHeight="1" x14ac:dyDescent="0.35">
      <c r="C20" s="120" t="s">
        <v>27</v>
      </c>
      <c r="D20" s="121" t="s">
        <v>36</v>
      </c>
      <c r="E20" s="233">
        <v>1</v>
      </c>
      <c r="F20" s="132">
        <f>+$E$20*(1+F8)</f>
        <v>1.07</v>
      </c>
      <c r="G20" s="132">
        <f>+$E$20*(1+G8)</f>
        <v>1.1449</v>
      </c>
      <c r="H20" s="132">
        <f>+$E$20*(1+H8)</f>
        <v>1.202145</v>
      </c>
      <c r="I20" s="132">
        <f>+$E$20*(1+I8)</f>
        <v>1.26225225</v>
      </c>
      <c r="J20" s="133">
        <f>+$E$20*(1+J8)</f>
        <v>1.3253648625000001</v>
      </c>
    </row>
    <row r="21" spans="3:10" x14ac:dyDescent="0.35">
      <c r="C21" s="122" t="s">
        <v>28</v>
      </c>
      <c r="D21" s="123" t="s">
        <v>36</v>
      </c>
      <c r="E21" s="234">
        <v>1.1000000000000001</v>
      </c>
      <c r="F21" s="134">
        <f>+$E$21*(1+F8)</f>
        <v>1.1770000000000003</v>
      </c>
      <c r="G21" s="134">
        <f>+$E$21*(1+G8)</f>
        <v>1.2593900000000002</v>
      </c>
      <c r="H21" s="134">
        <f>+$E$21*(1+H8)</f>
        <v>1.3223595000000001</v>
      </c>
      <c r="I21" s="134">
        <f>+$E$21*(1+I8)</f>
        <v>1.3884774750000002</v>
      </c>
      <c r="J21" s="135">
        <f>+$E$21*(1+J8)</f>
        <v>1.4579013487500001</v>
      </c>
    </row>
    <row r="23" spans="3:10" x14ac:dyDescent="0.35">
      <c r="C23" s="252" t="s">
        <v>196</v>
      </c>
    </row>
    <row r="24" spans="3:10" x14ac:dyDescent="0.35">
      <c r="C24" s="252" t="s">
        <v>197</v>
      </c>
    </row>
    <row r="25" spans="3:10" x14ac:dyDescent="0.35">
      <c r="C25" s="252" t="s">
        <v>198</v>
      </c>
    </row>
  </sheetData>
  <phoneticPr fontId="8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61FF-0098-4D50-9ACB-F9D47D5A0FD7}">
  <sheetPr codeName="Hoja4"/>
  <dimension ref="A1:J25"/>
  <sheetViews>
    <sheetView topLeftCell="A2" workbookViewId="0">
      <selection activeCell="C29" sqref="C29"/>
    </sheetView>
  </sheetViews>
  <sheetFormatPr defaultColWidth="10.90625" defaultRowHeight="14.5" x14ac:dyDescent="0.35"/>
  <cols>
    <col min="2" max="2" width="16.7265625" customWidth="1"/>
    <col min="3" max="3" width="40.1796875" bestFit="1" customWidth="1"/>
    <col min="4" max="4" width="22.81640625" customWidth="1"/>
    <col min="5" max="5" width="10" bestFit="1" customWidth="1"/>
    <col min="6" max="6" width="8.26953125" customWidth="1"/>
    <col min="7" max="9" width="13.1796875" bestFit="1" customWidth="1"/>
  </cols>
  <sheetData>
    <row r="1" spans="1:10" ht="19.5" customHeight="1" x14ac:dyDescent="0.35">
      <c r="A1" s="6"/>
      <c r="B1" s="6"/>
      <c r="C1" s="6"/>
      <c r="D1" s="6"/>
      <c r="E1" s="6"/>
      <c r="F1" s="6"/>
      <c r="G1" s="6"/>
      <c r="H1" s="6"/>
      <c r="I1" s="6"/>
      <c r="J1" s="6"/>
    </row>
    <row r="2" spans="1:10" ht="72.75" customHeight="1" x14ac:dyDescent="0.35">
      <c r="A2" s="205"/>
      <c r="B2" s="205"/>
      <c r="C2" s="205" t="s">
        <v>189</v>
      </c>
      <c r="D2" s="205"/>
      <c r="E2" s="205"/>
      <c r="F2" s="205"/>
      <c r="G2" s="205"/>
      <c r="H2" s="205"/>
      <c r="I2" s="205"/>
      <c r="J2" s="205"/>
    </row>
    <row r="5" spans="1:10" ht="32" x14ac:dyDescent="0.35">
      <c r="C5" s="96" t="s">
        <v>0</v>
      </c>
      <c r="D5" s="137" t="s">
        <v>11</v>
      </c>
      <c r="E5" s="137" t="s">
        <v>18</v>
      </c>
      <c r="F5" s="137"/>
      <c r="G5" s="136" t="s">
        <v>7</v>
      </c>
      <c r="H5" s="136" t="s">
        <v>8</v>
      </c>
      <c r="I5" s="138" t="s">
        <v>9</v>
      </c>
    </row>
    <row r="6" spans="1:10" ht="16.5" x14ac:dyDescent="0.45">
      <c r="C6" s="87"/>
      <c r="D6" s="88"/>
      <c r="E6" s="88"/>
      <c r="F6" s="89"/>
      <c r="G6" s="6"/>
      <c r="H6" s="6"/>
      <c r="I6" s="90"/>
    </row>
    <row r="7" spans="1:10" x14ac:dyDescent="0.35">
      <c r="C7" s="140" t="s">
        <v>12</v>
      </c>
      <c r="D7" s="139" t="s">
        <v>13</v>
      </c>
      <c r="E7" s="98"/>
      <c r="F7" s="99"/>
      <c r="G7" s="235">
        <v>550</v>
      </c>
      <c r="H7" s="235">
        <v>550</v>
      </c>
      <c r="I7" s="236">
        <v>550</v>
      </c>
    </row>
    <row r="8" spans="1:10" x14ac:dyDescent="0.35">
      <c r="C8" s="142"/>
      <c r="D8" s="139" t="s">
        <v>14</v>
      </c>
      <c r="E8" s="102"/>
      <c r="F8" s="103"/>
      <c r="G8" s="235">
        <v>0.5</v>
      </c>
      <c r="H8" s="235">
        <v>0.6</v>
      </c>
      <c r="I8" s="236">
        <v>0.7</v>
      </c>
    </row>
    <row r="9" spans="1:10" x14ac:dyDescent="0.35">
      <c r="C9" s="140" t="s">
        <v>10</v>
      </c>
      <c r="D9" s="139" t="s">
        <v>13</v>
      </c>
      <c r="E9" s="98"/>
      <c r="F9" s="99"/>
      <c r="G9" s="100">
        <f>+G8*G7</f>
        <v>275</v>
      </c>
      <c r="H9" s="100">
        <f t="shared" ref="H9:I9" si="0">+H8*H7</f>
        <v>330</v>
      </c>
      <c r="I9" s="101">
        <f t="shared" si="0"/>
        <v>385</v>
      </c>
    </row>
    <row r="10" spans="1:10" ht="18.75" customHeight="1" x14ac:dyDescent="0.35">
      <c r="C10" s="142"/>
      <c r="D10" s="139" t="s">
        <v>17</v>
      </c>
      <c r="E10" s="91"/>
      <c r="F10" s="92"/>
      <c r="G10" s="104">
        <f>+G9*31536</f>
        <v>8672400</v>
      </c>
      <c r="H10" s="104">
        <f t="shared" ref="H10:I10" si="1">+H9*31536</f>
        <v>10406880</v>
      </c>
      <c r="I10" s="105">
        <f t="shared" si="1"/>
        <v>12141360</v>
      </c>
    </row>
    <row r="11" spans="1:10" x14ac:dyDescent="0.35">
      <c r="C11" s="93" t="s">
        <v>19</v>
      </c>
      <c r="D11" s="139" t="s">
        <v>21</v>
      </c>
      <c r="E11" s="238">
        <v>0.4</v>
      </c>
      <c r="F11" s="92"/>
      <c r="G11" s="104">
        <f>+$E$11*G10</f>
        <v>3468960</v>
      </c>
      <c r="H11" s="104">
        <f t="shared" ref="H11:I11" si="2">+$E$11*H10</f>
        <v>4162752</v>
      </c>
      <c r="I11" s="105">
        <f t="shared" si="2"/>
        <v>4856544</v>
      </c>
    </row>
    <row r="12" spans="1:10" x14ac:dyDescent="0.35">
      <c r="C12" s="93"/>
      <c r="D12" s="91"/>
      <c r="E12" s="91"/>
      <c r="F12" s="92"/>
      <c r="G12" s="92"/>
      <c r="H12" s="92"/>
      <c r="I12" s="106"/>
    </row>
    <row r="13" spans="1:10" x14ac:dyDescent="0.35">
      <c r="C13" s="141" t="s">
        <v>5</v>
      </c>
      <c r="D13" s="107"/>
      <c r="E13" s="107"/>
      <c r="F13" s="108"/>
      <c r="G13" s="109">
        <f>+G14</f>
        <v>350000</v>
      </c>
      <c r="H13" s="109">
        <f t="shared" ref="H13:I13" si="3">+H14</f>
        <v>350000</v>
      </c>
      <c r="I13" s="110">
        <f t="shared" si="3"/>
        <v>350000</v>
      </c>
      <c r="J13" s="2"/>
    </row>
    <row r="14" spans="1:10" x14ac:dyDescent="0.35">
      <c r="C14" s="111" t="s">
        <v>6</v>
      </c>
      <c r="D14" s="139" t="s">
        <v>15</v>
      </c>
      <c r="E14" s="237">
        <v>350000</v>
      </c>
      <c r="F14" s="112"/>
      <c r="G14" s="104">
        <f>+E14</f>
        <v>350000</v>
      </c>
      <c r="H14" s="104">
        <f t="shared" ref="H14:I14" si="4">+G14</f>
        <v>350000</v>
      </c>
      <c r="I14" s="105">
        <f t="shared" si="4"/>
        <v>350000</v>
      </c>
    </row>
    <row r="15" spans="1:10" x14ac:dyDescent="0.35">
      <c r="C15" s="113"/>
      <c r="D15" s="139"/>
      <c r="E15" s="91"/>
      <c r="F15" s="114"/>
      <c r="G15" s="92"/>
      <c r="H15" s="92"/>
      <c r="I15" s="106"/>
    </row>
    <row r="16" spans="1:10" x14ac:dyDescent="0.35">
      <c r="C16" s="141" t="s">
        <v>4</v>
      </c>
      <c r="D16" s="139"/>
      <c r="E16" s="107"/>
      <c r="F16" s="108"/>
      <c r="G16" s="109">
        <f>+SUM(G17:G19)</f>
        <v>1040688</v>
      </c>
      <c r="H16" s="109">
        <f t="shared" ref="H16:I16" si="5">+SUM(H17:H19)</f>
        <v>1248825.6000000001</v>
      </c>
      <c r="I16" s="110">
        <f t="shared" si="5"/>
        <v>1456963.2000000002</v>
      </c>
    </row>
    <row r="17" spans="3:10" x14ac:dyDescent="0.35">
      <c r="C17" s="111" t="s">
        <v>3</v>
      </c>
      <c r="D17" s="139" t="s">
        <v>20</v>
      </c>
      <c r="E17" s="239">
        <v>0.04</v>
      </c>
      <c r="F17" s="115"/>
      <c r="G17" s="104">
        <f>+$E$17*G10</f>
        <v>346896</v>
      </c>
      <c r="H17" s="104">
        <f>+$E$17*H10</f>
        <v>416275.20000000001</v>
      </c>
      <c r="I17" s="105">
        <f>+$E$17*I10</f>
        <v>485654.4</v>
      </c>
    </row>
    <row r="18" spans="3:10" x14ac:dyDescent="0.35">
      <c r="C18" s="111" t="s">
        <v>1</v>
      </c>
      <c r="D18" s="139" t="s">
        <v>20</v>
      </c>
      <c r="E18" s="239">
        <v>0.02</v>
      </c>
      <c r="F18" s="115"/>
      <c r="G18" s="104">
        <f>+$E$18*G10</f>
        <v>173448</v>
      </c>
      <c r="H18" s="104">
        <f>+$E$18*H10</f>
        <v>208137.60000000001</v>
      </c>
      <c r="I18" s="105">
        <f>+$E$18*I10</f>
        <v>242827.2</v>
      </c>
    </row>
    <row r="19" spans="3:10" x14ac:dyDescent="0.35">
      <c r="C19" s="111" t="s">
        <v>2</v>
      </c>
      <c r="D19" s="139" t="s">
        <v>20</v>
      </c>
      <c r="E19" s="239">
        <v>0.15</v>
      </c>
      <c r="F19" s="115"/>
      <c r="G19" s="104">
        <f>+$E$19*G11</f>
        <v>520344</v>
      </c>
      <c r="H19" s="104">
        <f>+$E$19*H11</f>
        <v>624412.79999999993</v>
      </c>
      <c r="I19" s="105">
        <f>+$E$19*I11</f>
        <v>728481.6</v>
      </c>
    </row>
    <row r="20" spans="3:10" ht="16.5" x14ac:dyDescent="0.35">
      <c r="C20" s="143" t="s">
        <v>16</v>
      </c>
      <c r="D20" s="94"/>
      <c r="E20" s="95"/>
      <c r="F20" s="95"/>
      <c r="G20" s="116">
        <f>+G16+G13</f>
        <v>1390688</v>
      </c>
      <c r="H20" s="116">
        <f t="shared" ref="H20:I20" si="6">+H16+H13</f>
        <v>1598825.6</v>
      </c>
      <c r="I20" s="117">
        <f t="shared" si="6"/>
        <v>1806963.2000000002</v>
      </c>
      <c r="J20" s="1"/>
    </row>
    <row r="23" spans="3:10" x14ac:dyDescent="0.35">
      <c r="C23" s="252" t="s">
        <v>196</v>
      </c>
    </row>
    <row r="24" spans="3:10" x14ac:dyDescent="0.35">
      <c r="C24" s="252" t="s">
        <v>197</v>
      </c>
    </row>
    <row r="25" spans="3:10" x14ac:dyDescent="0.35">
      <c r="C25" s="252" t="s">
        <v>198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E3709-95C2-4FD5-B8CF-BD86AB163048}">
  <sheetPr codeName="Hoja7"/>
  <dimension ref="A1:L13"/>
  <sheetViews>
    <sheetView topLeftCell="B2" workbookViewId="0">
      <selection activeCell="H8" sqref="C5:H8"/>
    </sheetView>
  </sheetViews>
  <sheetFormatPr defaultColWidth="10.90625" defaultRowHeight="14.5" x14ac:dyDescent="0.35"/>
  <cols>
    <col min="2" max="2" width="16.7265625" customWidth="1"/>
    <col min="3" max="3" width="40.1796875" bestFit="1" customWidth="1"/>
    <col min="4" max="4" width="12.81640625" customWidth="1"/>
    <col min="5" max="5" width="8.81640625" customWidth="1"/>
    <col min="6" max="6" width="13.26953125" customWidth="1"/>
    <col min="7" max="7" width="13.1796875" customWidth="1"/>
    <col min="8" max="8" width="12.7265625" bestFit="1" customWidth="1"/>
  </cols>
  <sheetData>
    <row r="1" spans="1:12" ht="19.5" customHeight="1" x14ac:dyDescent="0.35">
      <c r="A1" s="198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6"/>
    </row>
    <row r="2" spans="1:12" ht="72.75" customHeight="1" x14ac:dyDescent="0.35">
      <c r="A2" s="205"/>
      <c r="B2" s="205"/>
      <c r="C2" s="205" t="s">
        <v>193</v>
      </c>
      <c r="D2" s="205"/>
      <c r="E2" s="205"/>
      <c r="F2" s="205"/>
      <c r="G2" s="205"/>
      <c r="H2" s="205"/>
      <c r="I2" s="205"/>
      <c r="J2" s="205"/>
      <c r="K2" s="205"/>
      <c r="L2" s="201"/>
    </row>
    <row r="5" spans="1:12" ht="33" x14ac:dyDescent="0.35">
      <c r="C5" s="97" t="s">
        <v>42</v>
      </c>
      <c r="D5" s="85" t="s">
        <v>11</v>
      </c>
      <c r="E5" s="84" t="s">
        <v>18</v>
      </c>
      <c r="F5" s="85" t="s">
        <v>7</v>
      </c>
      <c r="G5" s="85" t="s">
        <v>8</v>
      </c>
      <c r="H5" s="86" t="s">
        <v>9</v>
      </c>
    </row>
    <row r="6" spans="1:12" ht="16.5" x14ac:dyDescent="0.35">
      <c r="C6" s="144" t="s">
        <v>12</v>
      </c>
      <c r="D6" s="32" t="s">
        <v>13</v>
      </c>
      <c r="E6" s="148"/>
      <c r="F6" s="240">
        <v>550</v>
      </c>
      <c r="G6" s="240">
        <v>550</v>
      </c>
      <c r="H6" s="241">
        <v>550</v>
      </c>
    </row>
    <row r="7" spans="1:12" ht="16.5" x14ac:dyDescent="0.35">
      <c r="C7" s="144" t="s">
        <v>10</v>
      </c>
      <c r="D7" s="32" t="s">
        <v>17</v>
      </c>
      <c r="E7" s="146"/>
      <c r="F7" s="242">
        <v>8672400</v>
      </c>
      <c r="G7" s="242">
        <v>10406880</v>
      </c>
      <c r="H7" s="243">
        <v>12141360</v>
      </c>
    </row>
    <row r="8" spans="1:12" ht="16.5" x14ac:dyDescent="0.35">
      <c r="C8" s="145" t="s">
        <v>43</v>
      </c>
      <c r="D8" s="54" t="s">
        <v>36</v>
      </c>
      <c r="E8" s="244">
        <v>0.9</v>
      </c>
      <c r="F8" s="149">
        <f>+F7*$E$8</f>
        <v>7805160</v>
      </c>
      <c r="G8" s="149">
        <f t="shared" ref="G8:H8" si="0">+G7*$E$8</f>
        <v>9366192</v>
      </c>
      <c r="H8" s="147">
        <f t="shared" si="0"/>
        <v>10927224</v>
      </c>
    </row>
    <row r="9" spans="1:12" ht="15" customHeight="1" x14ac:dyDescent="0.35">
      <c r="C9" s="7"/>
    </row>
    <row r="11" spans="1:12" x14ac:dyDescent="0.35">
      <c r="C11" s="252" t="s">
        <v>196</v>
      </c>
    </row>
    <row r="12" spans="1:12" x14ac:dyDescent="0.35">
      <c r="C12" s="252" t="s">
        <v>197</v>
      </c>
    </row>
    <row r="13" spans="1:12" x14ac:dyDescent="0.35">
      <c r="C13" s="252" t="s">
        <v>198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97D5-0A00-41D7-8715-187363C96E9C}">
  <sheetPr codeName="Hoja8"/>
  <dimension ref="A1:T154"/>
  <sheetViews>
    <sheetView topLeftCell="A5" workbookViewId="0"/>
  </sheetViews>
  <sheetFormatPr defaultColWidth="10.90625" defaultRowHeight="14.5" x14ac:dyDescent="0.35"/>
  <cols>
    <col min="2" max="2" width="16.7265625" customWidth="1"/>
    <col min="4" max="4" width="38.81640625" customWidth="1"/>
    <col min="5" max="5" width="8.453125" bestFit="1" customWidth="1"/>
    <col min="6" max="6" width="19.54296875" bestFit="1" customWidth="1"/>
    <col min="7" max="7" width="19.26953125" bestFit="1" customWidth="1"/>
    <col min="11" max="11" width="19.1796875" customWidth="1"/>
    <col min="12" max="14" width="26.54296875" customWidth="1"/>
    <col min="17" max="17" width="16.81640625" bestFit="1" customWidth="1"/>
    <col min="18" max="18" width="17.26953125" customWidth="1"/>
    <col min="19" max="19" width="15.1796875" bestFit="1" customWidth="1"/>
    <col min="20" max="20" width="18.54296875" customWidth="1"/>
  </cols>
  <sheetData>
    <row r="1" spans="1:20" ht="19.5" customHeight="1" x14ac:dyDescent="0.35">
      <c r="A1" s="198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206"/>
      <c r="M1" s="6"/>
      <c r="N1" s="6"/>
      <c r="O1" s="6"/>
      <c r="P1" s="6"/>
      <c r="Q1" s="6"/>
      <c r="R1" s="6"/>
      <c r="S1" s="6"/>
      <c r="T1" s="6"/>
    </row>
    <row r="2" spans="1:20" ht="72.75" customHeight="1" x14ac:dyDescent="0.35">
      <c r="A2" s="205"/>
      <c r="B2" s="205"/>
      <c r="C2" s="205"/>
      <c r="D2" s="205" t="s">
        <v>194</v>
      </c>
      <c r="E2" s="205"/>
      <c r="F2" s="205"/>
      <c r="G2" s="205"/>
      <c r="H2" s="205"/>
      <c r="I2" s="205"/>
      <c r="J2" s="205"/>
      <c r="K2" s="205"/>
      <c r="L2" s="207"/>
      <c r="M2" s="208"/>
      <c r="N2" s="208"/>
      <c r="O2" s="208"/>
      <c r="P2" s="208"/>
      <c r="Q2" s="208"/>
      <c r="R2" s="208"/>
      <c r="S2" s="208"/>
      <c r="T2" s="208"/>
    </row>
    <row r="4" spans="1:20" ht="16.5" x14ac:dyDescent="0.35">
      <c r="D4" s="151" t="s">
        <v>45</v>
      </c>
      <c r="E4" s="8"/>
      <c r="F4" s="150">
        <v>20000000</v>
      </c>
    </row>
    <row r="5" spans="1:20" ht="16.5" x14ac:dyDescent="0.35">
      <c r="F5" s="2"/>
      <c r="J5" s="197" t="s">
        <v>68</v>
      </c>
      <c r="N5">
        <f>12*12</f>
        <v>144</v>
      </c>
      <c r="P5" s="197" t="s">
        <v>69</v>
      </c>
    </row>
    <row r="6" spans="1:20" ht="16.5" x14ac:dyDescent="0.35">
      <c r="D6" s="97" t="s">
        <v>46</v>
      </c>
      <c r="E6" s="85" t="s">
        <v>11</v>
      </c>
      <c r="F6" s="85" t="s">
        <v>47</v>
      </c>
      <c r="G6" s="86" t="s">
        <v>48</v>
      </c>
      <c r="J6" s="11" t="s">
        <v>70</v>
      </c>
      <c r="K6" s="12">
        <f>((1+F7)^(1/12))-1</f>
        <v>6.4340301100034303E-3</v>
      </c>
      <c r="P6" s="11" t="s">
        <v>70</v>
      </c>
      <c r="Q6" s="12">
        <f>((1+G7)^(1/12))-1</f>
        <v>5.9668977756095476E-3</v>
      </c>
    </row>
    <row r="7" spans="1:20" x14ac:dyDescent="0.35">
      <c r="D7" s="113" t="s">
        <v>44</v>
      </c>
      <c r="E7" s="114" t="s">
        <v>30</v>
      </c>
      <c r="F7" s="245">
        <v>0.08</v>
      </c>
      <c r="G7" s="246">
        <v>7.3999999999999996E-2</v>
      </c>
      <c r="J7" s="11" t="s">
        <v>71</v>
      </c>
      <c r="K7" s="13">
        <f>PMT(K6,(F9*12)-(F8*12),-F4)</f>
        <v>279904.05230820633</v>
      </c>
      <c r="P7" s="11" t="s">
        <v>71</v>
      </c>
      <c r="Q7" s="13">
        <f>PMT(Q6,(G9*12),-F4)</f>
        <v>207388.93977668087</v>
      </c>
    </row>
    <row r="8" spans="1:20" ht="16.5" x14ac:dyDescent="0.35">
      <c r="D8" s="113" t="s">
        <v>80</v>
      </c>
      <c r="E8" s="114" t="s">
        <v>53</v>
      </c>
      <c r="F8" s="247">
        <v>2</v>
      </c>
      <c r="G8" s="248">
        <v>0</v>
      </c>
      <c r="J8" s="152" t="s">
        <v>72</v>
      </c>
      <c r="K8" s="152" t="s">
        <v>73</v>
      </c>
      <c r="L8" s="86" t="s">
        <v>74</v>
      </c>
      <c r="M8" s="86" t="s">
        <v>75</v>
      </c>
      <c r="N8" s="86" t="s">
        <v>76</v>
      </c>
      <c r="O8" s="153"/>
      <c r="P8" s="152" t="s">
        <v>72</v>
      </c>
      <c r="Q8" s="152" t="s">
        <v>73</v>
      </c>
      <c r="R8" s="86" t="s">
        <v>74</v>
      </c>
      <c r="S8" s="86" t="s">
        <v>75</v>
      </c>
      <c r="T8" s="86" t="s">
        <v>76</v>
      </c>
    </row>
    <row r="9" spans="1:20" x14ac:dyDescent="0.35">
      <c r="D9" s="113" t="s">
        <v>55</v>
      </c>
      <c r="E9" s="114" t="s">
        <v>53</v>
      </c>
      <c r="F9" s="247">
        <v>10</v>
      </c>
      <c r="G9" s="248">
        <v>12</v>
      </c>
      <c r="J9" s="191">
        <v>0</v>
      </c>
      <c r="K9" s="192">
        <f>IF(J9&gt;2,L9+M9,L9)</f>
        <v>0</v>
      </c>
      <c r="L9" s="192">
        <v>0</v>
      </c>
      <c r="M9" s="192"/>
      <c r="N9" s="192">
        <f>F4</f>
        <v>20000000</v>
      </c>
      <c r="P9" s="16">
        <v>0</v>
      </c>
      <c r="Q9" s="17">
        <v>0</v>
      </c>
      <c r="R9" s="17">
        <v>0</v>
      </c>
      <c r="S9" s="17">
        <v>0</v>
      </c>
      <c r="T9" s="17">
        <f>$F$4</f>
        <v>20000000</v>
      </c>
    </row>
    <row r="10" spans="1:20" x14ac:dyDescent="0.35">
      <c r="D10" s="113" t="s">
        <v>77</v>
      </c>
      <c r="E10" s="114" t="s">
        <v>54</v>
      </c>
      <c r="F10" s="146"/>
      <c r="G10" s="183">
        <v>300000</v>
      </c>
      <c r="J10" s="191">
        <v>1</v>
      </c>
      <c r="K10" s="192">
        <f>IF(J10&gt;24,$K$7,L10)</f>
        <v>128680.60220006861</v>
      </c>
      <c r="L10" s="192">
        <f>N9*$K$6</f>
        <v>128680.60220006861</v>
      </c>
      <c r="M10" s="192">
        <f>K10-L10</f>
        <v>0</v>
      </c>
      <c r="N10" s="192">
        <f>N9-M10</f>
        <v>20000000</v>
      </c>
      <c r="P10" s="14">
        <v>1</v>
      </c>
      <c r="Q10" s="15">
        <f>$Q$7</f>
        <v>207388.93977668087</v>
      </c>
      <c r="R10" s="15">
        <f>T9*$Q$6</f>
        <v>119337.95551219095</v>
      </c>
      <c r="S10" s="15">
        <f>Q10-R10</f>
        <v>88050.984264489918</v>
      </c>
      <c r="T10" s="15">
        <f>T9-S10</f>
        <v>19911949.015735511</v>
      </c>
    </row>
    <row r="11" spans="1:20" ht="27" x14ac:dyDescent="0.35">
      <c r="D11" s="113" t="s">
        <v>49</v>
      </c>
      <c r="E11" s="114"/>
      <c r="F11" s="114" t="s">
        <v>50</v>
      </c>
      <c r="G11" s="184" t="s">
        <v>50</v>
      </c>
      <c r="J11" s="191">
        <v>2</v>
      </c>
      <c r="K11" s="192">
        <f t="shared" ref="K11:K74" si="0">IF(J11&gt;24,$K$7,L11)</f>
        <v>128680.60220006861</v>
      </c>
      <c r="L11" s="192">
        <f t="shared" ref="L11:L74" si="1">N10*$K$6</f>
        <v>128680.60220006861</v>
      </c>
      <c r="M11" s="192">
        <f t="shared" ref="M11:M74" si="2">K11-L11</f>
        <v>0</v>
      </c>
      <c r="N11" s="192">
        <f t="shared" ref="N11:N74" si="3">N10-M11</f>
        <v>20000000</v>
      </c>
      <c r="P11" s="14">
        <v>2</v>
      </c>
      <c r="Q11" s="15">
        <f t="shared" ref="Q11:Q74" si="4">$Q$7</f>
        <v>207388.93977668087</v>
      </c>
      <c r="R11" s="15">
        <f t="shared" ref="R11:R74" si="5">T10*$Q$6</f>
        <v>118812.56429004294</v>
      </c>
      <c r="S11" s="15">
        <f t="shared" ref="S11:S74" si="6">Q11-R11</f>
        <v>88576.375486637931</v>
      </c>
      <c r="T11" s="15">
        <f t="shared" ref="T11:T33" si="7">T10-S11</f>
        <v>19823372.640248872</v>
      </c>
    </row>
    <row r="12" spans="1:20" x14ac:dyDescent="0.35">
      <c r="D12" s="140" t="s">
        <v>51</v>
      </c>
      <c r="E12" s="114" t="s">
        <v>54</v>
      </c>
      <c r="F12" s="185">
        <f>K130/10</f>
        <v>2995912.3474389394</v>
      </c>
      <c r="G12" s="186">
        <f>Q154/G9</f>
        <v>2488667.277320174</v>
      </c>
      <c r="J12" s="191">
        <v>3</v>
      </c>
      <c r="K12" s="192">
        <f t="shared" si="0"/>
        <v>128680.60220006861</v>
      </c>
      <c r="L12" s="192">
        <f t="shared" si="1"/>
        <v>128680.60220006861</v>
      </c>
      <c r="M12" s="192">
        <f t="shared" si="2"/>
        <v>0</v>
      </c>
      <c r="N12" s="192">
        <f t="shared" si="3"/>
        <v>20000000</v>
      </c>
      <c r="P12" s="14">
        <v>3</v>
      </c>
      <c r="Q12" s="15">
        <f t="shared" si="4"/>
        <v>207388.93977668087</v>
      </c>
      <c r="R12" s="15">
        <f t="shared" si="5"/>
        <v>118284.03811218016</v>
      </c>
      <c r="S12" s="15">
        <f t="shared" si="6"/>
        <v>89104.901664500707</v>
      </c>
      <c r="T12" s="15">
        <f t="shared" si="7"/>
        <v>19734267.738584373</v>
      </c>
    </row>
    <row r="13" spans="1:20" x14ac:dyDescent="0.35">
      <c r="D13" s="140" t="s">
        <v>52</v>
      </c>
      <c r="E13" s="114" t="s">
        <v>54</v>
      </c>
      <c r="F13" s="185">
        <f>L130</f>
        <v>9959123.4743894506</v>
      </c>
      <c r="G13" s="186">
        <f>R154</f>
        <v>9864007.3278420419</v>
      </c>
      <c r="J13" s="191">
        <v>4</v>
      </c>
      <c r="K13" s="192">
        <f t="shared" si="0"/>
        <v>128680.60220006861</v>
      </c>
      <c r="L13" s="192">
        <f t="shared" si="1"/>
        <v>128680.60220006861</v>
      </c>
      <c r="M13" s="192">
        <f t="shared" si="2"/>
        <v>0</v>
      </c>
      <c r="N13" s="192">
        <f t="shared" si="3"/>
        <v>20000000</v>
      </c>
      <c r="P13" s="14">
        <v>4</v>
      </c>
      <c r="Q13" s="15">
        <f t="shared" si="4"/>
        <v>207388.93977668087</v>
      </c>
      <c r="R13" s="15">
        <f t="shared" si="5"/>
        <v>117752.35827264235</v>
      </c>
      <c r="S13" s="15">
        <f t="shared" si="6"/>
        <v>89636.581504038521</v>
      </c>
      <c r="T13" s="15">
        <f t="shared" si="7"/>
        <v>19644631.157080334</v>
      </c>
    </row>
    <row r="14" spans="1:20" x14ac:dyDescent="0.35">
      <c r="D14" s="190" t="s">
        <v>78</v>
      </c>
      <c r="E14" s="187"/>
      <c r="F14" s="188">
        <f>+F13+F10</f>
        <v>9959123.4743894506</v>
      </c>
      <c r="G14" s="189">
        <f>+G13+G10</f>
        <v>10164007.327842042</v>
      </c>
      <c r="J14" s="191">
        <v>5</v>
      </c>
      <c r="K14" s="192">
        <f t="shared" si="0"/>
        <v>128680.60220006861</v>
      </c>
      <c r="L14" s="192">
        <f t="shared" si="1"/>
        <v>128680.60220006861</v>
      </c>
      <c r="M14" s="192">
        <f t="shared" si="2"/>
        <v>0</v>
      </c>
      <c r="N14" s="192">
        <f t="shared" si="3"/>
        <v>20000000</v>
      </c>
      <c r="P14" s="14">
        <v>5</v>
      </c>
      <c r="Q14" s="15">
        <f t="shared" si="4"/>
        <v>207388.93977668087</v>
      </c>
      <c r="R14" s="15">
        <f t="shared" si="5"/>
        <v>117217.50595385265</v>
      </c>
      <c r="S14" s="15">
        <f t="shared" si="6"/>
        <v>90171.433822828214</v>
      </c>
      <c r="T14" s="15">
        <f t="shared" si="7"/>
        <v>19554459.723257504</v>
      </c>
    </row>
    <row r="15" spans="1:20" x14ac:dyDescent="0.35">
      <c r="J15" s="191">
        <v>6</v>
      </c>
      <c r="K15" s="192">
        <f t="shared" si="0"/>
        <v>128680.60220006861</v>
      </c>
      <c r="L15" s="192">
        <f t="shared" si="1"/>
        <v>128680.60220006861</v>
      </c>
      <c r="M15" s="192">
        <f t="shared" si="2"/>
        <v>0</v>
      </c>
      <c r="N15" s="192">
        <f t="shared" si="3"/>
        <v>20000000</v>
      </c>
      <c r="P15" s="14">
        <v>6</v>
      </c>
      <c r="Q15" s="15">
        <f t="shared" si="4"/>
        <v>207388.93977668087</v>
      </c>
      <c r="R15" s="15">
        <f t="shared" si="5"/>
        <v>116679.46222595169</v>
      </c>
      <c r="S15" s="15">
        <f t="shared" si="6"/>
        <v>90709.477550729178</v>
      </c>
      <c r="T15" s="15">
        <f t="shared" si="7"/>
        <v>19463750.245706774</v>
      </c>
    </row>
    <row r="16" spans="1:20" x14ac:dyDescent="0.35">
      <c r="D16" s="252" t="s">
        <v>196</v>
      </c>
      <c r="F16" s="18"/>
      <c r="J16" s="191">
        <v>7</v>
      </c>
      <c r="K16" s="192">
        <f t="shared" si="0"/>
        <v>128680.60220006861</v>
      </c>
      <c r="L16" s="192">
        <f t="shared" si="1"/>
        <v>128680.60220006861</v>
      </c>
      <c r="M16" s="192">
        <f t="shared" si="2"/>
        <v>0</v>
      </c>
      <c r="N16" s="192">
        <f t="shared" si="3"/>
        <v>20000000</v>
      </c>
      <c r="P16" s="14">
        <v>7</v>
      </c>
      <c r="Q16" s="15">
        <f t="shared" si="4"/>
        <v>207388.93977668087</v>
      </c>
      <c r="R16" s="15">
        <f t="shared" si="5"/>
        <v>116138.20804612753</v>
      </c>
      <c r="S16" s="15">
        <f t="shared" si="6"/>
        <v>91250.731730553336</v>
      </c>
      <c r="T16" s="15">
        <f t="shared" si="7"/>
        <v>19372499.51397622</v>
      </c>
    </row>
    <row r="17" spans="4:20" x14ac:dyDescent="0.35">
      <c r="D17" s="252" t="s">
        <v>197</v>
      </c>
      <c r="J17" s="191">
        <v>8</v>
      </c>
      <c r="K17" s="192">
        <f t="shared" si="0"/>
        <v>128680.60220006861</v>
      </c>
      <c r="L17" s="192">
        <f t="shared" si="1"/>
        <v>128680.60220006861</v>
      </c>
      <c r="M17" s="192">
        <f t="shared" si="2"/>
        <v>0</v>
      </c>
      <c r="N17" s="192">
        <f t="shared" si="3"/>
        <v>20000000</v>
      </c>
      <c r="P17" s="14">
        <v>8</v>
      </c>
      <c r="Q17" s="15">
        <f t="shared" si="4"/>
        <v>207388.93977668087</v>
      </c>
      <c r="R17" s="15">
        <f t="shared" si="5"/>
        <v>115593.72425794175</v>
      </c>
      <c r="S17" s="15">
        <f t="shared" si="6"/>
        <v>91795.215518739118</v>
      </c>
      <c r="T17" s="15">
        <f t="shared" si="7"/>
        <v>19280704.298457481</v>
      </c>
    </row>
    <row r="18" spans="4:20" x14ac:dyDescent="0.35">
      <c r="D18" s="252" t="s">
        <v>198</v>
      </c>
      <c r="J18" s="191">
        <v>9</v>
      </c>
      <c r="K18" s="192">
        <f t="shared" si="0"/>
        <v>128680.60220006861</v>
      </c>
      <c r="L18" s="192">
        <f t="shared" si="1"/>
        <v>128680.60220006861</v>
      </c>
      <c r="M18" s="192">
        <f t="shared" si="2"/>
        <v>0</v>
      </c>
      <c r="N18" s="192">
        <f t="shared" si="3"/>
        <v>20000000</v>
      </c>
      <c r="P18" s="14">
        <v>9</v>
      </c>
      <c r="Q18" s="15">
        <f t="shared" si="4"/>
        <v>207388.93977668087</v>
      </c>
      <c r="R18" s="15">
        <f t="shared" si="5"/>
        <v>115045.99159065139</v>
      </c>
      <c r="S18" s="15">
        <f t="shared" si="6"/>
        <v>92342.948186029476</v>
      </c>
      <c r="T18" s="15">
        <f t="shared" si="7"/>
        <v>19188361.350271452</v>
      </c>
    </row>
    <row r="19" spans="4:20" x14ac:dyDescent="0.35">
      <c r="J19" s="191">
        <v>10</v>
      </c>
      <c r="K19" s="192">
        <f t="shared" si="0"/>
        <v>128680.60220006861</v>
      </c>
      <c r="L19" s="192">
        <f t="shared" si="1"/>
        <v>128680.60220006861</v>
      </c>
      <c r="M19" s="192">
        <f t="shared" si="2"/>
        <v>0</v>
      </c>
      <c r="N19" s="192">
        <f t="shared" si="3"/>
        <v>20000000</v>
      </c>
      <c r="P19" s="14">
        <v>10</v>
      </c>
      <c r="Q19" s="15">
        <f t="shared" si="4"/>
        <v>207388.93977668087</v>
      </c>
      <c r="R19" s="15">
        <f t="shared" si="5"/>
        <v>114494.99065852695</v>
      </c>
      <c r="S19" s="15">
        <f t="shared" si="6"/>
        <v>92893.94911815392</v>
      </c>
      <c r="T19" s="15">
        <f t="shared" si="7"/>
        <v>19095467.4011533</v>
      </c>
    </row>
    <row r="20" spans="4:20" x14ac:dyDescent="0.35">
      <c r="J20" s="191">
        <v>11</v>
      </c>
      <c r="K20" s="192">
        <f t="shared" si="0"/>
        <v>128680.60220006861</v>
      </c>
      <c r="L20" s="192">
        <f t="shared" si="1"/>
        <v>128680.60220006861</v>
      </c>
      <c r="M20" s="192">
        <f t="shared" si="2"/>
        <v>0</v>
      </c>
      <c r="N20" s="192">
        <f t="shared" si="3"/>
        <v>20000000</v>
      </c>
      <c r="P20" s="14">
        <v>11</v>
      </c>
      <c r="Q20" s="15">
        <f t="shared" si="4"/>
        <v>207388.93977668087</v>
      </c>
      <c r="R20" s="15">
        <f t="shared" si="5"/>
        <v>113940.70196016626</v>
      </c>
      <c r="S20" s="15">
        <f t="shared" si="6"/>
        <v>93448.237816514607</v>
      </c>
      <c r="T20" s="15">
        <f t="shared" si="7"/>
        <v>19002019.163336784</v>
      </c>
    </row>
    <row r="21" spans="4:20" x14ac:dyDescent="0.35">
      <c r="J21" s="191">
        <v>12</v>
      </c>
      <c r="K21" s="192">
        <f t="shared" si="0"/>
        <v>128680.60220006861</v>
      </c>
      <c r="L21" s="192">
        <f t="shared" si="1"/>
        <v>128680.60220006861</v>
      </c>
      <c r="M21" s="192">
        <f t="shared" si="2"/>
        <v>0</v>
      </c>
      <c r="N21" s="192">
        <f t="shared" si="3"/>
        <v>20000000</v>
      </c>
      <c r="P21" s="14">
        <v>12</v>
      </c>
      <c r="Q21" s="15">
        <f t="shared" si="4"/>
        <v>207388.93977668087</v>
      </c>
      <c r="R21" s="15">
        <f t="shared" si="5"/>
        <v>113383.10587780425</v>
      </c>
      <c r="S21" s="15">
        <f t="shared" si="6"/>
        <v>94005.833898876619</v>
      </c>
      <c r="T21" s="15">
        <f t="shared" si="7"/>
        <v>18908013.329437908</v>
      </c>
    </row>
    <row r="22" spans="4:20" x14ac:dyDescent="0.35">
      <c r="J22" s="191">
        <v>13</v>
      </c>
      <c r="K22" s="192">
        <f t="shared" si="0"/>
        <v>128680.60220006861</v>
      </c>
      <c r="L22" s="192">
        <f t="shared" si="1"/>
        <v>128680.60220006861</v>
      </c>
      <c r="M22" s="192">
        <f t="shared" si="2"/>
        <v>0</v>
      </c>
      <c r="N22" s="192">
        <f t="shared" si="3"/>
        <v>20000000</v>
      </c>
      <c r="P22" s="14">
        <v>13</v>
      </c>
      <c r="Q22" s="15">
        <f t="shared" si="4"/>
        <v>207388.93977668087</v>
      </c>
      <c r="R22" s="15">
        <f t="shared" si="5"/>
        <v>112822.18267661873</v>
      </c>
      <c r="S22" s="15">
        <f t="shared" si="6"/>
        <v>94566.757100062139</v>
      </c>
      <c r="T22" s="15">
        <f t="shared" si="7"/>
        <v>18813446.572337847</v>
      </c>
    </row>
    <row r="23" spans="4:20" x14ac:dyDescent="0.35">
      <c r="J23" s="191">
        <v>14</v>
      </c>
      <c r="K23" s="192">
        <f t="shared" si="0"/>
        <v>128680.60220006861</v>
      </c>
      <c r="L23" s="192">
        <f t="shared" si="1"/>
        <v>128680.60220006861</v>
      </c>
      <c r="M23" s="192">
        <f t="shared" si="2"/>
        <v>0</v>
      </c>
      <c r="N23" s="192">
        <f t="shared" si="3"/>
        <v>20000000</v>
      </c>
      <c r="P23" s="14">
        <v>14</v>
      </c>
      <c r="Q23" s="15">
        <f t="shared" si="4"/>
        <v>207388.93977668087</v>
      </c>
      <c r="R23" s="15">
        <f t="shared" si="5"/>
        <v>112257.91250403177</v>
      </c>
      <c r="S23" s="15">
        <f t="shared" si="6"/>
        <v>95131.027272649095</v>
      </c>
      <c r="T23" s="15">
        <f t="shared" si="7"/>
        <v>18718315.545065198</v>
      </c>
    </row>
    <row r="24" spans="4:20" x14ac:dyDescent="0.35">
      <c r="J24" s="191">
        <v>15</v>
      </c>
      <c r="K24" s="192">
        <f t="shared" si="0"/>
        <v>128680.60220006861</v>
      </c>
      <c r="L24" s="192">
        <f t="shared" si="1"/>
        <v>128680.60220006861</v>
      </c>
      <c r="M24" s="192">
        <f t="shared" si="2"/>
        <v>0</v>
      </c>
      <c r="N24" s="192">
        <f t="shared" si="3"/>
        <v>20000000</v>
      </c>
      <c r="P24" s="14">
        <v>15</v>
      </c>
      <c r="Q24" s="15">
        <f t="shared" si="4"/>
        <v>207388.93977668087</v>
      </c>
      <c r="R24" s="15">
        <f t="shared" si="5"/>
        <v>111690.27538900715</v>
      </c>
      <c r="S24" s="15">
        <f t="shared" si="6"/>
        <v>95698.664387673722</v>
      </c>
      <c r="T24" s="15">
        <f t="shared" si="7"/>
        <v>18622616.880677525</v>
      </c>
    </row>
    <row r="25" spans="4:20" x14ac:dyDescent="0.35">
      <c r="J25" s="191">
        <v>16</v>
      </c>
      <c r="K25" s="192">
        <f t="shared" si="0"/>
        <v>128680.60220006861</v>
      </c>
      <c r="L25" s="192">
        <f t="shared" si="1"/>
        <v>128680.60220006861</v>
      </c>
      <c r="M25" s="192">
        <f t="shared" si="2"/>
        <v>0</v>
      </c>
      <c r="N25" s="192">
        <f t="shared" si="3"/>
        <v>20000000</v>
      </c>
      <c r="P25" s="14">
        <v>16</v>
      </c>
      <c r="Q25" s="15">
        <f t="shared" si="4"/>
        <v>207388.93977668087</v>
      </c>
      <c r="R25" s="15">
        <f t="shared" si="5"/>
        <v>111119.25124134353</v>
      </c>
      <c r="S25" s="15">
        <f t="shared" si="6"/>
        <v>96269.688535337336</v>
      </c>
      <c r="T25" s="15">
        <f t="shared" si="7"/>
        <v>18526347.192142189</v>
      </c>
    </row>
    <row r="26" spans="4:20" x14ac:dyDescent="0.35">
      <c r="J26" s="191">
        <v>17</v>
      </c>
      <c r="K26" s="192">
        <f t="shared" si="0"/>
        <v>128680.60220006861</v>
      </c>
      <c r="L26" s="192">
        <f t="shared" si="1"/>
        <v>128680.60220006861</v>
      </c>
      <c r="M26" s="192">
        <f t="shared" si="2"/>
        <v>0</v>
      </c>
      <c r="N26" s="192">
        <f t="shared" si="3"/>
        <v>20000000</v>
      </c>
      <c r="P26" s="14">
        <v>17</v>
      </c>
      <c r="Q26" s="15">
        <f t="shared" si="4"/>
        <v>207388.93977668087</v>
      </c>
      <c r="R26" s="15">
        <f t="shared" si="5"/>
        <v>110544.81985096341</v>
      </c>
      <c r="S26" s="15">
        <f t="shared" si="6"/>
        <v>96844.119925717459</v>
      </c>
      <c r="T26" s="15">
        <f t="shared" si="7"/>
        <v>18429503.07221647</v>
      </c>
    </row>
    <row r="27" spans="4:20" x14ac:dyDescent="0.35">
      <c r="J27" s="191">
        <v>18</v>
      </c>
      <c r="K27" s="192">
        <f t="shared" si="0"/>
        <v>128680.60220006861</v>
      </c>
      <c r="L27" s="192">
        <f t="shared" si="1"/>
        <v>128680.60220006861</v>
      </c>
      <c r="M27" s="192">
        <f t="shared" si="2"/>
        <v>0</v>
      </c>
      <c r="N27" s="192">
        <f t="shared" si="3"/>
        <v>20000000</v>
      </c>
      <c r="P27" s="14">
        <v>18</v>
      </c>
      <c r="Q27" s="15">
        <f t="shared" si="4"/>
        <v>207388.93977668087</v>
      </c>
      <c r="R27" s="15">
        <f t="shared" si="5"/>
        <v>109966.96088719778</v>
      </c>
      <c r="S27" s="15">
        <f t="shared" si="6"/>
        <v>97421.978889483085</v>
      </c>
      <c r="T27" s="15">
        <f t="shared" si="7"/>
        <v>18332081.093326986</v>
      </c>
    </row>
    <row r="28" spans="4:20" x14ac:dyDescent="0.35">
      <c r="J28" s="191">
        <v>19</v>
      </c>
      <c r="K28" s="192">
        <f t="shared" si="0"/>
        <v>128680.60220006861</v>
      </c>
      <c r="L28" s="192">
        <f t="shared" si="1"/>
        <v>128680.60220006861</v>
      </c>
      <c r="M28" s="192">
        <f t="shared" si="2"/>
        <v>0</v>
      </c>
      <c r="N28" s="192">
        <f t="shared" si="3"/>
        <v>20000000</v>
      </c>
      <c r="P28" s="14">
        <v>19</v>
      </c>
      <c r="Q28" s="15">
        <f t="shared" si="4"/>
        <v>207388.93977668087</v>
      </c>
      <c r="R28" s="15">
        <f t="shared" si="5"/>
        <v>109385.65389806664</v>
      </c>
      <c r="S28" s="15">
        <f t="shared" si="6"/>
        <v>98003.285878614231</v>
      </c>
      <c r="T28" s="15">
        <f t="shared" si="7"/>
        <v>18234077.807448372</v>
      </c>
    </row>
    <row r="29" spans="4:20" x14ac:dyDescent="0.35">
      <c r="J29" s="191">
        <v>20</v>
      </c>
      <c r="K29" s="192">
        <f t="shared" si="0"/>
        <v>128680.60220006861</v>
      </c>
      <c r="L29" s="192">
        <f t="shared" si="1"/>
        <v>128680.60220006861</v>
      </c>
      <c r="M29" s="192">
        <f t="shared" si="2"/>
        <v>0</v>
      </c>
      <c r="N29" s="192">
        <f t="shared" si="3"/>
        <v>20000000</v>
      </c>
      <c r="P29" s="14">
        <v>20</v>
      </c>
      <c r="Q29" s="15">
        <f t="shared" si="4"/>
        <v>207388.93977668087</v>
      </c>
      <c r="R29" s="15">
        <f t="shared" si="5"/>
        <v>108800.8783095551</v>
      </c>
      <c r="S29" s="15">
        <f t="shared" si="6"/>
        <v>98588.061467125764</v>
      </c>
      <c r="T29" s="15">
        <f t="shared" si="7"/>
        <v>18135489.745981246</v>
      </c>
    </row>
    <row r="30" spans="4:20" x14ac:dyDescent="0.35">
      <c r="J30" s="191">
        <v>21</v>
      </c>
      <c r="K30" s="192">
        <f t="shared" si="0"/>
        <v>128680.60220006861</v>
      </c>
      <c r="L30" s="192">
        <f t="shared" si="1"/>
        <v>128680.60220006861</v>
      </c>
      <c r="M30" s="192">
        <f t="shared" si="2"/>
        <v>0</v>
      </c>
      <c r="N30" s="192">
        <f t="shared" si="3"/>
        <v>20000000</v>
      </c>
      <c r="P30" s="14">
        <v>21</v>
      </c>
      <c r="Q30" s="15">
        <f t="shared" si="4"/>
        <v>207388.93977668087</v>
      </c>
      <c r="R30" s="15">
        <f t="shared" si="5"/>
        <v>108212.61342488526</v>
      </c>
      <c r="S30" s="15">
        <f t="shared" si="6"/>
        <v>99176.326351795607</v>
      </c>
      <c r="T30" s="15">
        <f t="shared" si="7"/>
        <v>18036313.419629451</v>
      </c>
    </row>
    <row r="31" spans="4:20" x14ac:dyDescent="0.35">
      <c r="J31" s="191">
        <v>22</v>
      </c>
      <c r="K31" s="192">
        <f t="shared" si="0"/>
        <v>128680.60220006861</v>
      </c>
      <c r="L31" s="192">
        <f t="shared" si="1"/>
        <v>128680.60220006861</v>
      </c>
      <c r="M31" s="192">
        <f t="shared" si="2"/>
        <v>0</v>
      </c>
      <c r="N31" s="192">
        <f t="shared" si="3"/>
        <v>20000000</v>
      </c>
      <c r="P31" s="14">
        <v>22</v>
      </c>
      <c r="Q31" s="15">
        <f t="shared" si="4"/>
        <v>207388.93977668087</v>
      </c>
      <c r="R31" s="15">
        <f t="shared" si="5"/>
        <v>107620.8384237836</v>
      </c>
      <c r="S31" s="15">
        <f t="shared" si="6"/>
        <v>99768.101352897269</v>
      </c>
      <c r="T31" s="15">
        <f t="shared" si="7"/>
        <v>17936545.318276554</v>
      </c>
    </row>
    <row r="32" spans="4:20" x14ac:dyDescent="0.35">
      <c r="J32" s="191">
        <v>23</v>
      </c>
      <c r="K32" s="192">
        <f t="shared" si="0"/>
        <v>128680.60220006861</v>
      </c>
      <c r="L32" s="192">
        <f t="shared" si="1"/>
        <v>128680.60220006861</v>
      </c>
      <c r="M32" s="192">
        <f t="shared" si="2"/>
        <v>0</v>
      </c>
      <c r="N32" s="192">
        <f t="shared" si="3"/>
        <v>20000000</v>
      </c>
      <c r="P32" s="14">
        <v>23</v>
      </c>
      <c r="Q32" s="15">
        <f t="shared" si="4"/>
        <v>207388.93977668087</v>
      </c>
      <c r="R32" s="15">
        <f t="shared" si="5"/>
        <v>107025.53236174422</v>
      </c>
      <c r="S32" s="15">
        <f t="shared" si="6"/>
        <v>100363.40741493665</v>
      </c>
      <c r="T32" s="15">
        <f t="shared" si="7"/>
        <v>17836181.910861619</v>
      </c>
    </row>
    <row r="33" spans="10:20" x14ac:dyDescent="0.35">
      <c r="J33" s="191">
        <v>24</v>
      </c>
      <c r="K33" s="192">
        <f t="shared" si="0"/>
        <v>128680.60220006861</v>
      </c>
      <c r="L33" s="192">
        <f>N32*$K$6</f>
        <v>128680.60220006861</v>
      </c>
      <c r="M33" s="192">
        <f t="shared" si="2"/>
        <v>0</v>
      </c>
      <c r="N33" s="192">
        <f t="shared" si="3"/>
        <v>20000000</v>
      </c>
      <c r="P33" s="14">
        <v>24</v>
      </c>
      <c r="Q33" s="15">
        <f t="shared" si="4"/>
        <v>207388.93977668087</v>
      </c>
      <c r="R33" s="15">
        <f t="shared" si="5"/>
        <v>106426.67416928745</v>
      </c>
      <c r="S33" s="15">
        <f t="shared" si="6"/>
        <v>100962.26560739342</v>
      </c>
      <c r="T33" s="15">
        <f t="shared" si="7"/>
        <v>17735219.645254225</v>
      </c>
    </row>
    <row r="34" spans="10:20" x14ac:dyDescent="0.35">
      <c r="J34" s="191">
        <v>25</v>
      </c>
      <c r="K34" s="192">
        <f t="shared" si="0"/>
        <v>279904.05230820633</v>
      </c>
      <c r="L34" s="192">
        <f>N33*$K$6</f>
        <v>128680.60220006861</v>
      </c>
      <c r="M34" s="192">
        <f>K34-L34</f>
        <v>151223.45010813774</v>
      </c>
      <c r="N34" s="192">
        <f>N33-M34</f>
        <v>19848776.549891863</v>
      </c>
      <c r="P34" s="14">
        <v>25</v>
      </c>
      <c r="Q34" s="15">
        <f t="shared" si="4"/>
        <v>207388.93977668087</v>
      </c>
      <c r="R34" s="15">
        <f t="shared" si="5"/>
        <v>105824.24265121418</v>
      </c>
      <c r="S34" s="15">
        <f t="shared" si="6"/>
        <v>101564.69712546669</v>
      </c>
      <c r="T34" s="15">
        <f>T33-S34</f>
        <v>17633654.948128756</v>
      </c>
    </row>
    <row r="35" spans="10:20" x14ac:dyDescent="0.35">
      <c r="J35" s="191">
        <v>26</v>
      </c>
      <c r="K35" s="192">
        <f t="shared" si="0"/>
        <v>279904.05230820633</v>
      </c>
      <c r="L35" s="192">
        <f>N34*$K$6</f>
        <v>127707.62596873425</v>
      </c>
      <c r="M35" s="192">
        <f t="shared" si="2"/>
        <v>152196.42633947206</v>
      </c>
      <c r="N35" s="192">
        <f t="shared" si="3"/>
        <v>19696580.123552389</v>
      </c>
      <c r="P35" s="14">
        <v>26</v>
      </c>
      <c r="Q35" s="15">
        <f t="shared" si="4"/>
        <v>207388.93977668087</v>
      </c>
      <c r="R35" s="15">
        <f t="shared" si="5"/>
        <v>105218.21648585577</v>
      </c>
      <c r="S35" s="15">
        <f t="shared" si="6"/>
        <v>102170.7232908251</v>
      </c>
      <c r="T35" s="15">
        <f t="shared" ref="T35:T98" si="8">T34-S35</f>
        <v>17531484.224837933</v>
      </c>
    </row>
    <row r="36" spans="10:20" x14ac:dyDescent="0.35">
      <c r="J36" s="191">
        <v>27</v>
      </c>
      <c r="K36" s="192">
        <f t="shared" si="0"/>
        <v>279904.05230820633</v>
      </c>
      <c r="L36" s="192">
        <f t="shared" si="1"/>
        <v>126728.38957903117</v>
      </c>
      <c r="M36" s="192">
        <f t="shared" si="2"/>
        <v>153175.66272917518</v>
      </c>
      <c r="N36" s="192">
        <f t="shared" si="3"/>
        <v>19543404.460823216</v>
      </c>
      <c r="P36" s="14">
        <v>27</v>
      </c>
      <c r="Q36" s="15">
        <f t="shared" si="4"/>
        <v>207388.93977668087</v>
      </c>
      <c r="R36" s="15">
        <f t="shared" si="5"/>
        <v>104608.57422431934</v>
      </c>
      <c r="S36" s="15">
        <f t="shared" si="6"/>
        <v>102780.36555236153</v>
      </c>
      <c r="T36" s="15">
        <f t="shared" si="8"/>
        <v>17428703.859285571</v>
      </c>
    </row>
    <row r="37" spans="10:20" x14ac:dyDescent="0.35">
      <c r="J37" s="191">
        <v>28</v>
      </c>
      <c r="K37" s="192">
        <f t="shared" si="0"/>
        <v>279904.05230820633</v>
      </c>
      <c r="L37" s="192">
        <f t="shared" si="1"/>
        <v>125742.85275291192</v>
      </c>
      <c r="M37" s="192">
        <f t="shared" si="2"/>
        <v>154161.19955529441</v>
      </c>
      <c r="N37" s="192">
        <f t="shared" si="3"/>
        <v>19389243.261267923</v>
      </c>
      <c r="P37" s="14">
        <v>28</v>
      </c>
      <c r="Q37" s="15">
        <f t="shared" si="4"/>
        <v>207388.93977668087</v>
      </c>
      <c r="R37" s="15">
        <f t="shared" si="5"/>
        <v>103995.29428972861</v>
      </c>
      <c r="S37" s="15">
        <f t="shared" si="6"/>
        <v>103393.64548695226</v>
      </c>
      <c r="T37" s="15">
        <f t="shared" si="8"/>
        <v>17325310.21379862</v>
      </c>
    </row>
    <row r="38" spans="10:20" x14ac:dyDescent="0.35">
      <c r="J38" s="191">
        <v>29</v>
      </c>
      <c r="K38" s="192">
        <f t="shared" si="0"/>
        <v>279904.05230820633</v>
      </c>
      <c r="L38" s="192">
        <f t="shared" si="1"/>
        <v>124750.97495317893</v>
      </c>
      <c r="M38" s="192">
        <f t="shared" si="2"/>
        <v>155153.0773550274</v>
      </c>
      <c r="N38" s="192">
        <f t="shared" si="3"/>
        <v>19234090.183912896</v>
      </c>
      <c r="P38" s="14">
        <v>29</v>
      </c>
      <c r="Q38" s="15">
        <f t="shared" si="4"/>
        <v>207388.93977668087</v>
      </c>
      <c r="R38" s="15">
        <f t="shared" si="5"/>
        <v>103378.35497646037</v>
      </c>
      <c r="S38" s="15">
        <f t="shared" si="6"/>
        <v>104010.5848002205</v>
      </c>
      <c r="T38" s="15">
        <f t="shared" si="8"/>
        <v>17221299.628998399</v>
      </c>
    </row>
    <row r="39" spans="10:20" x14ac:dyDescent="0.35">
      <c r="J39" s="191">
        <v>30</v>
      </c>
      <c r="K39" s="192">
        <f t="shared" si="0"/>
        <v>279904.05230820633</v>
      </c>
      <c r="L39" s="192">
        <f t="shared" si="1"/>
        <v>123752.71538181699</v>
      </c>
      <c r="M39" s="192">
        <f t="shared" si="2"/>
        <v>156151.33692638934</v>
      </c>
      <c r="N39" s="192">
        <f t="shared" si="3"/>
        <v>19077938.846986506</v>
      </c>
      <c r="P39" s="14">
        <v>30</v>
      </c>
      <c r="Q39" s="15">
        <f t="shared" si="4"/>
        <v>207388.93977668087</v>
      </c>
      <c r="R39" s="15">
        <f t="shared" si="5"/>
        <v>102757.73444937608</v>
      </c>
      <c r="S39" s="15">
        <f t="shared" si="6"/>
        <v>104631.20532730479</v>
      </c>
      <c r="T39" s="15">
        <f t="shared" si="8"/>
        <v>17116668.423671093</v>
      </c>
    </row>
    <row r="40" spans="10:20" x14ac:dyDescent="0.35">
      <c r="J40" s="191">
        <v>31</v>
      </c>
      <c r="K40" s="192">
        <f t="shared" si="0"/>
        <v>279904.05230820633</v>
      </c>
      <c r="L40" s="192">
        <f t="shared" si="1"/>
        <v>122748.0329783153</v>
      </c>
      <c r="M40" s="192">
        <f t="shared" si="2"/>
        <v>157156.01932989102</v>
      </c>
      <c r="N40" s="192">
        <f t="shared" si="3"/>
        <v>18920782.827656616</v>
      </c>
      <c r="P40" s="14">
        <v>31</v>
      </c>
      <c r="Q40" s="15">
        <f t="shared" si="4"/>
        <v>207388.93977668087</v>
      </c>
      <c r="R40" s="15">
        <f t="shared" si="5"/>
        <v>102133.41074304923</v>
      </c>
      <c r="S40" s="15">
        <f t="shared" si="6"/>
        <v>105255.52903363164</v>
      </c>
      <c r="T40" s="15">
        <f t="shared" si="8"/>
        <v>17011412.894637462</v>
      </c>
    </row>
    <row r="41" spans="10:20" x14ac:dyDescent="0.35">
      <c r="J41" s="191">
        <v>32</v>
      </c>
      <c r="K41" s="192">
        <f t="shared" si="0"/>
        <v>279904.05230820633</v>
      </c>
      <c r="L41" s="192">
        <f t="shared" si="1"/>
        <v>121736.8864179785</v>
      </c>
      <c r="M41" s="192">
        <f t="shared" si="2"/>
        <v>158167.16589022783</v>
      </c>
      <c r="N41" s="192">
        <f t="shared" si="3"/>
        <v>18762615.661766388</v>
      </c>
      <c r="P41" s="14">
        <v>32</v>
      </c>
      <c r="Q41" s="15">
        <f t="shared" si="4"/>
        <v>207388.93977668087</v>
      </c>
      <c r="R41" s="15">
        <f t="shared" si="5"/>
        <v>101505.36176098784</v>
      </c>
      <c r="S41" s="15">
        <f t="shared" si="6"/>
        <v>105883.57801569303</v>
      </c>
      <c r="T41" s="15">
        <f t="shared" si="8"/>
        <v>16905529.316621769</v>
      </c>
    </row>
    <row r="42" spans="10:20" x14ac:dyDescent="0.35">
      <c r="J42" s="191">
        <v>33</v>
      </c>
      <c r="K42" s="192">
        <f t="shared" si="0"/>
        <v>279904.05230820633</v>
      </c>
      <c r="L42" s="192">
        <f t="shared" si="1"/>
        <v>120719.23411022687</v>
      </c>
      <c r="M42" s="192">
        <f t="shared" si="2"/>
        <v>159184.81819797948</v>
      </c>
      <c r="N42" s="192">
        <f t="shared" si="3"/>
        <v>18603430.843568407</v>
      </c>
      <c r="P42" s="14">
        <v>33</v>
      </c>
      <c r="Q42" s="15">
        <f t="shared" si="4"/>
        <v>207388.93977668087</v>
      </c>
      <c r="R42" s="15">
        <f t="shared" si="5"/>
        <v>100873.56527485243</v>
      </c>
      <c r="S42" s="15">
        <f t="shared" si="6"/>
        <v>106515.37450182844</v>
      </c>
      <c r="T42" s="15">
        <f t="shared" si="8"/>
        <v>16799013.942119941</v>
      </c>
    </row>
    <row r="43" spans="10:20" x14ac:dyDescent="0.35">
      <c r="J43" s="191">
        <v>34</v>
      </c>
      <c r="K43" s="192">
        <f t="shared" si="0"/>
        <v>279904.05230820633</v>
      </c>
      <c r="L43" s="192">
        <f t="shared" si="1"/>
        <v>119695.03419688565</v>
      </c>
      <c r="M43" s="192">
        <f t="shared" si="2"/>
        <v>160209.01811132068</v>
      </c>
      <c r="N43" s="192">
        <f t="shared" si="3"/>
        <v>18443221.825457085</v>
      </c>
      <c r="P43" s="14">
        <v>34</v>
      </c>
      <c r="Q43" s="15">
        <f t="shared" si="4"/>
        <v>207388.93977668087</v>
      </c>
      <c r="R43" s="15">
        <f t="shared" si="5"/>
        <v>100237.99892366925</v>
      </c>
      <c r="S43" s="15">
        <f t="shared" si="6"/>
        <v>107150.94085301162</v>
      </c>
      <c r="T43" s="15">
        <f t="shared" si="8"/>
        <v>16691863.00126693</v>
      </c>
    </row>
    <row r="44" spans="10:20" x14ac:dyDescent="0.35">
      <c r="J44" s="191">
        <v>35</v>
      </c>
      <c r="K44" s="192">
        <f t="shared" si="0"/>
        <v>279904.05230820633</v>
      </c>
      <c r="L44" s="192">
        <f t="shared" si="1"/>
        <v>118664.24455046332</v>
      </c>
      <c r="M44" s="192">
        <f t="shared" si="2"/>
        <v>161239.80775774299</v>
      </c>
      <c r="N44" s="192">
        <f t="shared" si="3"/>
        <v>18281982.017699342</v>
      </c>
      <c r="P44" s="14">
        <v>35</v>
      </c>
      <c r="Q44" s="15">
        <f t="shared" si="4"/>
        <v>207388.93977668087</v>
      </c>
      <c r="R44" s="15">
        <f t="shared" si="5"/>
        <v>99598.640213038947</v>
      </c>
      <c r="S44" s="15">
        <f t="shared" si="6"/>
        <v>107790.29956364192</v>
      </c>
      <c r="T44" s="15">
        <f t="shared" si="8"/>
        <v>16584072.701703288</v>
      </c>
    </row>
    <row r="45" spans="10:20" x14ac:dyDescent="0.35">
      <c r="J45" s="191">
        <v>36</v>
      </c>
      <c r="K45" s="192">
        <f t="shared" si="0"/>
        <v>279904.05230820633</v>
      </c>
      <c r="L45" s="192">
        <f t="shared" si="1"/>
        <v>117626.82277241883</v>
      </c>
      <c r="M45" s="192">
        <f t="shared" si="2"/>
        <v>162277.22953578748</v>
      </c>
      <c r="N45" s="192">
        <f t="shared" si="3"/>
        <v>18119704.788163554</v>
      </c>
      <c r="P45" s="14">
        <v>36</v>
      </c>
      <c r="Q45" s="15">
        <f t="shared" si="4"/>
        <v>207388.93977668087</v>
      </c>
      <c r="R45" s="15">
        <f t="shared" si="5"/>
        <v>98955.466514340369</v>
      </c>
      <c r="S45" s="15">
        <f t="shared" si="6"/>
        <v>108433.4732623405</v>
      </c>
      <c r="T45" s="15">
        <f t="shared" si="8"/>
        <v>16475639.228440948</v>
      </c>
    </row>
    <row r="46" spans="10:20" x14ac:dyDescent="0.35">
      <c r="J46" s="191">
        <v>37</v>
      </c>
      <c r="K46" s="192">
        <f t="shared" si="0"/>
        <v>279904.05230820633</v>
      </c>
      <c r="L46" s="192">
        <f t="shared" si="1"/>
        <v>116582.72619141763</v>
      </c>
      <c r="M46" s="192">
        <f t="shared" si="2"/>
        <v>163321.3261167887</v>
      </c>
      <c r="N46" s="192">
        <f t="shared" si="3"/>
        <v>17956383.462046765</v>
      </c>
      <c r="P46" s="14">
        <v>37</v>
      </c>
      <c r="Q46" s="15">
        <f t="shared" si="4"/>
        <v>207388.93977668087</v>
      </c>
      <c r="R46" s="15">
        <f t="shared" si="5"/>
        <v>98308.455063929694</v>
      </c>
      <c r="S46" s="15">
        <f t="shared" si="6"/>
        <v>109080.48471275117</v>
      </c>
      <c r="T46" s="15">
        <f t="shared" si="8"/>
        <v>16366558.743728196</v>
      </c>
    </row>
    <row r="47" spans="10:20" x14ac:dyDescent="0.35">
      <c r="J47" s="191">
        <v>38</v>
      </c>
      <c r="K47" s="192">
        <f t="shared" si="0"/>
        <v>279904.05230820633</v>
      </c>
      <c r="L47" s="192">
        <f t="shared" si="1"/>
        <v>115531.91186157652</v>
      </c>
      <c r="M47" s="192">
        <f t="shared" si="2"/>
        <v>164372.14044662981</v>
      </c>
      <c r="N47" s="192">
        <f t="shared" si="3"/>
        <v>17792011.321600135</v>
      </c>
      <c r="P47" s="14">
        <v>38</v>
      </c>
      <c r="Q47" s="15">
        <f t="shared" si="4"/>
        <v>207388.93977668087</v>
      </c>
      <c r="R47" s="15">
        <f t="shared" si="5"/>
        <v>97657.582962334767</v>
      </c>
      <c r="S47" s="15">
        <f t="shared" si="6"/>
        <v>109731.3568143461</v>
      </c>
      <c r="T47" s="15">
        <f t="shared" si="8"/>
        <v>16256827.386913851</v>
      </c>
    </row>
    <row r="48" spans="10:20" x14ac:dyDescent="0.35">
      <c r="J48" s="191">
        <v>39</v>
      </c>
      <c r="K48" s="192">
        <f t="shared" si="0"/>
        <v>279904.05230820633</v>
      </c>
      <c r="L48" s="192">
        <f t="shared" si="1"/>
        <v>114474.33656069719</v>
      </c>
      <c r="M48" s="192">
        <f t="shared" si="2"/>
        <v>165429.71574750915</v>
      </c>
      <c r="N48" s="192">
        <f t="shared" si="3"/>
        <v>17626581.605852626</v>
      </c>
      <c r="P48" s="14">
        <v>39</v>
      </c>
      <c r="Q48" s="15">
        <f t="shared" si="4"/>
        <v>207388.93977668087</v>
      </c>
      <c r="R48" s="15">
        <f t="shared" si="5"/>
        <v>97002.827173444632</v>
      </c>
      <c r="S48" s="15">
        <f t="shared" si="6"/>
        <v>110386.11260323624</v>
      </c>
      <c r="T48" s="15">
        <f t="shared" si="8"/>
        <v>16146441.274310615</v>
      </c>
    </row>
    <row r="49" spans="10:20" x14ac:dyDescent="0.35">
      <c r="J49" s="191">
        <v>40</v>
      </c>
      <c r="K49" s="192">
        <f t="shared" si="0"/>
        <v>279904.05230820633</v>
      </c>
      <c r="L49" s="192">
        <f t="shared" si="1"/>
        <v>113409.95678848842</v>
      </c>
      <c r="M49" s="192">
        <f t="shared" si="2"/>
        <v>166494.0955197179</v>
      </c>
      <c r="N49" s="192">
        <f t="shared" si="3"/>
        <v>17460087.510332908</v>
      </c>
      <c r="P49" s="14">
        <v>40</v>
      </c>
      <c r="Q49" s="15">
        <f t="shared" si="4"/>
        <v>207388.93977668087</v>
      </c>
      <c r="R49" s="15">
        <f t="shared" si="5"/>
        <v>96344.164523694199</v>
      </c>
      <c r="S49" s="15">
        <f t="shared" si="6"/>
        <v>111044.77525298667</v>
      </c>
      <c r="T49" s="15">
        <f t="shared" si="8"/>
        <v>16035396.499057628</v>
      </c>
    </row>
    <row r="50" spans="10:20" x14ac:dyDescent="0.35">
      <c r="J50" s="191">
        <v>41</v>
      </c>
      <c r="K50" s="192">
        <f t="shared" si="0"/>
        <v>279904.05230820633</v>
      </c>
      <c r="L50" s="192">
        <f t="shared" si="1"/>
        <v>112338.72876477677</v>
      </c>
      <c r="M50" s="192">
        <f t="shared" si="2"/>
        <v>167565.32354342955</v>
      </c>
      <c r="N50" s="192">
        <f t="shared" si="3"/>
        <v>17292522.186789479</v>
      </c>
      <c r="P50" s="14">
        <v>41</v>
      </c>
      <c r="Q50" s="15">
        <f t="shared" si="4"/>
        <v>207388.93977668087</v>
      </c>
      <c r="R50" s="15">
        <f t="shared" si="5"/>
        <v>95681.571701244087</v>
      </c>
      <c r="S50" s="15">
        <f t="shared" si="6"/>
        <v>111707.36807543678</v>
      </c>
      <c r="T50" s="15">
        <f t="shared" si="8"/>
        <v>15923689.130982192</v>
      </c>
    </row>
    <row r="51" spans="10:20" x14ac:dyDescent="0.35">
      <c r="J51" s="191">
        <v>42</v>
      </c>
      <c r="K51" s="192">
        <f t="shared" si="0"/>
        <v>279904.05230820633</v>
      </c>
      <c r="L51" s="192">
        <f t="shared" si="1"/>
        <v>111260.60842770587</v>
      </c>
      <c r="M51" s="192">
        <f t="shared" si="2"/>
        <v>168643.44388050045</v>
      </c>
      <c r="N51" s="192">
        <f t="shared" si="3"/>
        <v>17123878.742908977</v>
      </c>
      <c r="P51" s="14">
        <v>42</v>
      </c>
      <c r="Q51" s="15">
        <f t="shared" si="4"/>
        <v>207388.93977668087</v>
      </c>
      <c r="R51" s="15">
        <f t="shared" si="5"/>
        <v>95015.025255155575</v>
      </c>
      <c r="S51" s="15">
        <f t="shared" si="6"/>
        <v>112373.91452152529</v>
      </c>
      <c r="T51" s="15">
        <f t="shared" si="8"/>
        <v>15811315.216460668</v>
      </c>
    </row>
    <row r="52" spans="10:20" x14ac:dyDescent="0.35">
      <c r="J52" s="191">
        <v>43</v>
      </c>
      <c r="K52" s="192">
        <f t="shared" si="0"/>
        <v>279904.05230820633</v>
      </c>
      <c r="L52" s="192">
        <f t="shared" si="1"/>
        <v>110175.55143192405</v>
      </c>
      <c r="M52" s="192">
        <f t="shared" si="2"/>
        <v>169728.50087628228</v>
      </c>
      <c r="N52" s="192">
        <f t="shared" si="3"/>
        <v>16954150.242032696</v>
      </c>
      <c r="P52" s="14">
        <v>43</v>
      </c>
      <c r="Q52" s="15">
        <f t="shared" si="4"/>
        <v>207388.93977668087</v>
      </c>
      <c r="R52" s="15">
        <f t="shared" si="5"/>
        <v>94344.501594560556</v>
      </c>
      <c r="S52" s="15">
        <f t="shared" si="6"/>
        <v>113044.43818212031</v>
      </c>
      <c r="T52" s="15">
        <f t="shared" si="8"/>
        <v>15698270.778278546</v>
      </c>
    </row>
    <row r="53" spans="10:20" x14ac:dyDescent="0.35">
      <c r="J53" s="191">
        <v>44</v>
      </c>
      <c r="K53" s="192">
        <f t="shared" si="0"/>
        <v>279904.05230820633</v>
      </c>
      <c r="L53" s="192">
        <f t="shared" si="1"/>
        <v>109083.51314676031</v>
      </c>
      <c r="M53" s="192">
        <f t="shared" si="2"/>
        <v>170820.53916144604</v>
      </c>
      <c r="N53" s="192">
        <f t="shared" si="3"/>
        <v>16783329.702871248</v>
      </c>
      <c r="P53" s="14">
        <v>44</v>
      </c>
      <c r="Q53" s="15">
        <f t="shared" si="4"/>
        <v>207388.93977668087</v>
      </c>
      <c r="R53" s="15">
        <f t="shared" si="5"/>
        <v>93669.976987826623</v>
      </c>
      <c r="S53" s="15">
        <f t="shared" si="6"/>
        <v>113718.96278885425</v>
      </c>
      <c r="T53" s="15">
        <f t="shared" si="8"/>
        <v>15584551.815489693</v>
      </c>
    </row>
    <row r="54" spans="10:20" x14ac:dyDescent="0.35">
      <c r="J54" s="191">
        <v>45</v>
      </c>
      <c r="K54" s="192">
        <f t="shared" si="0"/>
        <v>279904.05230820633</v>
      </c>
      <c r="L54" s="192">
        <f t="shared" si="1"/>
        <v>107984.44865438853</v>
      </c>
      <c r="M54" s="192">
        <f t="shared" si="2"/>
        <v>171919.60365381779</v>
      </c>
      <c r="N54" s="192">
        <f t="shared" si="3"/>
        <v>16611410.09921743</v>
      </c>
      <c r="P54" s="14">
        <v>45</v>
      </c>
      <c r="Q54" s="15">
        <f t="shared" si="4"/>
        <v>207388.93977668087</v>
      </c>
      <c r="R54" s="15">
        <f t="shared" si="5"/>
        <v>92991.427561717181</v>
      </c>
      <c r="S54" s="15">
        <f t="shared" si="6"/>
        <v>114397.51221496369</v>
      </c>
      <c r="T54" s="15">
        <f t="shared" si="8"/>
        <v>15470154.303274728</v>
      </c>
    </row>
    <row r="55" spans="10:20" x14ac:dyDescent="0.35">
      <c r="J55" s="191">
        <v>46</v>
      </c>
      <c r="K55" s="192">
        <f t="shared" si="0"/>
        <v>279904.05230820633</v>
      </c>
      <c r="L55" s="192">
        <f t="shared" si="1"/>
        <v>106878.31274798002</v>
      </c>
      <c r="M55" s="192">
        <f t="shared" si="2"/>
        <v>173025.73956022633</v>
      </c>
      <c r="N55" s="192">
        <f t="shared" si="3"/>
        <v>16438384.359657204</v>
      </c>
      <c r="P55" s="14">
        <v>46</v>
      </c>
      <c r="Q55" s="15">
        <f t="shared" si="4"/>
        <v>207388.93977668087</v>
      </c>
      <c r="R55" s="15">
        <f t="shared" si="5"/>
        <v>92308.829300546451</v>
      </c>
      <c r="S55" s="15">
        <f t="shared" si="6"/>
        <v>115080.11047613442</v>
      </c>
      <c r="T55" s="15">
        <f t="shared" si="8"/>
        <v>15355074.192798594</v>
      </c>
    </row>
    <row r="56" spans="10:20" x14ac:dyDescent="0.35">
      <c r="J56" s="191">
        <v>47</v>
      </c>
      <c r="K56" s="192">
        <f t="shared" si="0"/>
        <v>279904.05230820633</v>
      </c>
      <c r="L56" s="192">
        <f t="shared" si="1"/>
        <v>105765.0599298439</v>
      </c>
      <c r="M56" s="192">
        <f t="shared" si="2"/>
        <v>174138.99237836243</v>
      </c>
      <c r="N56" s="192">
        <f t="shared" si="3"/>
        <v>16264245.367278842</v>
      </c>
      <c r="P56" s="14">
        <v>47</v>
      </c>
      <c r="Q56" s="15">
        <f t="shared" si="4"/>
        <v>207388.93977668087</v>
      </c>
      <c r="R56" s="15">
        <f t="shared" si="5"/>
        <v>91622.158045329503</v>
      </c>
      <c r="S56" s="15">
        <f t="shared" si="6"/>
        <v>115766.78173135137</v>
      </c>
      <c r="T56" s="15">
        <f t="shared" si="8"/>
        <v>15239307.411067242</v>
      </c>
    </row>
    <row r="57" spans="10:20" x14ac:dyDescent="0.35">
      <c r="J57" s="191">
        <v>48</v>
      </c>
      <c r="K57" s="192">
        <f t="shared" si="0"/>
        <v>279904.05230820633</v>
      </c>
      <c r="L57" s="192">
        <f t="shared" si="1"/>
        <v>104644.64440955587</v>
      </c>
      <c r="M57" s="192">
        <f t="shared" si="2"/>
        <v>175259.40789865045</v>
      </c>
      <c r="N57" s="192">
        <f t="shared" si="3"/>
        <v>16088985.959380193</v>
      </c>
      <c r="P57" s="14">
        <v>48</v>
      </c>
      <c r="Q57" s="15">
        <f t="shared" si="4"/>
        <v>207388.93977668087</v>
      </c>
      <c r="R57" s="15">
        <f t="shared" si="5"/>
        <v>90931.389492927221</v>
      </c>
      <c r="S57" s="15">
        <f t="shared" si="6"/>
        <v>116457.55028375365</v>
      </c>
      <c r="T57" s="15">
        <f t="shared" si="8"/>
        <v>15122849.860783488</v>
      </c>
    </row>
    <row r="58" spans="10:20" x14ac:dyDescent="0.35">
      <c r="J58" s="191">
        <v>49</v>
      </c>
      <c r="K58" s="192">
        <f t="shared" si="0"/>
        <v>279904.05230820633</v>
      </c>
      <c r="L58" s="192">
        <f t="shared" si="1"/>
        <v>103517.02010207459</v>
      </c>
      <c r="M58" s="192">
        <f t="shared" si="2"/>
        <v>176387.03220613173</v>
      </c>
      <c r="N58" s="192">
        <f t="shared" si="3"/>
        <v>15912598.927174062</v>
      </c>
      <c r="P58" s="14">
        <v>49</v>
      </c>
      <c r="Q58" s="15">
        <f t="shared" si="4"/>
        <v>207388.93977668087</v>
      </c>
      <c r="R58" s="15">
        <f t="shared" si="5"/>
        <v>90236.499195186145</v>
      </c>
      <c r="S58" s="15">
        <f t="shared" si="6"/>
        <v>117152.44058149472</v>
      </c>
      <c r="T58" s="15">
        <f t="shared" si="8"/>
        <v>15005697.420201993</v>
      </c>
    </row>
    <row r="59" spans="10:20" x14ac:dyDescent="0.35">
      <c r="J59" s="191">
        <v>50</v>
      </c>
      <c r="K59" s="192">
        <f t="shared" si="0"/>
        <v>279904.05230820633</v>
      </c>
      <c r="L59" s="192">
        <f t="shared" si="1"/>
        <v>102382.14062584619</v>
      </c>
      <c r="M59" s="192">
        <f t="shared" si="2"/>
        <v>177521.91168236014</v>
      </c>
      <c r="N59" s="192">
        <f t="shared" si="3"/>
        <v>15735077.015491702</v>
      </c>
      <c r="P59" s="14">
        <v>50</v>
      </c>
      <c r="Q59" s="15">
        <f t="shared" si="4"/>
        <v>207388.93977668087</v>
      </c>
      <c r="R59" s="15">
        <f t="shared" si="5"/>
        <v>89537.462558073195</v>
      </c>
      <c r="S59" s="15">
        <f t="shared" si="6"/>
        <v>117851.47721860767</v>
      </c>
      <c r="T59" s="15">
        <f t="shared" si="8"/>
        <v>14887845.942983385</v>
      </c>
    </row>
    <row r="60" spans="10:20" x14ac:dyDescent="0.35">
      <c r="J60" s="191">
        <v>51</v>
      </c>
      <c r="K60" s="192">
        <f t="shared" si="0"/>
        <v>279904.05230820633</v>
      </c>
      <c r="L60" s="192">
        <f t="shared" si="1"/>
        <v>101239.95930089652</v>
      </c>
      <c r="M60" s="192">
        <f t="shared" si="2"/>
        <v>178664.09300730983</v>
      </c>
      <c r="N60" s="192">
        <f t="shared" si="3"/>
        <v>15556412.922484392</v>
      </c>
      <c r="P60" s="14">
        <v>51</v>
      </c>
      <c r="Q60" s="15">
        <f t="shared" si="4"/>
        <v>207388.93977668087</v>
      </c>
      <c r="R60" s="15">
        <f t="shared" si="5"/>
        <v>88834.254840805195</v>
      </c>
      <c r="S60" s="15">
        <f t="shared" si="6"/>
        <v>118554.68493587567</v>
      </c>
      <c r="T60" s="15">
        <f t="shared" si="8"/>
        <v>14769291.25804751</v>
      </c>
    </row>
    <row r="61" spans="10:20" x14ac:dyDescent="0.35">
      <c r="J61" s="191">
        <v>52</v>
      </c>
      <c r="K61" s="192">
        <f t="shared" si="0"/>
        <v>279904.05230820633</v>
      </c>
      <c r="L61" s="192">
        <f t="shared" si="1"/>
        <v>100090.42914691103</v>
      </c>
      <c r="M61" s="192">
        <f t="shared" si="2"/>
        <v>179813.62316129531</v>
      </c>
      <c r="N61" s="192">
        <f t="shared" si="3"/>
        <v>15376599.299323097</v>
      </c>
      <c r="P61" s="14">
        <v>52</v>
      </c>
      <c r="Q61" s="15">
        <f t="shared" si="4"/>
        <v>207388.93977668087</v>
      </c>
      <c r="R61" s="15">
        <f t="shared" si="5"/>
        <v>88126.851154973221</v>
      </c>
      <c r="S61" s="15">
        <f t="shared" si="6"/>
        <v>119262.08862170765</v>
      </c>
      <c r="T61" s="15">
        <f t="shared" si="8"/>
        <v>14650029.169425802</v>
      </c>
    </row>
    <row r="62" spans="10:20" x14ac:dyDescent="0.35">
      <c r="J62" s="191">
        <v>53</v>
      </c>
      <c r="K62" s="192">
        <f t="shared" si="0"/>
        <v>279904.05230820633</v>
      </c>
      <c r="L62" s="192">
        <f t="shared" si="1"/>
        <v>98933.502881302455</v>
      </c>
      <c r="M62" s="192">
        <f t="shared" si="2"/>
        <v>180970.54942690389</v>
      </c>
      <c r="N62" s="192">
        <f t="shared" si="3"/>
        <v>15195628.749896193</v>
      </c>
      <c r="P62" s="14">
        <v>53</v>
      </c>
      <c r="Q62" s="15">
        <f t="shared" si="4"/>
        <v>207388.93977668087</v>
      </c>
      <c r="R62" s="15">
        <f t="shared" si="5"/>
        <v>87415.226463661806</v>
      </c>
      <c r="S62" s="15">
        <f t="shared" si="6"/>
        <v>119973.71331301906</v>
      </c>
      <c r="T62" s="15">
        <f t="shared" si="8"/>
        <v>14530055.456112783</v>
      </c>
    </row>
    <row r="63" spans="10:20" x14ac:dyDescent="0.35">
      <c r="J63" s="191">
        <v>54</v>
      </c>
      <c r="K63" s="192">
        <f t="shared" si="0"/>
        <v>279904.05230820633</v>
      </c>
      <c r="L63" s="192">
        <f t="shared" si="1"/>
        <v>97769.132917265888</v>
      </c>
      <c r="M63" s="192">
        <f t="shared" si="2"/>
        <v>182134.91939094046</v>
      </c>
      <c r="N63" s="192">
        <f t="shared" si="3"/>
        <v>15013493.830505252</v>
      </c>
      <c r="P63" s="14">
        <v>54</v>
      </c>
      <c r="Q63" s="15">
        <f t="shared" si="4"/>
        <v>207388.93977668087</v>
      </c>
      <c r="R63" s="15">
        <f t="shared" si="5"/>
        <v>86699.35558056274</v>
      </c>
      <c r="S63" s="15">
        <f t="shared" si="6"/>
        <v>120689.58419611813</v>
      </c>
      <c r="T63" s="15">
        <f t="shared" si="8"/>
        <v>14409365.871916665</v>
      </c>
    </row>
    <row r="64" spans="10:20" x14ac:dyDescent="0.35">
      <c r="J64" s="191">
        <v>55</v>
      </c>
      <c r="K64" s="192">
        <f t="shared" si="0"/>
        <v>279904.05230820633</v>
      </c>
      <c r="L64" s="192">
        <f t="shared" si="1"/>
        <v>96597.271361821535</v>
      </c>
      <c r="M64" s="192">
        <f t="shared" si="2"/>
        <v>183306.7809463848</v>
      </c>
      <c r="N64" s="192">
        <f t="shared" si="3"/>
        <v>14830187.049558867</v>
      </c>
      <c r="P64" s="14">
        <v>55</v>
      </c>
      <c r="Q64" s="15">
        <f t="shared" si="4"/>
        <v>207388.93977668087</v>
      </c>
      <c r="R64" s="15">
        <f t="shared" si="5"/>
        <v>85979.213169083683</v>
      </c>
      <c r="S64" s="15">
        <f t="shared" si="6"/>
        <v>121409.72660759719</v>
      </c>
      <c r="T64" s="15">
        <f t="shared" si="8"/>
        <v>14287956.145309068</v>
      </c>
    </row>
    <row r="65" spans="10:20" x14ac:dyDescent="0.35">
      <c r="J65" s="191">
        <v>56</v>
      </c>
      <c r="K65" s="192">
        <f t="shared" si="0"/>
        <v>279904.05230820633</v>
      </c>
      <c r="L65" s="192">
        <f t="shared" si="1"/>
        <v>95417.870013844687</v>
      </c>
      <c r="M65" s="192">
        <f t="shared" si="2"/>
        <v>184486.18229436164</v>
      </c>
      <c r="N65" s="192">
        <f t="shared" si="3"/>
        <v>14645700.867264505</v>
      </c>
      <c r="P65" s="14">
        <v>56</v>
      </c>
      <c r="Q65" s="15">
        <f t="shared" si="4"/>
        <v>207388.93977668087</v>
      </c>
      <c r="R65" s="15">
        <f t="shared" si="5"/>
        <v>85254.773741451441</v>
      </c>
      <c r="S65" s="15">
        <f t="shared" si="6"/>
        <v>122134.16603522943</v>
      </c>
      <c r="T65" s="15">
        <f t="shared" si="8"/>
        <v>14165821.979273839</v>
      </c>
    </row>
    <row r="66" spans="10:20" x14ac:dyDescent="0.35">
      <c r="J66" s="191">
        <v>57</v>
      </c>
      <c r="K66" s="192">
        <f t="shared" si="0"/>
        <v>279904.05230820633</v>
      </c>
      <c r="L66" s="192">
        <f t="shared" si="1"/>
        <v>94230.880362083175</v>
      </c>
      <c r="M66" s="192">
        <f t="shared" si="2"/>
        <v>185673.17194612316</v>
      </c>
      <c r="N66" s="192">
        <f t="shared" si="3"/>
        <v>14460027.695318382</v>
      </c>
      <c r="P66" s="14">
        <v>57</v>
      </c>
      <c r="Q66" s="15">
        <f t="shared" si="4"/>
        <v>207388.93977668087</v>
      </c>
      <c r="R66" s="15">
        <f t="shared" si="5"/>
        <v>84526.011657809911</v>
      </c>
      <c r="S66" s="15">
        <f t="shared" si="6"/>
        <v>122862.92811887096</v>
      </c>
      <c r="T66" s="15">
        <f t="shared" si="8"/>
        <v>14042959.051154967</v>
      </c>
    </row>
    <row r="67" spans="10:20" x14ac:dyDescent="0.35">
      <c r="J67" s="191">
        <v>58</v>
      </c>
      <c r="K67" s="192">
        <f t="shared" si="0"/>
        <v>279904.05230820633</v>
      </c>
      <c r="L67" s="192">
        <f t="shared" si="1"/>
        <v>93036.253583161975</v>
      </c>
      <c r="M67" s="192">
        <f t="shared" si="2"/>
        <v>186867.79872504435</v>
      </c>
      <c r="N67" s="192">
        <f t="shared" si="3"/>
        <v>14273159.896593338</v>
      </c>
      <c r="P67" s="14">
        <v>58</v>
      </c>
      <c r="Q67" s="15">
        <f t="shared" si="4"/>
        <v>207388.93977668087</v>
      </c>
      <c r="R67" s="15">
        <f t="shared" si="5"/>
        <v>83792.901125312535</v>
      </c>
      <c r="S67" s="15">
        <f t="shared" si="6"/>
        <v>123596.03865136833</v>
      </c>
      <c r="T67" s="15">
        <f t="shared" si="8"/>
        <v>13919363.0125036</v>
      </c>
    </row>
    <row r="68" spans="10:20" x14ac:dyDescent="0.35">
      <c r="J68" s="191">
        <v>59</v>
      </c>
      <c r="K68" s="192">
        <f t="shared" si="0"/>
        <v>279904.05230820633</v>
      </c>
      <c r="L68" s="192">
        <f t="shared" si="1"/>
        <v>91833.940539574978</v>
      </c>
      <c r="M68" s="192">
        <f t="shared" si="2"/>
        <v>188070.11176863135</v>
      </c>
      <c r="N68" s="192">
        <f t="shared" si="3"/>
        <v>14085089.784824707</v>
      </c>
      <c r="P68" s="14">
        <v>59</v>
      </c>
      <c r="Q68" s="15">
        <f t="shared" si="4"/>
        <v>207388.93977668087</v>
      </c>
      <c r="R68" s="15">
        <f t="shared" si="5"/>
        <v>83055.416197209546</v>
      </c>
      <c r="S68" s="15">
        <f t="shared" si="6"/>
        <v>124333.52357947132</v>
      </c>
      <c r="T68" s="15">
        <f t="shared" si="8"/>
        <v>13795029.488924129</v>
      </c>
    </row>
    <row r="69" spans="10:20" x14ac:dyDescent="0.35">
      <c r="J69" s="191">
        <v>60</v>
      </c>
      <c r="K69" s="192">
        <f t="shared" si="0"/>
        <v>279904.05230820633</v>
      </c>
      <c r="L69" s="192">
        <f t="shared" si="1"/>
        <v>90623.891777663899</v>
      </c>
      <c r="M69" s="192">
        <f t="shared" si="2"/>
        <v>189280.16053054243</v>
      </c>
      <c r="N69" s="192">
        <f t="shared" si="3"/>
        <v>13895809.624294164</v>
      </c>
      <c r="P69" s="14">
        <v>60</v>
      </c>
      <c r="Q69" s="15">
        <f t="shared" si="4"/>
        <v>207388.93977668087</v>
      </c>
      <c r="R69" s="15">
        <f t="shared" si="5"/>
        <v>82313.530771929494</v>
      </c>
      <c r="S69" s="15">
        <f t="shared" si="6"/>
        <v>125075.40900475137</v>
      </c>
      <c r="T69" s="15">
        <f t="shared" si="8"/>
        <v>13669954.079919377</v>
      </c>
    </row>
    <row r="70" spans="10:20" x14ac:dyDescent="0.35">
      <c r="J70" s="191">
        <v>61</v>
      </c>
      <c r="K70" s="192">
        <f t="shared" si="0"/>
        <v>279904.05230820633</v>
      </c>
      <c r="L70" s="192">
        <f t="shared" si="1"/>
        <v>89406.057525584096</v>
      </c>
      <c r="M70" s="192">
        <f t="shared" si="2"/>
        <v>190497.99478262223</v>
      </c>
      <c r="N70" s="192">
        <f t="shared" si="3"/>
        <v>13705311.629511541</v>
      </c>
      <c r="P70" s="14">
        <v>61</v>
      </c>
      <c r="Q70" s="15">
        <f t="shared" si="4"/>
        <v>207388.93977668087</v>
      </c>
      <c r="R70" s="15">
        <f t="shared" si="5"/>
        <v>81567.218592155594</v>
      </c>
      <c r="S70" s="15">
        <f t="shared" si="6"/>
        <v>125821.72118452528</v>
      </c>
      <c r="T70" s="15">
        <f t="shared" si="8"/>
        <v>13544132.358734852</v>
      </c>
    </row>
    <row r="71" spans="10:20" x14ac:dyDescent="0.35">
      <c r="J71" s="191">
        <v>62</v>
      </c>
      <c r="K71" s="192">
        <f t="shared" si="0"/>
        <v>279904.05230820633</v>
      </c>
      <c r="L71" s="192">
        <f t="shared" si="1"/>
        <v>88180.387691257434</v>
      </c>
      <c r="M71" s="192">
        <f t="shared" si="2"/>
        <v>191723.6646169489</v>
      </c>
      <c r="N71" s="192">
        <f t="shared" si="3"/>
        <v>13513587.964894593</v>
      </c>
      <c r="P71" s="14">
        <v>62</v>
      </c>
      <c r="Q71" s="15">
        <f t="shared" si="4"/>
        <v>207388.93977668087</v>
      </c>
      <c r="R71" s="15">
        <f t="shared" si="5"/>
        <v>80816.453243896278</v>
      </c>
      <c r="S71" s="15">
        <f t="shared" si="6"/>
        <v>126572.48653278459</v>
      </c>
      <c r="T71" s="15">
        <f t="shared" si="8"/>
        <v>13417559.872202067</v>
      </c>
    </row>
    <row r="72" spans="10:20" x14ac:dyDescent="0.35">
      <c r="J72" s="191">
        <v>63</v>
      </c>
      <c r="K72" s="192">
        <f t="shared" si="0"/>
        <v>279904.05230820633</v>
      </c>
      <c r="L72" s="192">
        <f t="shared" si="1"/>
        <v>86946.831860311795</v>
      </c>
      <c r="M72" s="192">
        <f t="shared" si="2"/>
        <v>192957.22044789454</v>
      </c>
      <c r="N72" s="192">
        <f t="shared" si="3"/>
        <v>13320630.744446699</v>
      </c>
      <c r="P72" s="14">
        <v>63</v>
      </c>
      <c r="Q72" s="15">
        <f t="shared" si="4"/>
        <v>207388.93977668087</v>
      </c>
      <c r="R72" s="15">
        <f t="shared" si="5"/>
        <v>80061.208155550441</v>
      </c>
      <c r="S72" s="15">
        <f t="shared" si="6"/>
        <v>127327.73162113043</v>
      </c>
      <c r="T72" s="15">
        <f t="shared" si="8"/>
        <v>13290232.140580935</v>
      </c>
    </row>
    <row r="73" spans="10:20" x14ac:dyDescent="0.35">
      <c r="J73" s="191">
        <v>64</v>
      </c>
      <c r="K73" s="192">
        <f t="shared" si="0"/>
        <v>279904.05230820633</v>
      </c>
      <c r="L73" s="192">
        <f t="shared" si="1"/>
        <v>85705.33929400747</v>
      </c>
      <c r="M73" s="192">
        <f t="shared" si="2"/>
        <v>194198.71301419887</v>
      </c>
      <c r="N73" s="192">
        <f t="shared" si="3"/>
        <v>13126432.0314325</v>
      </c>
      <c r="P73" s="14">
        <v>64</v>
      </c>
      <c r="Q73" s="15">
        <f t="shared" si="4"/>
        <v>207388.93977668087</v>
      </c>
      <c r="R73" s="15">
        <f t="shared" si="5"/>
        <v>79301.456596966906</v>
      </c>
      <c r="S73" s="15">
        <f t="shared" si="6"/>
        <v>128087.48317971396</v>
      </c>
      <c r="T73" s="15">
        <f t="shared" si="8"/>
        <v>13162144.657401221</v>
      </c>
    </row>
    <row r="74" spans="10:20" x14ac:dyDescent="0.35">
      <c r="J74" s="191">
        <v>65</v>
      </c>
      <c r="K74" s="192">
        <f t="shared" si="0"/>
        <v>279904.05230820633</v>
      </c>
      <c r="L74" s="192">
        <f t="shared" si="1"/>
        <v>84455.858927150199</v>
      </c>
      <c r="M74" s="192">
        <f t="shared" si="2"/>
        <v>195448.19338105613</v>
      </c>
      <c r="N74" s="192">
        <f t="shared" si="3"/>
        <v>12930983.838051444</v>
      </c>
      <c r="P74" s="14">
        <v>65</v>
      </c>
      <c r="Q74" s="15">
        <f t="shared" si="4"/>
        <v>207388.93977668087</v>
      </c>
      <c r="R74" s="15">
        <f t="shared" si="5"/>
        <v>78537.171678498431</v>
      </c>
      <c r="S74" s="15">
        <f t="shared" si="6"/>
        <v>128851.76809818244</v>
      </c>
      <c r="T74" s="15">
        <f t="shared" si="8"/>
        <v>13033292.889303038</v>
      </c>
    </row>
    <row r="75" spans="10:20" x14ac:dyDescent="0.35">
      <c r="J75" s="191">
        <v>66</v>
      </c>
      <c r="K75" s="192">
        <f t="shared" ref="K75:K129" si="9">IF(J75&gt;24,$K$7,L75)</f>
        <v>279904.05230820633</v>
      </c>
      <c r="L75" s="192">
        <f t="shared" ref="L75:L129" si="10">N74*$K$6</f>
        <v>83198.339365990716</v>
      </c>
      <c r="M75" s="192">
        <f t="shared" ref="M75:M129" si="11">K75-L75</f>
        <v>196705.71294221561</v>
      </c>
      <c r="N75" s="192">
        <f t="shared" ref="N75:N129" si="12">N74-M75</f>
        <v>12734278.125109229</v>
      </c>
      <c r="P75" s="14">
        <v>66</v>
      </c>
      <c r="Q75" s="15">
        <f t="shared" ref="Q75:Q138" si="13">$Q$7</f>
        <v>207388.93977668087</v>
      </c>
      <c r="R75" s="15">
        <f t="shared" ref="R75:R138" si="14">T74*$Q$6</f>
        <v>77768.326350050032</v>
      </c>
      <c r="S75" s="15">
        <f t="shared" ref="S75:S138" si="15">Q75-R75</f>
        <v>129620.61342663084</v>
      </c>
      <c r="T75" s="15">
        <f t="shared" si="8"/>
        <v>12903672.275876407</v>
      </c>
    </row>
    <row r="76" spans="10:20" x14ac:dyDescent="0.35">
      <c r="J76" s="191">
        <v>67</v>
      </c>
      <c r="K76" s="192">
        <f t="shared" si="9"/>
        <v>279904.05230820633</v>
      </c>
      <c r="L76" s="192">
        <f t="shared" si="10"/>
        <v>81932.72888611081</v>
      </c>
      <c r="M76" s="192">
        <f t="shared" si="11"/>
        <v>197971.32342209551</v>
      </c>
      <c r="N76" s="192">
        <f t="shared" si="12"/>
        <v>12536306.801687134</v>
      </c>
      <c r="P76" s="14">
        <v>67</v>
      </c>
      <c r="Q76" s="15">
        <f t="shared" si="13"/>
        <v>207388.93977668087</v>
      </c>
      <c r="R76" s="15">
        <f t="shared" si="14"/>
        <v>76994.893400121524</v>
      </c>
      <c r="S76" s="15">
        <f t="shared" si="15"/>
        <v>130394.04637655934</v>
      </c>
      <c r="T76" s="15">
        <f t="shared" si="8"/>
        <v>12773278.229499847</v>
      </c>
    </row>
    <row r="77" spans="10:20" x14ac:dyDescent="0.35">
      <c r="J77" s="191">
        <v>68</v>
      </c>
      <c r="K77" s="192">
        <f t="shared" si="9"/>
        <v>279904.05230820633</v>
      </c>
      <c r="L77" s="192">
        <f t="shared" si="10"/>
        <v>80658.975430295832</v>
      </c>
      <c r="M77" s="192">
        <f t="shared" si="11"/>
        <v>199245.0768779105</v>
      </c>
      <c r="N77" s="192">
        <f t="shared" si="12"/>
        <v>12337061.724809224</v>
      </c>
      <c r="P77" s="14">
        <v>68</v>
      </c>
      <c r="Q77" s="15">
        <f t="shared" si="13"/>
        <v>207388.93977668087</v>
      </c>
      <c r="R77" s="15">
        <f t="shared" si="14"/>
        <v>76216.845454844501</v>
      </c>
      <c r="S77" s="15">
        <f t="shared" si="15"/>
        <v>131172.09432183637</v>
      </c>
      <c r="T77" s="15">
        <f t="shared" si="8"/>
        <v>12642106.135178011</v>
      </c>
    </row>
    <row r="78" spans="10:20" x14ac:dyDescent="0.35">
      <c r="J78" s="191">
        <v>69</v>
      </c>
      <c r="K78" s="192">
        <f t="shared" si="9"/>
        <v>279904.05230820633</v>
      </c>
      <c r="L78" s="192">
        <f t="shared" si="10"/>
        <v>79377.026606393396</v>
      </c>
      <c r="M78" s="192">
        <f t="shared" si="11"/>
        <v>200527.02570181293</v>
      </c>
      <c r="N78" s="192">
        <f t="shared" si="12"/>
        <v>12136534.69910741</v>
      </c>
      <c r="P78" s="14">
        <v>69</v>
      </c>
      <c r="Q78" s="15">
        <f t="shared" si="13"/>
        <v>207388.93977668087</v>
      </c>
      <c r="R78" s="15">
        <f t="shared" si="14"/>
        <v>75434.154977013488</v>
      </c>
      <c r="S78" s="15">
        <f t="shared" si="15"/>
        <v>131954.78479966737</v>
      </c>
      <c r="T78" s="15">
        <f t="shared" si="8"/>
        <v>12510151.350378344</v>
      </c>
    </row>
    <row r="79" spans="10:20" x14ac:dyDescent="0.35">
      <c r="J79" s="191">
        <v>70</v>
      </c>
      <c r="K79" s="192">
        <f t="shared" si="9"/>
        <v>279904.05230820633</v>
      </c>
      <c r="L79" s="192">
        <f t="shared" si="10"/>
        <v>78086.829685158504</v>
      </c>
      <c r="M79" s="192">
        <f t="shared" si="11"/>
        <v>201817.22262304783</v>
      </c>
      <c r="N79" s="192">
        <f t="shared" si="12"/>
        <v>11934717.476484362</v>
      </c>
      <c r="P79" s="14">
        <v>70</v>
      </c>
      <c r="Q79" s="15">
        <f t="shared" si="13"/>
        <v>207388.93977668087</v>
      </c>
      <c r="R79" s="15">
        <f t="shared" si="14"/>
        <v>74646.794265111312</v>
      </c>
      <c r="S79" s="15">
        <f t="shared" si="15"/>
        <v>132742.14551156957</v>
      </c>
      <c r="T79" s="15">
        <f t="shared" si="8"/>
        <v>12377409.204866774</v>
      </c>
    </row>
    <row r="80" spans="10:20" x14ac:dyDescent="0.35">
      <c r="J80" s="191">
        <v>71</v>
      </c>
      <c r="K80" s="192">
        <f t="shared" si="9"/>
        <v>279904.05230820633</v>
      </c>
      <c r="L80" s="192">
        <f t="shared" si="10"/>
        <v>76788.331598084536</v>
      </c>
      <c r="M80" s="192">
        <f t="shared" si="11"/>
        <v>203115.72071012179</v>
      </c>
      <c r="N80" s="192">
        <f t="shared" si="12"/>
        <v>11731601.755774241</v>
      </c>
      <c r="P80" s="14">
        <v>71</v>
      </c>
      <c r="Q80" s="15">
        <f t="shared" si="13"/>
        <v>207388.93977668087</v>
      </c>
      <c r="R80" s="15">
        <f t="shared" si="14"/>
        <v>73854.735452328692</v>
      </c>
      <c r="S80" s="15">
        <f t="shared" si="15"/>
        <v>133534.20432435218</v>
      </c>
      <c r="T80" s="15">
        <f t="shared" si="8"/>
        <v>12243875.000542423</v>
      </c>
    </row>
    <row r="81" spans="10:20" x14ac:dyDescent="0.35">
      <c r="J81" s="191">
        <v>72</v>
      </c>
      <c r="K81" s="192">
        <f t="shared" si="9"/>
        <v>279904.05230820633</v>
      </c>
      <c r="L81" s="192">
        <f t="shared" si="10"/>
        <v>75481.47893522057</v>
      </c>
      <c r="M81" s="192">
        <f t="shared" si="11"/>
        <v>204422.57337298576</v>
      </c>
      <c r="N81" s="192">
        <f t="shared" si="12"/>
        <v>11527179.182401255</v>
      </c>
      <c r="P81" s="14">
        <v>72</v>
      </c>
      <c r="Q81" s="15">
        <f t="shared" si="13"/>
        <v>207388.93977668087</v>
      </c>
      <c r="R81" s="15">
        <f t="shared" si="14"/>
        <v>73057.95050557793</v>
      </c>
      <c r="S81" s="15">
        <f t="shared" si="15"/>
        <v>134330.98927110294</v>
      </c>
      <c r="T81" s="15">
        <f t="shared" si="8"/>
        <v>12109544.01127132</v>
      </c>
    </row>
    <row r="82" spans="10:20" x14ac:dyDescent="0.35">
      <c r="J82" s="191">
        <v>73</v>
      </c>
      <c r="K82" s="192">
        <f t="shared" si="9"/>
        <v>279904.05230820633</v>
      </c>
      <c r="L82" s="192">
        <f t="shared" si="10"/>
        <v>74166.217942974399</v>
      </c>
      <c r="M82" s="192">
        <f t="shared" si="11"/>
        <v>205737.83436523192</v>
      </c>
      <c r="N82" s="192">
        <f t="shared" si="12"/>
        <v>11321441.348036023</v>
      </c>
      <c r="P82" s="14">
        <v>73</v>
      </c>
      <c r="Q82" s="15">
        <f t="shared" si="13"/>
        <v>207388.93977668087</v>
      </c>
      <c r="R82" s="15">
        <f t="shared" si="14"/>
        <v>72256.411224500756</v>
      </c>
      <c r="S82" s="15">
        <f t="shared" si="15"/>
        <v>135132.5285521801</v>
      </c>
      <c r="T82" s="15">
        <f t="shared" si="8"/>
        <v>11974411.48271914</v>
      </c>
    </row>
    <row r="83" spans="10:20" x14ac:dyDescent="0.35">
      <c r="J83" s="191">
        <v>74</v>
      </c>
      <c r="K83" s="192">
        <f t="shared" si="9"/>
        <v>279904.05230820633</v>
      </c>
      <c r="L83" s="192">
        <f t="shared" si="10"/>
        <v>72842.494521901594</v>
      </c>
      <c r="M83" s="192">
        <f t="shared" si="11"/>
        <v>207061.55778630474</v>
      </c>
      <c r="N83" s="192">
        <f t="shared" si="12"/>
        <v>11114379.790249718</v>
      </c>
      <c r="P83" s="14">
        <v>74</v>
      </c>
      <c r="Q83" s="15">
        <f t="shared" si="13"/>
        <v>207388.93977668087</v>
      </c>
      <c r="R83" s="15">
        <f t="shared" si="14"/>
        <v>71450.089240470261</v>
      </c>
      <c r="S83" s="15">
        <f t="shared" si="15"/>
        <v>135938.85053621061</v>
      </c>
      <c r="T83" s="15">
        <f t="shared" si="8"/>
        <v>11838472.63218293</v>
      </c>
    </row>
    <row r="84" spans="10:20" x14ac:dyDescent="0.35">
      <c r="J84" s="191">
        <v>75</v>
      </c>
      <c r="K84" s="192">
        <f t="shared" si="9"/>
        <v>279904.05230820633</v>
      </c>
      <c r="L84" s="192">
        <f t="shared" si="10"/>
        <v>71510.254224480304</v>
      </c>
      <c r="M84" s="192">
        <f t="shared" si="11"/>
        <v>208393.79808372603</v>
      </c>
      <c r="N84" s="192">
        <f t="shared" si="12"/>
        <v>10905985.992165992</v>
      </c>
      <c r="P84" s="14">
        <v>75</v>
      </c>
      <c r="Q84" s="15">
        <f t="shared" si="13"/>
        <v>207388.93977668087</v>
      </c>
      <c r="R84" s="15">
        <f t="shared" si="14"/>
        <v>70638.956015586824</v>
      </c>
      <c r="S84" s="15">
        <f t="shared" si="15"/>
        <v>136749.98376109404</v>
      </c>
      <c r="T84" s="15">
        <f t="shared" si="8"/>
        <v>11701722.648421835</v>
      </c>
    </row>
    <row r="85" spans="10:20" x14ac:dyDescent="0.35">
      <c r="J85" s="191">
        <v>76</v>
      </c>
      <c r="K85" s="192">
        <f t="shared" si="9"/>
        <v>279904.05230820633</v>
      </c>
      <c r="L85" s="192">
        <f t="shared" si="10"/>
        <v>70169.442252871624</v>
      </c>
      <c r="M85" s="192">
        <f t="shared" si="11"/>
        <v>209734.61005533469</v>
      </c>
      <c r="N85" s="192">
        <f t="shared" si="12"/>
        <v>10696251.382110657</v>
      </c>
      <c r="P85" s="14">
        <v>76</v>
      </c>
      <c r="Q85" s="15">
        <f t="shared" si="13"/>
        <v>207388.93977668087</v>
      </c>
      <c r="R85" s="15">
        <f t="shared" si="14"/>
        <v>69822.982841668112</v>
      </c>
      <c r="S85" s="15">
        <f t="shared" si="15"/>
        <v>137565.95693501277</v>
      </c>
      <c r="T85" s="15">
        <f t="shared" si="8"/>
        <v>11564156.691486822</v>
      </c>
    </row>
    <row r="86" spans="10:20" x14ac:dyDescent="0.35">
      <c r="J86" s="191">
        <v>77</v>
      </c>
      <c r="K86" s="192">
        <f t="shared" si="9"/>
        <v>279904.05230820633</v>
      </c>
      <c r="L86" s="192">
        <f t="shared" si="10"/>
        <v>68820.00345666577</v>
      </c>
      <c r="M86" s="192">
        <f t="shared" si="11"/>
        <v>211084.04885154055</v>
      </c>
      <c r="N86" s="192">
        <f t="shared" si="12"/>
        <v>10485167.333259117</v>
      </c>
      <c r="P86" s="14">
        <v>77</v>
      </c>
      <c r="Q86" s="15">
        <f t="shared" si="13"/>
        <v>207388.93977668087</v>
      </c>
      <c r="R86" s="15">
        <f t="shared" si="14"/>
        <v>69002.14083923299</v>
      </c>
      <c r="S86" s="15">
        <f t="shared" si="15"/>
        <v>138386.79893744789</v>
      </c>
      <c r="T86" s="15">
        <f t="shared" si="8"/>
        <v>11425769.892549375</v>
      </c>
    </row>
    <row r="87" spans="10:20" x14ac:dyDescent="0.35">
      <c r="J87" s="191">
        <v>78</v>
      </c>
      <c r="K87" s="192">
        <f t="shared" si="9"/>
        <v>279904.05230820633</v>
      </c>
      <c r="L87" s="192">
        <f t="shared" si="10"/>
        <v>67461.882330613531</v>
      </c>
      <c r="M87" s="192">
        <f t="shared" si="11"/>
        <v>212442.1699775928</v>
      </c>
      <c r="N87" s="192">
        <f t="shared" si="12"/>
        <v>10272725.163281525</v>
      </c>
      <c r="P87" s="14">
        <v>78</v>
      </c>
      <c r="Q87" s="15">
        <f t="shared" si="13"/>
        <v>207388.93977668087</v>
      </c>
      <c r="R87" s="15">
        <f t="shared" si="14"/>
        <v>68176.400956479411</v>
      </c>
      <c r="S87" s="15">
        <f t="shared" si="15"/>
        <v>139212.53882020147</v>
      </c>
      <c r="T87" s="15">
        <f t="shared" si="8"/>
        <v>11286557.353729174</v>
      </c>
    </row>
    <row r="88" spans="10:20" x14ac:dyDescent="0.35">
      <c r="J88" s="191">
        <v>79</v>
      </c>
      <c r="K88" s="192">
        <f t="shared" si="9"/>
        <v>279904.05230820633</v>
      </c>
      <c r="L88" s="192">
        <f t="shared" si="10"/>
        <v>66095.023012343227</v>
      </c>
      <c r="M88" s="192">
        <f t="shared" si="11"/>
        <v>213809.02929586312</v>
      </c>
      <c r="N88" s="192">
        <f t="shared" si="12"/>
        <v>10058916.133985661</v>
      </c>
      <c r="P88" s="14">
        <v>79</v>
      </c>
      <c r="Q88" s="15">
        <f t="shared" si="13"/>
        <v>207388.93977668087</v>
      </c>
      <c r="R88" s="15">
        <f t="shared" si="14"/>
        <v>67345.733968256187</v>
      </c>
      <c r="S88" s="15">
        <f t="shared" si="15"/>
        <v>140043.20580842468</v>
      </c>
      <c r="T88" s="15">
        <f t="shared" si="8"/>
        <v>11146514.147920748</v>
      </c>
    </row>
    <row r="89" spans="10:20" x14ac:dyDescent="0.35">
      <c r="J89" s="191">
        <v>80</v>
      </c>
      <c r="K89" s="192">
        <f t="shared" si="9"/>
        <v>279904.05230820633</v>
      </c>
      <c r="L89" s="192">
        <f t="shared" si="10"/>
        <v>64719.369280063045</v>
      </c>
      <c r="M89" s="192">
        <f t="shared" si="11"/>
        <v>215184.68302814328</v>
      </c>
      <c r="N89" s="192">
        <f t="shared" si="12"/>
        <v>9843731.4509575181</v>
      </c>
      <c r="P89" s="14">
        <v>80</v>
      </c>
      <c r="Q89" s="15">
        <f t="shared" si="13"/>
        <v>207388.93977668087</v>
      </c>
      <c r="R89" s="15">
        <f t="shared" si="14"/>
        <v>66510.110475028661</v>
      </c>
      <c r="S89" s="15">
        <f t="shared" si="15"/>
        <v>140878.82930165221</v>
      </c>
      <c r="T89" s="15">
        <f t="shared" si="8"/>
        <v>11005635.318619097</v>
      </c>
    </row>
    <row r="90" spans="10:20" x14ac:dyDescent="0.35">
      <c r="J90" s="191">
        <v>81</v>
      </c>
      <c r="K90" s="192">
        <f t="shared" si="9"/>
        <v>279904.05230820633</v>
      </c>
      <c r="L90" s="192">
        <f t="shared" si="10"/>
        <v>63334.864550248429</v>
      </c>
      <c r="M90" s="192">
        <f t="shared" si="11"/>
        <v>216569.1877579579</v>
      </c>
      <c r="N90" s="192">
        <f t="shared" si="12"/>
        <v>9627162.2631995603</v>
      </c>
      <c r="P90" s="14">
        <v>81</v>
      </c>
      <c r="Q90" s="15">
        <f t="shared" si="13"/>
        <v>207388.93977668087</v>
      </c>
      <c r="R90" s="15">
        <f t="shared" si="14"/>
        <v>65669.500901838168</v>
      </c>
      <c r="S90" s="15">
        <f t="shared" si="15"/>
        <v>141719.43887484272</v>
      </c>
      <c r="T90" s="15">
        <f t="shared" si="8"/>
        <v>10863915.879744254</v>
      </c>
    </row>
    <row r="91" spans="10:20" x14ac:dyDescent="0.35">
      <c r="J91" s="191">
        <v>82</v>
      </c>
      <c r="K91" s="192">
        <f t="shared" si="9"/>
        <v>279904.05230820633</v>
      </c>
      <c r="L91" s="192">
        <f t="shared" si="10"/>
        <v>61941.451875314742</v>
      </c>
      <c r="M91" s="192">
        <f t="shared" si="11"/>
        <v>217962.60043289157</v>
      </c>
      <c r="N91" s="192">
        <f t="shared" si="12"/>
        <v>9409199.6627666689</v>
      </c>
      <c r="P91" s="14">
        <v>82</v>
      </c>
      <c r="Q91" s="15">
        <f t="shared" si="13"/>
        <v>207388.93977668087</v>
      </c>
      <c r="R91" s="15">
        <f t="shared" si="14"/>
        <v>64823.875497255234</v>
      </c>
      <c r="S91" s="15">
        <f t="shared" si="15"/>
        <v>142565.06427942563</v>
      </c>
      <c r="T91" s="15">
        <f t="shared" si="8"/>
        <v>10721350.815464828</v>
      </c>
    </row>
    <row r="92" spans="10:20" x14ac:dyDescent="0.35">
      <c r="J92" s="191">
        <v>83</v>
      </c>
      <c r="K92" s="192">
        <f t="shared" si="9"/>
        <v>279904.05230820633</v>
      </c>
      <c r="L92" s="192">
        <f t="shared" si="10"/>
        <v>60539.073941274874</v>
      </c>
      <c r="M92" s="192">
        <f t="shared" si="11"/>
        <v>219364.97836693146</v>
      </c>
      <c r="N92" s="192">
        <f t="shared" si="12"/>
        <v>9189834.684399737</v>
      </c>
      <c r="P92" s="14">
        <v>83</v>
      </c>
      <c r="Q92" s="15">
        <f t="shared" si="13"/>
        <v>207388.93977668087</v>
      </c>
      <c r="R92" s="15">
        <f t="shared" si="14"/>
        <v>63973.204332326692</v>
      </c>
      <c r="S92" s="15">
        <f t="shared" si="15"/>
        <v>143415.73544435418</v>
      </c>
      <c r="T92" s="15">
        <f t="shared" si="8"/>
        <v>10577935.080020474</v>
      </c>
    </row>
    <row r="93" spans="10:20" x14ac:dyDescent="0.35">
      <c r="J93" s="191">
        <v>84</v>
      </c>
      <c r="K93" s="192">
        <f t="shared" si="9"/>
        <v>279904.05230820633</v>
      </c>
      <c r="L93" s="192">
        <f t="shared" si="10"/>
        <v>59127.673065381779</v>
      </c>
      <c r="M93" s="192">
        <f t="shared" si="11"/>
        <v>220776.37924282457</v>
      </c>
      <c r="N93" s="192">
        <f t="shared" si="12"/>
        <v>8969058.3051569127</v>
      </c>
      <c r="P93" s="14">
        <v>84</v>
      </c>
      <c r="Q93" s="15">
        <f t="shared" si="13"/>
        <v>207388.93977668087</v>
      </c>
      <c r="R93" s="15">
        <f t="shared" si="14"/>
        <v>63117.457299516369</v>
      </c>
      <c r="S93" s="15">
        <f t="shared" si="15"/>
        <v>144271.48247716451</v>
      </c>
      <c r="T93" s="15">
        <f t="shared" si="8"/>
        <v>10433663.59754331</v>
      </c>
    </row>
    <row r="94" spans="10:20" x14ac:dyDescent="0.35">
      <c r="J94" s="191">
        <v>85</v>
      </c>
      <c r="K94" s="192">
        <f t="shared" si="9"/>
        <v>279904.05230820633</v>
      </c>
      <c r="L94" s="192">
        <f t="shared" si="10"/>
        <v>57707.191193755913</v>
      </c>
      <c r="M94" s="192">
        <f t="shared" si="11"/>
        <v>222196.86111445041</v>
      </c>
      <c r="N94" s="192">
        <f t="shared" si="12"/>
        <v>8746861.4440424629</v>
      </c>
      <c r="P94" s="14">
        <v>85</v>
      </c>
      <c r="Q94" s="15">
        <f t="shared" si="13"/>
        <v>207388.93977668087</v>
      </c>
      <c r="R94" s="15">
        <f t="shared" si="14"/>
        <v>62256.604111639492</v>
      </c>
      <c r="S94" s="15">
        <f t="shared" si="15"/>
        <v>145132.33566504138</v>
      </c>
      <c r="T94" s="15">
        <f t="shared" si="8"/>
        <v>10288531.261878269</v>
      </c>
    </row>
    <row r="95" spans="10:20" x14ac:dyDescent="0.35">
      <c r="J95" s="191">
        <v>86</v>
      </c>
      <c r="K95" s="192">
        <f t="shared" si="9"/>
        <v>279904.05230820633</v>
      </c>
      <c r="L95" s="192">
        <f t="shared" si="10"/>
        <v>56277.569898997288</v>
      </c>
      <c r="M95" s="192">
        <f t="shared" si="11"/>
        <v>223626.48240920904</v>
      </c>
      <c r="N95" s="192">
        <f t="shared" si="12"/>
        <v>8523234.9616332538</v>
      </c>
      <c r="P95" s="14">
        <v>86</v>
      </c>
      <c r="Q95" s="15">
        <f t="shared" si="13"/>
        <v>207388.93977668087</v>
      </c>
      <c r="R95" s="15">
        <f t="shared" si="14"/>
        <v>61390.61430079073</v>
      </c>
      <c r="S95" s="15">
        <f t="shared" si="15"/>
        <v>145998.32547589013</v>
      </c>
      <c r="T95" s="15">
        <f t="shared" si="8"/>
        <v>10142532.936402379</v>
      </c>
    </row>
    <row r="96" spans="10:20" x14ac:dyDescent="0.35">
      <c r="J96" s="191">
        <v>87</v>
      </c>
      <c r="K96" s="192">
        <f t="shared" si="9"/>
        <v>279904.05230820633</v>
      </c>
      <c r="L96" s="192">
        <f t="shared" si="10"/>
        <v>54838.750377782286</v>
      </c>
      <c r="M96" s="192">
        <f t="shared" si="11"/>
        <v>225065.30193042406</v>
      </c>
      <c r="N96" s="192">
        <f t="shared" si="12"/>
        <v>8298169.65970283</v>
      </c>
      <c r="P96" s="14">
        <v>87</v>
      </c>
      <c r="Q96" s="15">
        <f t="shared" si="13"/>
        <v>207388.93977668087</v>
      </c>
      <c r="R96" s="15">
        <f t="shared" si="14"/>
        <v>60519.457217265925</v>
      </c>
      <c r="S96" s="15">
        <f t="shared" si="15"/>
        <v>146869.48255941493</v>
      </c>
      <c r="T96" s="15">
        <f t="shared" si="8"/>
        <v>9995663.453842964</v>
      </c>
    </row>
    <row r="97" spans="10:20" x14ac:dyDescent="0.35">
      <c r="J97" s="191">
        <v>88</v>
      </c>
      <c r="K97" s="192">
        <f t="shared" si="9"/>
        <v>279904.05230820633</v>
      </c>
      <c r="L97" s="192">
        <f t="shared" si="10"/>
        <v>53390.673448444926</v>
      </c>
      <c r="M97" s="192">
        <f t="shared" si="11"/>
        <v>226513.3788597614</v>
      </c>
      <c r="N97" s="192">
        <f t="shared" si="12"/>
        <v>8071656.2808430688</v>
      </c>
      <c r="P97" s="14">
        <v>88</v>
      </c>
      <c r="Q97" s="15">
        <f t="shared" si="13"/>
        <v>207388.93977668087</v>
      </c>
      <c r="R97" s="15">
        <f t="shared" si="14"/>
        <v>59643.102028477231</v>
      </c>
      <c r="S97" s="15">
        <f t="shared" si="15"/>
        <v>147745.83774820363</v>
      </c>
      <c r="T97" s="15">
        <f t="shared" si="8"/>
        <v>9847917.6160947606</v>
      </c>
    </row>
    <row r="98" spans="10:20" x14ac:dyDescent="0.35">
      <c r="J98" s="191">
        <v>89</v>
      </c>
      <c r="K98" s="192">
        <f t="shared" si="9"/>
        <v>279904.05230820633</v>
      </c>
      <c r="L98" s="192">
        <f t="shared" si="10"/>
        <v>51933.27954854261</v>
      </c>
      <c r="M98" s="192">
        <f t="shared" si="11"/>
        <v>227970.77275966373</v>
      </c>
      <c r="N98" s="192">
        <f t="shared" si="12"/>
        <v>7843685.508083405</v>
      </c>
      <c r="P98" s="14">
        <v>89</v>
      </c>
      <c r="Q98" s="15">
        <f t="shared" si="13"/>
        <v>207388.93977668087</v>
      </c>
      <c r="R98" s="15">
        <f t="shared" si="14"/>
        <v>58761.517717861905</v>
      </c>
      <c r="S98" s="15">
        <f t="shared" si="15"/>
        <v>148627.42205881898</v>
      </c>
      <c r="T98" s="15">
        <f t="shared" si="8"/>
        <v>9699290.1940359417</v>
      </c>
    </row>
    <row r="99" spans="10:20" x14ac:dyDescent="0.35">
      <c r="J99" s="191">
        <v>90</v>
      </c>
      <c r="K99" s="192">
        <f t="shared" si="9"/>
        <v>279904.05230820633</v>
      </c>
      <c r="L99" s="192">
        <f t="shared" si="10"/>
        <v>50466.508732406182</v>
      </c>
      <c r="M99" s="192">
        <f t="shared" si="11"/>
        <v>229437.54357580014</v>
      </c>
      <c r="N99" s="192">
        <f t="shared" si="12"/>
        <v>7614247.9645076049</v>
      </c>
      <c r="P99" s="14">
        <v>90</v>
      </c>
      <c r="Q99" s="15">
        <f t="shared" si="13"/>
        <v>207388.93977668087</v>
      </c>
      <c r="R99" s="15">
        <f t="shared" si="14"/>
        <v>57874.673083784561</v>
      </c>
      <c r="S99" s="15">
        <f t="shared" si="15"/>
        <v>149514.26669289632</v>
      </c>
      <c r="T99" s="15">
        <f t="shared" ref="T99:T153" si="16">T98-S99</f>
        <v>9549775.9273430463</v>
      </c>
    </row>
    <row r="100" spans="10:20" x14ac:dyDescent="0.35">
      <c r="J100" s="191">
        <v>91</v>
      </c>
      <c r="K100" s="192">
        <f t="shared" si="9"/>
        <v>279904.05230820633</v>
      </c>
      <c r="L100" s="192">
        <f t="shared" si="10"/>
        <v>48990.300668674259</v>
      </c>
      <c r="M100" s="192">
        <f t="shared" si="11"/>
        <v>230913.75163953207</v>
      </c>
      <c r="N100" s="192">
        <f t="shared" si="12"/>
        <v>7383334.212868073</v>
      </c>
      <c r="P100" s="14">
        <v>91</v>
      </c>
      <c r="Q100" s="15">
        <f t="shared" si="13"/>
        <v>207388.93977668087</v>
      </c>
      <c r="R100" s="15">
        <f t="shared" si="14"/>
        <v>56982.536738432827</v>
      </c>
      <c r="S100" s="15">
        <f t="shared" si="15"/>
        <v>150406.40303824804</v>
      </c>
      <c r="T100" s="15">
        <f t="shared" si="16"/>
        <v>9399369.5243047979</v>
      </c>
    </row>
    <row r="101" spans="10:20" x14ac:dyDescent="0.35">
      <c r="J101" s="191">
        <v>92</v>
      </c>
      <c r="K101" s="192">
        <f t="shared" si="9"/>
        <v>279904.05230820633</v>
      </c>
      <c r="L101" s="192">
        <f t="shared" si="10"/>
        <v>47504.594637811657</v>
      </c>
      <c r="M101" s="192">
        <f t="shared" si="11"/>
        <v>232399.45767039468</v>
      </c>
      <c r="N101" s="192">
        <f t="shared" si="12"/>
        <v>7150934.7551976787</v>
      </c>
      <c r="P101" s="14">
        <v>92</v>
      </c>
      <c r="Q101" s="15">
        <f t="shared" si="13"/>
        <v>207388.93977668087</v>
      </c>
      <c r="R101" s="15">
        <f t="shared" si="14"/>
        <v>56085.077106706471</v>
      </c>
      <c r="S101" s="15">
        <f t="shared" si="15"/>
        <v>151303.86266997439</v>
      </c>
      <c r="T101" s="15">
        <f t="shared" si="16"/>
        <v>9248065.6616348233</v>
      </c>
    </row>
    <row r="102" spans="10:20" x14ac:dyDescent="0.35">
      <c r="J102" s="191">
        <v>93</v>
      </c>
      <c r="K102" s="192">
        <f t="shared" si="9"/>
        <v>279904.05230820633</v>
      </c>
      <c r="L102" s="192">
        <f t="shared" si="10"/>
        <v>46009.329529611874</v>
      </c>
      <c r="M102" s="192">
        <f t="shared" si="11"/>
        <v>233894.72277859447</v>
      </c>
      <c r="N102" s="192">
        <f t="shared" si="12"/>
        <v>6917040.0324190846</v>
      </c>
      <c r="P102" s="14">
        <v>93</v>
      </c>
      <c r="Q102" s="15">
        <f t="shared" si="13"/>
        <v>207388.93977668087</v>
      </c>
      <c r="R102" s="15">
        <f t="shared" si="14"/>
        <v>55182.262425099863</v>
      </c>
      <c r="S102" s="15">
        <f t="shared" si="15"/>
        <v>152206.67735158099</v>
      </c>
      <c r="T102" s="15">
        <f t="shared" si="16"/>
        <v>9095858.9842832424</v>
      </c>
    </row>
    <row r="103" spans="10:20" x14ac:dyDescent="0.35">
      <c r="J103" s="191">
        <v>94</v>
      </c>
      <c r="K103" s="192">
        <f t="shared" si="9"/>
        <v>279904.05230820633</v>
      </c>
      <c r="L103" s="192">
        <f t="shared" si="10"/>
        <v>44504.443840683496</v>
      </c>
      <c r="M103" s="192">
        <f t="shared" si="11"/>
        <v>235399.60846752283</v>
      </c>
      <c r="N103" s="192">
        <f t="shared" si="12"/>
        <v>6681640.4239515616</v>
      </c>
      <c r="P103" s="14">
        <v>94</v>
      </c>
      <c r="Q103" s="15">
        <f t="shared" si="13"/>
        <v>207388.93977668087</v>
      </c>
      <c r="R103" s="15">
        <f t="shared" si="14"/>
        <v>54274.060740577799</v>
      </c>
      <c r="S103" s="15">
        <f t="shared" si="15"/>
        <v>153114.87903610308</v>
      </c>
      <c r="T103" s="15">
        <f t="shared" si="16"/>
        <v>8942744.1052471399</v>
      </c>
    </row>
    <row r="104" spans="10:20" x14ac:dyDescent="0.35">
      <c r="J104" s="191">
        <v>95</v>
      </c>
      <c r="K104" s="192">
        <f t="shared" si="9"/>
        <v>279904.05230820633</v>
      </c>
      <c r="L104" s="192">
        <f t="shared" si="10"/>
        <v>42989.875671920432</v>
      </c>
      <c r="M104" s="192">
        <f t="shared" si="11"/>
        <v>236914.17663628591</v>
      </c>
      <c r="N104" s="192">
        <f t="shared" si="12"/>
        <v>6444726.2473152755</v>
      </c>
      <c r="P104" s="14">
        <v>95</v>
      </c>
      <c r="Q104" s="15">
        <f t="shared" si="13"/>
        <v>207388.93977668087</v>
      </c>
      <c r="R104" s="15">
        <f t="shared" si="14"/>
        <v>53360.439909444554</v>
      </c>
      <c r="S104" s="15">
        <f t="shared" si="15"/>
        <v>154028.4998672363</v>
      </c>
      <c r="T104" s="15">
        <f t="shared" si="16"/>
        <v>8788715.6053799037</v>
      </c>
    </row>
    <row r="105" spans="10:20" x14ac:dyDescent="0.35">
      <c r="J105" s="191">
        <v>96</v>
      </c>
      <c r="K105" s="192">
        <f t="shared" si="9"/>
        <v>279904.05230820633</v>
      </c>
      <c r="L105" s="192">
        <f t="shared" si="10"/>
        <v>41465.562725955897</v>
      </c>
      <c r="M105" s="192">
        <f t="shared" si="11"/>
        <v>238438.48958225042</v>
      </c>
      <c r="N105" s="192">
        <f t="shared" si="12"/>
        <v>6206287.7577330247</v>
      </c>
      <c r="P105" s="14">
        <v>96</v>
      </c>
      <c r="Q105" s="15">
        <f t="shared" si="13"/>
        <v>207388.93977668087</v>
      </c>
      <c r="R105" s="15">
        <f t="shared" si="14"/>
        <v>52441.367596206263</v>
      </c>
      <c r="S105" s="15">
        <f t="shared" si="15"/>
        <v>154947.57218047461</v>
      </c>
      <c r="T105" s="15">
        <f t="shared" si="16"/>
        <v>8633768.0331994295</v>
      </c>
    </row>
    <row r="106" spans="10:20" x14ac:dyDescent="0.35">
      <c r="J106" s="191">
        <v>97</v>
      </c>
      <c r="K106" s="192">
        <f t="shared" si="9"/>
        <v>279904.05230820633</v>
      </c>
      <c r="L106" s="192">
        <f t="shared" si="10"/>
        <v>39931.442304599957</v>
      </c>
      <c r="M106" s="192">
        <f t="shared" si="11"/>
        <v>239972.61000360636</v>
      </c>
      <c r="N106" s="192">
        <f t="shared" si="12"/>
        <v>5966315.1477294182</v>
      </c>
      <c r="P106" s="14">
        <v>97</v>
      </c>
      <c r="Q106" s="15">
        <f t="shared" si="13"/>
        <v>207388.93977668087</v>
      </c>
      <c r="R106" s="15">
        <f t="shared" si="14"/>
        <v>51516.811272426494</v>
      </c>
      <c r="S106" s="15">
        <f t="shared" si="15"/>
        <v>155872.12850425439</v>
      </c>
      <c r="T106" s="15">
        <f t="shared" si="16"/>
        <v>8477895.9046951756</v>
      </c>
    </row>
    <row r="107" spans="10:20" x14ac:dyDescent="0.35">
      <c r="J107" s="191">
        <v>98</v>
      </c>
      <c r="K107" s="192">
        <f t="shared" si="9"/>
        <v>279904.05230820633</v>
      </c>
      <c r="L107" s="192">
        <f t="shared" si="10"/>
        <v>38387.451306260642</v>
      </c>
      <c r="M107" s="192">
        <f t="shared" si="11"/>
        <v>241516.60100194567</v>
      </c>
      <c r="N107" s="192">
        <f t="shared" si="12"/>
        <v>5724798.5467274729</v>
      </c>
      <c r="P107" s="14">
        <v>98</v>
      </c>
      <c r="Q107" s="15">
        <f t="shared" si="13"/>
        <v>207388.93977668087</v>
      </c>
      <c r="R107" s="15">
        <f t="shared" si="14"/>
        <v>50586.738215574936</v>
      </c>
      <c r="S107" s="15">
        <f t="shared" si="15"/>
        <v>156802.20156110593</v>
      </c>
      <c r="T107" s="15">
        <f t="shared" si="16"/>
        <v>8321093.7031340692</v>
      </c>
    </row>
    <row r="108" spans="10:20" x14ac:dyDescent="0.35">
      <c r="J108" s="191">
        <v>99</v>
      </c>
      <c r="K108" s="192">
        <f t="shared" si="9"/>
        <v>279904.05230820633</v>
      </c>
      <c r="L108" s="192">
        <f t="shared" si="10"/>
        <v>36833.526223348439</v>
      </c>
      <c r="M108" s="192">
        <f t="shared" si="11"/>
        <v>243070.52608485788</v>
      </c>
      <c r="N108" s="192">
        <f t="shared" si="12"/>
        <v>5481728.0206426149</v>
      </c>
      <c r="P108" s="14">
        <v>99</v>
      </c>
      <c r="Q108" s="15">
        <f t="shared" si="13"/>
        <v>207388.93977668087</v>
      </c>
      <c r="R108" s="15">
        <f t="shared" si="14"/>
        <v>49651.11550786929</v>
      </c>
      <c r="S108" s="15">
        <f t="shared" si="15"/>
        <v>157737.82426881159</v>
      </c>
      <c r="T108" s="15">
        <f t="shared" si="16"/>
        <v>8163355.8788652578</v>
      </c>
    </row>
    <row r="109" spans="10:20" x14ac:dyDescent="0.35">
      <c r="J109" s="191">
        <v>100</v>
      </c>
      <c r="K109" s="192">
        <f t="shared" si="9"/>
        <v>279904.05230820633</v>
      </c>
      <c r="L109" s="192">
        <f t="shared" si="10"/>
        <v>35269.60313966409</v>
      </c>
      <c r="M109" s="192">
        <f t="shared" si="11"/>
        <v>244634.44916854223</v>
      </c>
      <c r="N109" s="192">
        <f t="shared" si="12"/>
        <v>5237093.5714740725</v>
      </c>
      <c r="P109" s="14">
        <v>100</v>
      </c>
      <c r="Q109" s="15">
        <f t="shared" si="13"/>
        <v>207388.93977668087</v>
      </c>
      <c r="R109" s="15">
        <f t="shared" si="14"/>
        <v>48709.910035110232</v>
      </c>
      <c r="S109" s="15">
        <f t="shared" si="15"/>
        <v>158679.02974157064</v>
      </c>
      <c r="T109" s="15">
        <f t="shared" si="16"/>
        <v>8004676.8491236875</v>
      </c>
    </row>
    <row r="110" spans="10:20" x14ac:dyDescent="0.35">
      <c r="J110" s="191">
        <v>101</v>
      </c>
      <c r="K110" s="192">
        <f t="shared" si="9"/>
        <v>279904.05230820633</v>
      </c>
      <c r="L110" s="192">
        <f t="shared" si="10"/>
        <v>33695.617727769582</v>
      </c>
      <c r="M110" s="192">
        <f t="shared" si="11"/>
        <v>246208.43458043673</v>
      </c>
      <c r="N110" s="192">
        <f t="shared" si="12"/>
        <v>4990885.1368936356</v>
      </c>
      <c r="P110" s="14">
        <v>101</v>
      </c>
      <c r="Q110" s="15">
        <f t="shared" si="13"/>
        <v>207388.93977668087</v>
      </c>
      <c r="R110" s="15">
        <f t="shared" si="14"/>
        <v>47763.088485509375</v>
      </c>
      <c r="S110" s="15">
        <f t="shared" si="15"/>
        <v>159625.85129117151</v>
      </c>
      <c r="T110" s="15">
        <f t="shared" si="16"/>
        <v>7845050.9978325162</v>
      </c>
    </row>
    <row r="111" spans="10:20" x14ac:dyDescent="0.35">
      <c r="J111" s="191">
        <v>102</v>
      </c>
      <c r="K111" s="192">
        <f t="shared" si="9"/>
        <v>279904.05230820633</v>
      </c>
      <c r="L111" s="192">
        <f t="shared" si="10"/>
        <v>32111.505246342243</v>
      </c>
      <c r="M111" s="192">
        <f t="shared" si="11"/>
        <v>247792.54706186408</v>
      </c>
      <c r="N111" s="192">
        <f t="shared" si="12"/>
        <v>4743092.5898317713</v>
      </c>
      <c r="P111" s="14">
        <v>102</v>
      </c>
      <c r="Q111" s="15">
        <f t="shared" si="13"/>
        <v>207388.93977668087</v>
      </c>
      <c r="R111" s="15">
        <f t="shared" si="14"/>
        <v>46810.617348510306</v>
      </c>
      <c r="S111" s="15">
        <f t="shared" si="15"/>
        <v>160578.32242817056</v>
      </c>
      <c r="T111" s="15">
        <f t="shared" si="16"/>
        <v>7684472.6754043456</v>
      </c>
    </row>
    <row r="112" spans="10:20" x14ac:dyDescent="0.35">
      <c r="J112" s="191">
        <v>103</v>
      </c>
      <c r="K112" s="192">
        <f t="shared" si="9"/>
        <v>279904.05230820633</v>
      </c>
      <c r="L112" s="192">
        <f t="shared" si="10"/>
        <v>30517.200537511766</v>
      </c>
      <c r="M112" s="192">
        <f t="shared" si="11"/>
        <v>249386.85177069457</v>
      </c>
      <c r="N112" s="192">
        <f t="shared" si="12"/>
        <v>4493705.738061077</v>
      </c>
      <c r="P112" s="14">
        <v>103</v>
      </c>
      <c r="Q112" s="15">
        <f t="shared" si="13"/>
        <v>207388.93977668087</v>
      </c>
      <c r="R112" s="15">
        <f t="shared" si="14"/>
        <v>45852.46291360254</v>
      </c>
      <c r="S112" s="15">
        <f t="shared" si="15"/>
        <v>161536.47686307834</v>
      </c>
      <c r="T112" s="15">
        <f t="shared" si="16"/>
        <v>7522936.1985412668</v>
      </c>
    </row>
    <row r="113" spans="10:20" x14ac:dyDescent="0.35">
      <c r="J113" s="191">
        <v>104</v>
      </c>
      <c r="K113" s="192">
        <f t="shared" si="9"/>
        <v>279904.05230820633</v>
      </c>
      <c r="L113" s="192">
        <f t="shared" si="10"/>
        <v>28912.638024180156</v>
      </c>
      <c r="M113" s="192">
        <f t="shared" si="11"/>
        <v>250991.41428402616</v>
      </c>
      <c r="N113" s="192">
        <f t="shared" si="12"/>
        <v>4242714.3237770507</v>
      </c>
      <c r="P113" s="14">
        <v>104</v>
      </c>
      <c r="Q113" s="15">
        <f t="shared" si="13"/>
        <v>207388.93977668087</v>
      </c>
      <c r="R113" s="15">
        <f t="shared" si="14"/>
        <v>44888.591269128432</v>
      </c>
      <c r="S113" s="15">
        <f t="shared" si="15"/>
        <v>162500.34850755244</v>
      </c>
      <c r="T113" s="15">
        <f t="shared" si="16"/>
        <v>7360435.8500337144</v>
      </c>
    </row>
    <row r="114" spans="10:20" x14ac:dyDescent="0.35">
      <c r="J114" s="191">
        <v>105</v>
      </c>
      <c r="K114" s="192">
        <f t="shared" si="9"/>
        <v>279904.05230820633</v>
      </c>
      <c r="L114" s="192">
        <f t="shared" si="10"/>
        <v>27297.751707324387</v>
      </c>
      <c r="M114" s="192">
        <f t="shared" si="11"/>
        <v>252606.30060088195</v>
      </c>
      <c r="N114" s="192">
        <f t="shared" si="12"/>
        <v>3990108.0231761686</v>
      </c>
      <c r="P114" s="14">
        <v>105</v>
      </c>
      <c r="Q114" s="15">
        <f t="shared" si="13"/>
        <v>207388.93977668087</v>
      </c>
      <c r="R114" s="15">
        <f t="shared" si="14"/>
        <v>43918.968301082939</v>
      </c>
      <c r="S114" s="15">
        <f t="shared" si="15"/>
        <v>163469.97147559794</v>
      </c>
      <c r="T114" s="15">
        <f t="shared" si="16"/>
        <v>7196965.878558116</v>
      </c>
    </row>
    <row r="115" spans="10:20" x14ac:dyDescent="0.35">
      <c r="J115" s="191">
        <v>106</v>
      </c>
      <c r="K115" s="192">
        <f t="shared" si="9"/>
        <v>279904.05230820633</v>
      </c>
      <c r="L115" s="192">
        <f t="shared" si="10"/>
        <v>25672.475163281735</v>
      </c>
      <c r="M115" s="192">
        <f t="shared" si="11"/>
        <v>254231.57714492461</v>
      </c>
      <c r="N115" s="192">
        <f t="shared" si="12"/>
        <v>3735876.446031244</v>
      </c>
      <c r="P115" s="14">
        <v>106</v>
      </c>
      <c r="Q115" s="15">
        <f t="shared" si="13"/>
        <v>207388.93977668087</v>
      </c>
      <c r="R115" s="15">
        <f t="shared" si="14"/>
        <v>42943.559691906237</v>
      </c>
      <c r="S115" s="15">
        <f t="shared" si="15"/>
        <v>164445.38008477463</v>
      </c>
      <c r="T115" s="15">
        <f t="shared" si="16"/>
        <v>7032520.4984733416</v>
      </c>
    </row>
    <row r="116" spans="10:20" x14ac:dyDescent="0.35">
      <c r="J116" s="191">
        <v>107</v>
      </c>
      <c r="K116" s="192">
        <f t="shared" si="9"/>
        <v>279904.05230820633</v>
      </c>
      <c r="L116" s="192">
        <f t="shared" si="10"/>
        <v>24036.741541017629</v>
      </c>
      <c r="M116" s="192">
        <f t="shared" si="11"/>
        <v>255867.3107671887</v>
      </c>
      <c r="N116" s="192">
        <f t="shared" si="12"/>
        <v>3480009.1352640553</v>
      </c>
      <c r="P116" s="14">
        <v>107</v>
      </c>
      <c r="Q116" s="15">
        <f t="shared" si="13"/>
        <v>207388.93977668087</v>
      </c>
      <c r="R116" s="15">
        <f t="shared" si="14"/>
        <v>41962.33091926913</v>
      </c>
      <c r="S116" s="15">
        <f t="shared" si="15"/>
        <v>165426.60885741175</v>
      </c>
      <c r="T116" s="15">
        <f t="shared" si="16"/>
        <v>6867093.8896159297</v>
      </c>
    </row>
    <row r="117" spans="10:20" x14ac:dyDescent="0.35">
      <c r="J117" s="191">
        <v>108</v>
      </c>
      <c r="K117" s="192">
        <f t="shared" si="9"/>
        <v>279904.05230820633</v>
      </c>
      <c r="L117" s="192">
        <f t="shared" si="10"/>
        <v>22390.483559375931</v>
      </c>
      <c r="M117" s="192">
        <f t="shared" si="11"/>
        <v>257513.56874883041</v>
      </c>
      <c r="N117" s="192">
        <f t="shared" si="12"/>
        <v>3222495.566515225</v>
      </c>
      <c r="P117" s="14">
        <v>108</v>
      </c>
      <c r="Q117" s="15">
        <f t="shared" si="13"/>
        <v>207388.93977668087</v>
      </c>
      <c r="R117" s="15">
        <f t="shared" si="14"/>
        <v>40975.247254851209</v>
      </c>
      <c r="S117" s="15">
        <f t="shared" si="15"/>
        <v>166413.69252182965</v>
      </c>
      <c r="T117" s="15">
        <f t="shared" si="16"/>
        <v>6700680.1970940996</v>
      </c>
    </row>
    <row r="118" spans="10:20" x14ac:dyDescent="0.35">
      <c r="J118" s="191">
        <v>109</v>
      </c>
      <c r="K118" s="192">
        <f t="shared" si="9"/>
        <v>279904.05230820633</v>
      </c>
      <c r="L118" s="192">
        <f t="shared" si="10"/>
        <v>20733.633504311518</v>
      </c>
      <c r="M118" s="192">
        <f t="shared" si="11"/>
        <v>259170.41880389481</v>
      </c>
      <c r="N118" s="192">
        <f t="shared" si="12"/>
        <v>2963325.1477113301</v>
      </c>
      <c r="P118" s="14">
        <v>109</v>
      </c>
      <c r="Q118" s="15">
        <f t="shared" si="13"/>
        <v>207388.93977668087</v>
      </c>
      <c r="R118" s="15">
        <f t="shared" si="14"/>
        <v>39982.273763111727</v>
      </c>
      <c r="S118" s="15">
        <f t="shared" si="15"/>
        <v>167406.66601356913</v>
      </c>
      <c r="T118" s="15">
        <f t="shared" si="16"/>
        <v>6533273.53108053</v>
      </c>
    </row>
    <row r="119" spans="10:20" x14ac:dyDescent="0.35">
      <c r="J119" s="191">
        <v>110</v>
      </c>
      <c r="K119" s="192">
        <f t="shared" si="9"/>
        <v>279904.05230820633</v>
      </c>
      <c r="L119" s="192">
        <f t="shared" si="10"/>
        <v>19066.123226105061</v>
      </c>
      <c r="M119" s="192">
        <f t="shared" si="11"/>
        <v>260837.92908210127</v>
      </c>
      <c r="N119" s="192">
        <f t="shared" si="12"/>
        <v>2702487.2186292289</v>
      </c>
      <c r="P119" s="14">
        <v>110</v>
      </c>
      <c r="Q119" s="15">
        <f t="shared" si="13"/>
        <v>207388.93977668087</v>
      </c>
      <c r="R119" s="15">
        <f t="shared" si="14"/>
        <v>38983.375300053151</v>
      </c>
      <c r="S119" s="15">
        <f t="shared" si="15"/>
        <v>168405.56447662771</v>
      </c>
      <c r="T119" s="15">
        <f t="shared" si="16"/>
        <v>6364867.9666039022</v>
      </c>
    </row>
    <row r="120" spans="10:20" x14ac:dyDescent="0.35">
      <c r="J120" s="191">
        <v>111</v>
      </c>
      <c r="K120" s="192">
        <f t="shared" si="9"/>
        <v>279904.05230820633</v>
      </c>
      <c r="L120" s="192">
        <f t="shared" si="10"/>
        <v>17387.884136559882</v>
      </c>
      <c r="M120" s="192">
        <f t="shared" si="11"/>
        <v>262516.16817164642</v>
      </c>
      <c r="N120" s="192">
        <f t="shared" si="12"/>
        <v>2439971.0504575823</v>
      </c>
      <c r="P120" s="14">
        <v>111</v>
      </c>
      <c r="Q120" s="15">
        <f t="shared" si="13"/>
        <v>207388.93977668087</v>
      </c>
      <c r="R120" s="15">
        <f t="shared" si="14"/>
        <v>37978.516511977286</v>
      </c>
      <c r="S120" s="15">
        <f t="shared" si="15"/>
        <v>169410.4232647036</v>
      </c>
      <c r="T120" s="15">
        <f t="shared" si="16"/>
        <v>6195457.5433391985</v>
      </c>
    </row>
    <row r="121" spans="10:20" x14ac:dyDescent="0.35">
      <c r="J121" s="191">
        <v>112</v>
      </c>
      <c r="K121" s="192">
        <f t="shared" si="9"/>
        <v>279904.05230820633</v>
      </c>
      <c r="L121" s="192">
        <f t="shared" si="10"/>
        <v>15698.847206180784</v>
      </c>
      <c r="M121" s="192">
        <f t="shared" si="11"/>
        <v>264205.20510202553</v>
      </c>
      <c r="N121" s="192">
        <f t="shared" si="12"/>
        <v>2175765.8453555568</v>
      </c>
      <c r="P121" s="14">
        <v>112</v>
      </c>
      <c r="Q121" s="15">
        <f t="shared" si="13"/>
        <v>207388.93977668087</v>
      </c>
      <c r="R121" s="15">
        <f t="shared" si="14"/>
        <v>36967.661834234059</v>
      </c>
      <c r="S121" s="15">
        <f t="shared" si="15"/>
        <v>170421.27794244682</v>
      </c>
      <c r="T121" s="15">
        <f t="shared" si="16"/>
        <v>6025036.2653967515</v>
      </c>
    </row>
    <row r="122" spans="10:20" x14ac:dyDescent="0.35">
      <c r="J122" s="191">
        <v>113</v>
      </c>
      <c r="K122" s="192">
        <f t="shared" si="9"/>
        <v>279904.05230820633</v>
      </c>
      <c r="L122" s="192">
        <f t="shared" si="10"/>
        <v>13998.94296133472</v>
      </c>
      <c r="M122" s="192">
        <f t="shared" si="11"/>
        <v>265905.10934687161</v>
      </c>
      <c r="N122" s="192">
        <f t="shared" si="12"/>
        <v>1909860.7360086851</v>
      </c>
      <c r="P122" s="14">
        <v>113</v>
      </c>
      <c r="Q122" s="15">
        <f t="shared" si="13"/>
        <v>207388.93977668087</v>
      </c>
      <c r="R122" s="15">
        <f t="shared" si="14"/>
        <v>35950.775489962733</v>
      </c>
      <c r="S122" s="15">
        <f t="shared" si="15"/>
        <v>171438.16428671812</v>
      </c>
      <c r="T122" s="15">
        <f t="shared" si="16"/>
        <v>5853598.1011100337</v>
      </c>
    </row>
    <row r="123" spans="10:20" x14ac:dyDescent="0.35">
      <c r="J123" s="191">
        <v>114</v>
      </c>
      <c r="K123" s="192">
        <f t="shared" si="9"/>
        <v>279904.05230820633</v>
      </c>
      <c r="L123" s="192">
        <f t="shared" si="10"/>
        <v>12288.101481393192</v>
      </c>
      <c r="M123" s="192">
        <f t="shared" si="11"/>
        <v>267615.95082681312</v>
      </c>
      <c r="N123" s="192">
        <f t="shared" si="12"/>
        <v>1642244.7851818721</v>
      </c>
      <c r="P123" s="14">
        <v>114</v>
      </c>
      <c r="Q123" s="15">
        <f t="shared" si="13"/>
        <v>207388.93977668087</v>
      </c>
      <c r="R123" s="15">
        <f t="shared" si="14"/>
        <v>34927.821488825735</v>
      </c>
      <c r="S123" s="15">
        <f t="shared" si="15"/>
        <v>172461.11828785512</v>
      </c>
      <c r="T123" s="15">
        <f t="shared" si="16"/>
        <v>5681136.9828221789</v>
      </c>
    </row>
    <row r="124" spans="10:20" x14ac:dyDescent="0.35">
      <c r="J124" s="191">
        <v>115</v>
      </c>
      <c r="K124" s="192">
        <f t="shared" si="9"/>
        <v>279904.05230820633</v>
      </c>
      <c r="L124" s="192">
        <f t="shared" si="10"/>
        <v>10566.25239585628</v>
      </c>
      <c r="M124" s="192">
        <f t="shared" si="11"/>
        <v>269337.79991235008</v>
      </c>
      <c r="N124" s="192">
        <f t="shared" si="12"/>
        <v>1372906.9852695221</v>
      </c>
      <c r="P124" s="14">
        <v>115</v>
      </c>
      <c r="Q124" s="15">
        <f t="shared" si="13"/>
        <v>207388.93977668087</v>
      </c>
      <c r="R124" s="15">
        <f t="shared" si="14"/>
        <v>33898.763625734799</v>
      </c>
      <c r="S124" s="15">
        <f t="shared" si="15"/>
        <v>173490.17615094606</v>
      </c>
      <c r="T124" s="15">
        <f t="shared" si="16"/>
        <v>5507646.8066712329</v>
      </c>
    </row>
    <row r="125" spans="10:20" x14ac:dyDescent="0.35">
      <c r="J125" s="191">
        <v>116</v>
      </c>
      <c r="K125" s="192">
        <f t="shared" si="9"/>
        <v>279904.05230820633</v>
      </c>
      <c r="L125" s="192">
        <f t="shared" si="10"/>
        <v>8833.3248814581402</v>
      </c>
      <c r="M125" s="192">
        <f t="shared" si="11"/>
        <v>271070.7274267482</v>
      </c>
      <c r="N125" s="192">
        <f t="shared" si="12"/>
        <v>1101836.2578427738</v>
      </c>
      <c r="P125" s="14">
        <v>116</v>
      </c>
      <c r="Q125" s="15">
        <f t="shared" si="13"/>
        <v>207388.93977668087</v>
      </c>
      <c r="R125" s="15">
        <f t="shared" si="14"/>
        <v>32863.56547956961</v>
      </c>
      <c r="S125" s="15">
        <f t="shared" si="15"/>
        <v>174525.37429711127</v>
      </c>
      <c r="T125" s="15">
        <f t="shared" si="16"/>
        <v>5333121.4323741216</v>
      </c>
    </row>
    <row r="126" spans="10:20" x14ac:dyDescent="0.35">
      <c r="J126" s="191">
        <v>117</v>
      </c>
      <c r="K126" s="192">
        <f t="shared" si="9"/>
        <v>279904.05230820633</v>
      </c>
      <c r="L126" s="192">
        <f t="shared" si="10"/>
        <v>7089.2476592539097</v>
      </c>
      <c r="M126" s="192">
        <f t="shared" si="11"/>
        <v>272814.80464895244</v>
      </c>
      <c r="N126" s="192">
        <f t="shared" si="12"/>
        <v>829021.45319382136</v>
      </c>
      <c r="P126" s="14">
        <v>117</v>
      </c>
      <c r="Q126" s="15">
        <f t="shared" si="13"/>
        <v>207388.93977668087</v>
      </c>
      <c r="R126" s="15">
        <f t="shared" si="14"/>
        <v>31822.190411888751</v>
      </c>
      <c r="S126" s="15">
        <f t="shared" si="15"/>
        <v>175566.74936479211</v>
      </c>
      <c r="T126" s="15">
        <f t="shared" si="16"/>
        <v>5157554.6830093293</v>
      </c>
    </row>
    <row r="127" spans="10:20" x14ac:dyDescent="0.35">
      <c r="J127" s="191">
        <v>118</v>
      </c>
      <c r="K127" s="192">
        <f t="shared" si="9"/>
        <v>279904.05230820633</v>
      </c>
      <c r="L127" s="192">
        <f t="shared" si="10"/>
        <v>5333.9489916878465</v>
      </c>
      <c r="M127" s="192">
        <f t="shared" si="11"/>
        <v>274570.10331651848</v>
      </c>
      <c r="N127" s="192">
        <f t="shared" si="12"/>
        <v>554451.34987730288</v>
      </c>
      <c r="P127" s="14">
        <v>118</v>
      </c>
      <c r="Q127" s="15">
        <f t="shared" si="13"/>
        <v>207388.93977668087</v>
      </c>
      <c r="R127" s="15">
        <f t="shared" si="14"/>
        <v>30774.601565632973</v>
      </c>
      <c r="S127" s="15">
        <f t="shared" si="15"/>
        <v>176614.3382110479</v>
      </c>
      <c r="T127" s="15">
        <f t="shared" si="16"/>
        <v>4980940.3447982818</v>
      </c>
    </row>
    <row r="128" spans="10:20" x14ac:dyDescent="0.35">
      <c r="J128" s="191">
        <v>119</v>
      </c>
      <c r="K128" s="192">
        <f t="shared" si="9"/>
        <v>279904.05230820633</v>
      </c>
      <c r="L128" s="192">
        <f t="shared" si="10"/>
        <v>3567.3566796426135</v>
      </c>
      <c r="M128" s="192">
        <f t="shared" si="11"/>
        <v>276336.6956285637</v>
      </c>
      <c r="N128" s="192">
        <f t="shared" si="12"/>
        <v>278114.65424873919</v>
      </c>
      <c r="P128" s="14">
        <v>119</v>
      </c>
      <c r="Q128" s="15">
        <f t="shared" si="13"/>
        <v>207388.93977668087</v>
      </c>
      <c r="R128" s="15">
        <f t="shared" si="14"/>
        <v>29720.76186382072</v>
      </c>
      <c r="S128" s="15">
        <f t="shared" si="15"/>
        <v>177668.17791286015</v>
      </c>
      <c r="T128" s="15">
        <f t="shared" si="16"/>
        <v>4803272.1668854216</v>
      </c>
    </row>
    <row r="129" spans="10:20" x14ac:dyDescent="0.35">
      <c r="J129" s="193">
        <v>120</v>
      </c>
      <c r="K129" s="194">
        <f t="shared" si="9"/>
        <v>279904.05230820633</v>
      </c>
      <c r="L129" s="194">
        <f t="shared" si="10"/>
        <v>1789.3980594695813</v>
      </c>
      <c r="M129" s="194">
        <f t="shared" si="11"/>
        <v>278114.65424873674</v>
      </c>
      <c r="N129" s="194">
        <f t="shared" si="12"/>
        <v>2.4447217583656311E-9</v>
      </c>
      <c r="P129" s="14">
        <v>120</v>
      </c>
      <c r="Q129" s="15">
        <f t="shared" si="13"/>
        <v>207388.93977668087</v>
      </c>
      <c r="R129" s="15">
        <f t="shared" si="14"/>
        <v>28660.634008235873</v>
      </c>
      <c r="S129" s="15">
        <f t="shared" si="15"/>
        <v>178728.30576844499</v>
      </c>
      <c r="T129" s="15">
        <f t="shared" si="16"/>
        <v>4624543.8611169765</v>
      </c>
    </row>
    <row r="130" spans="10:20" x14ac:dyDescent="0.35">
      <c r="J130" s="195" t="s">
        <v>79</v>
      </c>
      <c r="K130" s="196">
        <f>SUM(K10:K129)</f>
        <v>29959123.474389393</v>
      </c>
      <c r="L130" s="196">
        <f t="shared" ref="L130:M130" si="17">SUM(L10:L129)</f>
        <v>9959123.4743894506</v>
      </c>
      <c r="M130" s="196">
        <f t="shared" si="17"/>
        <v>19999999.999999996</v>
      </c>
      <c r="N130" s="196"/>
      <c r="P130" s="14">
        <v>121</v>
      </c>
      <c r="Q130" s="15">
        <f t="shared" si="13"/>
        <v>207388.93977668087</v>
      </c>
      <c r="R130" s="15">
        <f t="shared" si="14"/>
        <v>27594.180478107675</v>
      </c>
      <c r="S130" s="15">
        <f t="shared" si="15"/>
        <v>179794.75929857319</v>
      </c>
      <c r="T130" s="15">
        <f t="shared" si="16"/>
        <v>4444749.1018184032</v>
      </c>
    </row>
    <row r="131" spans="10:20" x14ac:dyDescent="0.35">
      <c r="P131" s="14">
        <v>122</v>
      </c>
      <c r="Q131" s="15">
        <f t="shared" si="13"/>
        <v>207388.93977668087</v>
      </c>
      <c r="R131" s="15">
        <f t="shared" si="14"/>
        <v>26521.363528782764</v>
      </c>
      <c r="S131" s="15">
        <f t="shared" si="15"/>
        <v>180867.57624789811</v>
      </c>
      <c r="T131" s="15">
        <f t="shared" si="16"/>
        <v>4263881.5255705053</v>
      </c>
    </row>
    <row r="132" spans="10:20" x14ac:dyDescent="0.35">
      <c r="P132" s="14">
        <v>123</v>
      </c>
      <c r="Q132" s="15">
        <f t="shared" si="13"/>
        <v>207388.93977668087</v>
      </c>
      <c r="R132" s="15">
        <f t="shared" si="14"/>
        <v>25442.145190389292</v>
      </c>
      <c r="S132" s="15">
        <f t="shared" si="15"/>
        <v>181946.79458629157</v>
      </c>
      <c r="T132" s="15">
        <f t="shared" si="16"/>
        <v>4081934.7309842138</v>
      </c>
    </row>
    <row r="133" spans="10:20" x14ac:dyDescent="0.35">
      <c r="P133" s="14">
        <v>124</v>
      </c>
      <c r="Q133" s="15">
        <f t="shared" si="13"/>
        <v>207388.93977668087</v>
      </c>
      <c r="R133" s="15">
        <f t="shared" si="14"/>
        <v>24356.487266493063</v>
      </c>
      <c r="S133" s="15">
        <f t="shared" si="15"/>
        <v>183032.45251018781</v>
      </c>
      <c r="T133" s="15">
        <f t="shared" si="16"/>
        <v>3898902.2784740259</v>
      </c>
    </row>
    <row r="134" spans="10:20" x14ac:dyDescent="0.35">
      <c r="P134" s="14">
        <v>125</v>
      </c>
      <c r="Q134" s="15">
        <f t="shared" si="13"/>
        <v>207388.93977668087</v>
      </c>
      <c r="R134" s="15">
        <f t="shared" si="14"/>
        <v>23264.35133274566</v>
      </c>
      <c r="S134" s="15">
        <f t="shared" si="15"/>
        <v>184124.58844393521</v>
      </c>
      <c r="T134" s="15">
        <f t="shared" si="16"/>
        <v>3714777.6900300905</v>
      </c>
    </row>
    <row r="135" spans="10:20" x14ac:dyDescent="0.35">
      <c r="P135" s="14">
        <v>126</v>
      </c>
      <c r="Q135" s="15">
        <f t="shared" si="13"/>
        <v>207388.93977668087</v>
      </c>
      <c r="R135" s="15">
        <f t="shared" si="14"/>
        <v>22165.698735524522</v>
      </c>
      <c r="S135" s="15">
        <f t="shared" si="15"/>
        <v>185223.24104115635</v>
      </c>
      <c r="T135" s="15">
        <f t="shared" si="16"/>
        <v>3529554.448988934</v>
      </c>
    </row>
    <row r="136" spans="10:20" x14ac:dyDescent="0.35">
      <c r="P136" s="14">
        <v>127</v>
      </c>
      <c r="Q136" s="15">
        <f t="shared" si="13"/>
        <v>207388.93977668087</v>
      </c>
      <c r="R136" s="15">
        <f t="shared" si="14"/>
        <v>21060.490590564852</v>
      </c>
      <c r="S136" s="15">
        <f t="shared" si="15"/>
        <v>186328.44918611602</v>
      </c>
      <c r="T136" s="15">
        <f t="shared" si="16"/>
        <v>3343225.9998028181</v>
      </c>
    </row>
    <row r="137" spans="10:20" x14ac:dyDescent="0.35">
      <c r="P137" s="14">
        <v>128</v>
      </c>
      <c r="Q137" s="15">
        <f t="shared" si="13"/>
        <v>207388.93977668087</v>
      </c>
      <c r="R137" s="15">
        <f t="shared" si="14"/>
        <v>19948.687781583441</v>
      </c>
      <c r="S137" s="15">
        <f t="shared" si="15"/>
        <v>187440.25199509744</v>
      </c>
      <c r="T137" s="15">
        <f t="shared" si="16"/>
        <v>3155785.7478077207</v>
      </c>
    </row>
    <row r="138" spans="10:20" x14ac:dyDescent="0.35">
      <c r="P138" s="14">
        <v>129</v>
      </c>
      <c r="Q138" s="15">
        <f t="shared" si="13"/>
        <v>207388.93977668087</v>
      </c>
      <c r="R138" s="15">
        <f t="shared" si="14"/>
        <v>18830.250958894201</v>
      </c>
      <c r="S138" s="15">
        <f t="shared" si="15"/>
        <v>188558.68881778666</v>
      </c>
      <c r="T138" s="15">
        <f t="shared" si="16"/>
        <v>2967227.0589899342</v>
      </c>
    </row>
    <row r="139" spans="10:20" x14ac:dyDescent="0.35">
      <c r="P139" s="14">
        <v>130</v>
      </c>
      <c r="Q139" s="15">
        <f t="shared" ref="Q139:Q153" si="18">$Q$7</f>
        <v>207388.93977668087</v>
      </c>
      <c r="R139" s="15">
        <f t="shared" ref="R139:R153" si="19">T138*$Q$6</f>
        <v>17705.140538015497</v>
      </c>
      <c r="S139" s="15">
        <f t="shared" ref="S139:S153" si="20">Q139-R139</f>
        <v>189683.79923866538</v>
      </c>
      <c r="T139" s="15">
        <f t="shared" si="16"/>
        <v>2777543.2597512687</v>
      </c>
    </row>
    <row r="140" spans="10:20" x14ac:dyDescent="0.35">
      <c r="P140" s="14">
        <v>131</v>
      </c>
      <c r="Q140" s="15">
        <f t="shared" si="18"/>
        <v>207388.93977668087</v>
      </c>
      <c r="R140" s="15">
        <f t="shared" si="19"/>
        <v>16573.316698269136</v>
      </c>
      <c r="S140" s="15">
        <f t="shared" si="20"/>
        <v>190815.62307841174</v>
      </c>
      <c r="T140" s="15">
        <f t="shared" si="16"/>
        <v>2586727.6366728568</v>
      </c>
    </row>
    <row r="141" spans="10:20" x14ac:dyDescent="0.35">
      <c r="P141" s="14">
        <v>132</v>
      </c>
      <c r="Q141" s="15">
        <f t="shared" si="18"/>
        <v>207388.93977668087</v>
      </c>
      <c r="R141" s="15">
        <f t="shared" si="19"/>
        <v>15434.739381371011</v>
      </c>
      <c r="S141" s="15">
        <f t="shared" si="20"/>
        <v>191954.20039530986</v>
      </c>
      <c r="T141" s="15">
        <f t="shared" si="16"/>
        <v>2394773.4362775469</v>
      </c>
    </row>
    <row r="142" spans="10:20" x14ac:dyDescent="0.35">
      <c r="P142" s="14">
        <v>133</v>
      </c>
      <c r="Q142" s="15">
        <f t="shared" si="18"/>
        <v>207388.93977668087</v>
      </c>
      <c r="R142" s="15">
        <f t="shared" si="19"/>
        <v>14289.368290013328</v>
      </c>
      <c r="S142" s="15">
        <f t="shared" si="20"/>
        <v>193099.57148666756</v>
      </c>
      <c r="T142" s="15">
        <f t="shared" si="16"/>
        <v>2201673.8647908792</v>
      </c>
    </row>
    <row r="143" spans="10:20" x14ac:dyDescent="0.35">
      <c r="P143" s="14">
        <v>134</v>
      </c>
      <c r="Q143" s="15">
        <f t="shared" si="18"/>
        <v>207388.93977668087</v>
      </c>
      <c r="R143" s="15">
        <f t="shared" si="19"/>
        <v>13137.162886438373</v>
      </c>
      <c r="S143" s="15">
        <f t="shared" si="20"/>
        <v>194251.7768902425</v>
      </c>
      <c r="T143" s="15">
        <f t="shared" si="16"/>
        <v>2007422.0879006367</v>
      </c>
    </row>
    <row r="144" spans="10:20" x14ac:dyDescent="0.35">
      <c r="P144" s="14">
        <v>135</v>
      </c>
      <c r="Q144" s="15">
        <f t="shared" si="18"/>
        <v>207388.93977668087</v>
      </c>
      <c r="R144" s="15">
        <f t="shared" si="19"/>
        <v>11978.082391003783</v>
      </c>
      <c r="S144" s="15">
        <f t="shared" si="20"/>
        <v>195410.85738567708</v>
      </c>
      <c r="T144" s="15">
        <f t="shared" si="16"/>
        <v>1812011.2305149597</v>
      </c>
    </row>
    <row r="145" spans="16:20" x14ac:dyDescent="0.35">
      <c r="P145" s="14">
        <v>136</v>
      </c>
      <c r="Q145" s="15">
        <f t="shared" si="18"/>
        <v>207388.93977668087</v>
      </c>
      <c r="R145" s="15">
        <f t="shared" si="19"/>
        <v>10812.085780739231</v>
      </c>
      <c r="S145" s="15">
        <f t="shared" si="20"/>
        <v>196576.85399594164</v>
      </c>
      <c r="T145" s="15">
        <f t="shared" si="16"/>
        <v>1615434.3765190181</v>
      </c>
    </row>
    <row r="146" spans="16:20" x14ac:dyDescent="0.35">
      <c r="P146" s="14">
        <v>137</v>
      </c>
      <c r="Q146" s="15">
        <f t="shared" si="18"/>
        <v>207388.93977668087</v>
      </c>
      <c r="R146" s="15">
        <f t="shared" si="19"/>
        <v>9639.1317878945247</v>
      </c>
      <c r="S146" s="15">
        <f t="shared" si="20"/>
        <v>197749.80798878634</v>
      </c>
      <c r="T146" s="15">
        <f t="shared" si="16"/>
        <v>1417684.5685302317</v>
      </c>
    </row>
    <row r="147" spans="16:20" x14ac:dyDescent="0.35">
      <c r="P147" s="14">
        <v>138</v>
      </c>
      <c r="Q147" s="15">
        <f t="shared" si="18"/>
        <v>207388.93977668087</v>
      </c>
      <c r="R147" s="15">
        <f t="shared" si="19"/>
        <v>8459.1788984790201</v>
      </c>
      <c r="S147" s="15">
        <f t="shared" si="20"/>
        <v>198929.76087820184</v>
      </c>
      <c r="T147" s="15">
        <f t="shared" si="16"/>
        <v>1218754.8076520299</v>
      </c>
    </row>
    <row r="148" spans="16:20" x14ac:dyDescent="0.35">
      <c r="P148" s="14">
        <v>139</v>
      </c>
      <c r="Q148" s="15">
        <f t="shared" si="18"/>
        <v>207388.93977668087</v>
      </c>
      <c r="R148" s="15">
        <f t="shared" si="19"/>
        <v>7272.1853507923397</v>
      </c>
      <c r="S148" s="15">
        <f t="shared" si="20"/>
        <v>200116.75442588853</v>
      </c>
      <c r="T148" s="15">
        <f t="shared" si="16"/>
        <v>1018638.0532261414</v>
      </c>
    </row>
    <row r="149" spans="16:20" x14ac:dyDescent="0.35">
      <c r="P149" s="14">
        <v>140</v>
      </c>
      <c r="Q149" s="15">
        <f t="shared" si="18"/>
        <v>207388.93977668087</v>
      </c>
      <c r="R149" s="15">
        <f t="shared" si="19"/>
        <v>6078.1091339463028</v>
      </c>
      <c r="S149" s="15">
        <f t="shared" si="20"/>
        <v>201310.83064273457</v>
      </c>
      <c r="T149" s="15">
        <f t="shared" si="16"/>
        <v>817327.22258340684</v>
      </c>
    </row>
    <row r="150" spans="16:20" x14ac:dyDescent="0.35">
      <c r="P150" s="14">
        <v>141</v>
      </c>
      <c r="Q150" s="15">
        <f t="shared" si="18"/>
        <v>207388.93977668087</v>
      </c>
      <c r="R150" s="15">
        <f t="shared" si="19"/>
        <v>4876.9079863780598</v>
      </c>
      <c r="S150" s="15">
        <f t="shared" si="20"/>
        <v>202512.0317903028</v>
      </c>
      <c r="T150" s="15">
        <f t="shared" si="16"/>
        <v>614815.190793104</v>
      </c>
    </row>
    <row r="151" spans="16:20" x14ac:dyDescent="0.35">
      <c r="P151" s="14">
        <v>142</v>
      </c>
      <c r="Q151" s="15">
        <f t="shared" si="18"/>
        <v>207388.93977668087</v>
      </c>
      <c r="R151" s="15">
        <f t="shared" si="19"/>
        <v>3668.5393943543318</v>
      </c>
      <c r="S151" s="15">
        <f t="shared" si="20"/>
        <v>203720.40038232654</v>
      </c>
      <c r="T151" s="15">
        <f t="shared" si="16"/>
        <v>411094.79041077744</v>
      </c>
    </row>
    <row r="152" spans="16:20" x14ac:dyDescent="0.35">
      <c r="P152" s="14">
        <v>143</v>
      </c>
      <c r="Q152" s="15">
        <f t="shared" si="18"/>
        <v>207388.93977668087</v>
      </c>
      <c r="R152" s="15">
        <f t="shared" si="19"/>
        <v>2452.960590466741</v>
      </c>
      <c r="S152" s="15">
        <f t="shared" si="20"/>
        <v>204935.97918621413</v>
      </c>
      <c r="T152" s="15">
        <f t="shared" si="16"/>
        <v>206158.81122456331</v>
      </c>
    </row>
    <row r="153" spans="16:20" x14ac:dyDescent="0.35">
      <c r="P153" s="14">
        <v>144</v>
      </c>
      <c r="Q153" s="15">
        <f t="shared" si="18"/>
        <v>207388.93977668087</v>
      </c>
      <c r="R153" s="15">
        <f t="shared" si="19"/>
        <v>1230.1285521181555</v>
      </c>
      <c r="S153" s="15">
        <f t="shared" si="20"/>
        <v>206158.81122456273</v>
      </c>
      <c r="T153" s="15">
        <f t="shared" si="16"/>
        <v>5.8207660913467407E-10</v>
      </c>
    </row>
    <row r="154" spans="16:20" x14ac:dyDescent="0.35">
      <c r="P154" s="19" t="s">
        <v>79</v>
      </c>
      <c r="Q154" s="20">
        <f>SUM(Q10:Q153)</f>
        <v>29864007.327842087</v>
      </c>
      <c r="R154" s="20">
        <f>SUM(R10:R153)</f>
        <v>9864007.3278420419</v>
      </c>
      <c r="S154" s="20">
        <f>SUM(S10:S153)</f>
        <v>19999999.999999993</v>
      </c>
      <c r="T154" s="21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203C-A549-479C-BC83-6E57D6C98D3F}">
  <sheetPr codeName="Hoja9"/>
  <dimension ref="A1:K24"/>
  <sheetViews>
    <sheetView workbookViewId="0"/>
  </sheetViews>
  <sheetFormatPr defaultColWidth="10.90625" defaultRowHeight="14.5" x14ac:dyDescent="0.35"/>
  <cols>
    <col min="2" max="2" width="16.7265625" customWidth="1"/>
    <col min="4" max="4" width="29.7265625" bestFit="1" customWidth="1"/>
    <col min="5" max="5" width="8.453125" bestFit="1" customWidth="1"/>
    <col min="6" max="6" width="17.81640625" bestFit="1" customWidth="1"/>
    <col min="7" max="7" width="24" bestFit="1" customWidth="1"/>
  </cols>
  <sheetData>
    <row r="1" spans="1:11" ht="19.5" customHeight="1" x14ac:dyDescent="0.35">
      <c r="A1" s="198"/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72.75" customHeight="1" x14ac:dyDescent="0.35">
      <c r="A2" s="205"/>
      <c r="B2" s="205"/>
      <c r="C2" s="205"/>
      <c r="D2" s="205" t="s">
        <v>195</v>
      </c>
      <c r="E2" s="205"/>
      <c r="F2" s="205"/>
      <c r="G2" s="205"/>
      <c r="H2" s="205"/>
      <c r="I2" s="205"/>
      <c r="J2" s="205"/>
      <c r="K2" s="205"/>
    </row>
    <row r="3" spans="1:11" x14ac:dyDescent="0.35">
      <c r="F3" s="2"/>
    </row>
    <row r="4" spans="1:11" ht="16.5" x14ac:dyDescent="0.35">
      <c r="D4" s="97" t="s">
        <v>46</v>
      </c>
      <c r="E4" s="85" t="s">
        <v>11</v>
      </c>
      <c r="F4" s="85" t="s">
        <v>56</v>
      </c>
      <c r="G4" s="86" t="s">
        <v>57</v>
      </c>
    </row>
    <row r="5" spans="1:11" ht="16.5" x14ac:dyDescent="0.35">
      <c r="D5" s="175" t="s">
        <v>62</v>
      </c>
      <c r="E5" s="176"/>
      <c r="F5" s="176"/>
      <c r="G5" s="177"/>
    </row>
    <row r="6" spans="1:11" ht="27" x14ac:dyDescent="0.35">
      <c r="D6" s="113" t="s">
        <v>58</v>
      </c>
      <c r="E6" s="91" t="s">
        <v>54</v>
      </c>
      <c r="F6" s="249">
        <v>57000000</v>
      </c>
      <c r="G6" s="180" t="s">
        <v>61</v>
      </c>
    </row>
    <row r="7" spans="1:11" x14ac:dyDescent="0.35">
      <c r="D7" s="181" t="s">
        <v>63</v>
      </c>
      <c r="E7" s="91"/>
      <c r="F7" s="179"/>
      <c r="G7" s="180"/>
    </row>
    <row r="8" spans="1:11" x14ac:dyDescent="0.35">
      <c r="D8" s="113" t="s">
        <v>60</v>
      </c>
      <c r="E8" s="91" t="s">
        <v>54</v>
      </c>
      <c r="F8" s="249">
        <v>50000000</v>
      </c>
      <c r="G8" s="251">
        <v>20000000</v>
      </c>
    </row>
    <row r="9" spans="1:11" x14ac:dyDescent="0.35">
      <c r="D9" s="113" t="s">
        <v>182</v>
      </c>
      <c r="E9" s="91" t="s">
        <v>54</v>
      </c>
      <c r="F9" s="179"/>
      <c r="G9" s="251">
        <v>400000</v>
      </c>
    </row>
    <row r="10" spans="1:11" x14ac:dyDescent="0.35">
      <c r="D10" s="113" t="s">
        <v>64</v>
      </c>
      <c r="E10" s="91" t="s">
        <v>54</v>
      </c>
      <c r="F10" s="250">
        <v>25000000</v>
      </c>
      <c r="G10" s="182" t="s">
        <v>61</v>
      </c>
    </row>
    <row r="11" spans="1:11" x14ac:dyDescent="0.35">
      <c r="D11" s="113" t="s">
        <v>67</v>
      </c>
      <c r="E11" s="91" t="s">
        <v>54</v>
      </c>
      <c r="F11" s="250">
        <v>5000000</v>
      </c>
      <c r="G11" s="251">
        <v>500000</v>
      </c>
    </row>
    <row r="12" spans="1:11" x14ac:dyDescent="0.35">
      <c r="D12" s="113" t="s">
        <v>66</v>
      </c>
      <c r="E12" s="91" t="s">
        <v>54</v>
      </c>
      <c r="F12" s="250">
        <v>0</v>
      </c>
      <c r="G12" s="251">
        <v>300000</v>
      </c>
    </row>
    <row r="13" spans="1:11" x14ac:dyDescent="0.35">
      <c r="D13" s="113" t="s">
        <v>59</v>
      </c>
      <c r="E13" s="91" t="s">
        <v>54</v>
      </c>
      <c r="F13" s="250">
        <v>0</v>
      </c>
      <c r="G13" s="251">
        <v>800000</v>
      </c>
    </row>
    <row r="14" spans="1:11" ht="16.5" x14ac:dyDescent="0.35">
      <c r="D14" s="97" t="s">
        <v>65</v>
      </c>
      <c r="E14" s="4"/>
      <c r="F14" s="10">
        <f>+F6-F8-F10-F11-F12-F110</f>
        <v>-23000000</v>
      </c>
      <c r="G14" s="178">
        <f>-G8-G11-G12-G13-G9</f>
        <v>-22000000</v>
      </c>
    </row>
    <row r="16" spans="1:11" x14ac:dyDescent="0.35">
      <c r="D16" s="252" t="s">
        <v>196</v>
      </c>
      <c r="F16" s="9"/>
      <c r="G16" s="9"/>
    </row>
    <row r="17" spans="4:7" x14ac:dyDescent="0.35">
      <c r="D17" s="252" t="s">
        <v>197</v>
      </c>
    </row>
    <row r="18" spans="4:7" x14ac:dyDescent="0.35">
      <c r="D18" s="252" t="s">
        <v>198</v>
      </c>
      <c r="F18" s="9"/>
    </row>
    <row r="24" spans="4:7" ht="16.5" x14ac:dyDescent="0.35">
      <c r="G24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4C92-1515-4E45-8375-DD7FDEE0000D}">
  <sheetPr codeName="Hoja10"/>
  <dimension ref="A1:Z44"/>
  <sheetViews>
    <sheetView workbookViewId="0"/>
  </sheetViews>
  <sheetFormatPr defaultColWidth="11.453125" defaultRowHeight="13" x14ac:dyDescent="0.3"/>
  <cols>
    <col min="1" max="1" width="11.453125" style="22" customWidth="1"/>
    <col min="2" max="2" width="15.26953125" style="22" customWidth="1"/>
    <col min="3" max="3" width="3.54296875" style="22" customWidth="1"/>
    <col min="4" max="4" width="45.1796875" style="22" bestFit="1" customWidth="1"/>
    <col min="5" max="5" width="15.7265625" style="22" bestFit="1" customWidth="1"/>
    <col min="6" max="6" width="12.54296875" style="22" bestFit="1" customWidth="1"/>
    <col min="7" max="9" width="11.54296875" style="22" bestFit="1" customWidth="1"/>
    <col min="10" max="10" width="11.54296875" style="22" customWidth="1"/>
    <col min="11" max="11" width="11.54296875" style="22" bestFit="1" customWidth="1"/>
    <col min="12" max="20" width="11.54296875" style="22" hidden="1" customWidth="1"/>
    <col min="21" max="21" width="11.54296875" style="22" bestFit="1" customWidth="1"/>
    <col min="22" max="25" width="11.54296875" style="22" hidden="1" customWidth="1"/>
    <col min="26" max="26" width="11.54296875" style="22" bestFit="1" customWidth="1"/>
    <col min="27" max="16384" width="11.453125" style="22"/>
  </cols>
  <sheetData>
    <row r="1" spans="1:26" ht="19.5" customHeight="1" x14ac:dyDescent="0.35">
      <c r="A1" s="198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72.75" customHeight="1" x14ac:dyDescent="0.3">
      <c r="A2" s="205"/>
      <c r="B2" s="205"/>
      <c r="C2" s="205"/>
      <c r="D2" s="205" t="s">
        <v>183</v>
      </c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</row>
    <row r="5" spans="1:26" ht="14" x14ac:dyDescent="0.3">
      <c r="D5" s="57" t="s">
        <v>95</v>
      </c>
      <c r="E5" s="58" t="s">
        <v>11</v>
      </c>
      <c r="F5" s="58" t="s">
        <v>103</v>
      </c>
      <c r="G5" s="58" t="s">
        <v>7</v>
      </c>
      <c r="H5" s="58" t="s">
        <v>8</v>
      </c>
      <c r="I5" s="58" t="s">
        <v>9</v>
      </c>
      <c r="J5" s="58" t="s">
        <v>22</v>
      </c>
      <c r="K5" s="58" t="s">
        <v>23</v>
      </c>
      <c r="L5" s="58" t="s">
        <v>81</v>
      </c>
      <c r="M5" s="58" t="s">
        <v>82</v>
      </c>
      <c r="N5" s="58" t="s">
        <v>83</v>
      </c>
      <c r="O5" s="58" t="s">
        <v>84</v>
      </c>
      <c r="P5" s="58" t="s">
        <v>85</v>
      </c>
      <c r="Q5" s="58" t="s">
        <v>104</v>
      </c>
      <c r="R5" s="58" t="s">
        <v>105</v>
      </c>
      <c r="S5" s="58" t="s">
        <v>106</v>
      </c>
      <c r="T5" s="58" t="s">
        <v>107</v>
      </c>
      <c r="U5" s="58" t="s">
        <v>108</v>
      </c>
      <c r="V5" s="58" t="s">
        <v>109</v>
      </c>
      <c r="W5" s="58" t="s">
        <v>110</v>
      </c>
      <c r="X5" s="58" t="s">
        <v>111</v>
      </c>
      <c r="Y5" s="58" t="s">
        <v>112</v>
      </c>
      <c r="Z5" s="59" t="s">
        <v>113</v>
      </c>
    </row>
    <row r="6" spans="1:26" x14ac:dyDescent="0.3">
      <c r="D6" s="43" t="s">
        <v>122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5"/>
    </row>
    <row r="7" spans="1:26" x14ac:dyDescent="0.3">
      <c r="D7" s="46" t="s">
        <v>24</v>
      </c>
      <c r="E7" s="32" t="s">
        <v>30</v>
      </c>
      <c r="F7" s="32"/>
      <c r="G7" s="209">
        <v>4.4999999999999998E-2</v>
      </c>
      <c r="H7" s="209">
        <v>0.03</v>
      </c>
      <c r="I7" s="209">
        <v>0.03</v>
      </c>
      <c r="J7" s="209">
        <v>0.03</v>
      </c>
      <c r="K7" s="209">
        <v>0.03</v>
      </c>
      <c r="L7" s="209">
        <v>0.03</v>
      </c>
      <c r="M7" s="209">
        <v>0.03</v>
      </c>
      <c r="N7" s="209">
        <v>0.03</v>
      </c>
      <c r="O7" s="42">
        <f>+N7</f>
        <v>0.03</v>
      </c>
      <c r="P7" s="42">
        <f t="shared" ref="P7:Z7" si="0">+O7</f>
        <v>0.03</v>
      </c>
      <c r="Q7" s="42">
        <f t="shared" si="0"/>
        <v>0.03</v>
      </c>
      <c r="R7" s="42">
        <f t="shared" si="0"/>
        <v>0.03</v>
      </c>
      <c r="S7" s="42">
        <f t="shared" si="0"/>
        <v>0.03</v>
      </c>
      <c r="T7" s="42">
        <f t="shared" si="0"/>
        <v>0.03</v>
      </c>
      <c r="U7" s="42">
        <f t="shared" si="0"/>
        <v>0.03</v>
      </c>
      <c r="V7" s="42">
        <f t="shared" si="0"/>
        <v>0.03</v>
      </c>
      <c r="W7" s="42">
        <f t="shared" si="0"/>
        <v>0.03</v>
      </c>
      <c r="X7" s="42">
        <f t="shared" si="0"/>
        <v>0.03</v>
      </c>
      <c r="Y7" s="42">
        <f t="shared" si="0"/>
        <v>0.03</v>
      </c>
      <c r="Z7" s="47">
        <f t="shared" si="0"/>
        <v>0.03</v>
      </c>
    </row>
    <row r="8" spans="1:26" x14ac:dyDescent="0.3">
      <c r="D8" s="46" t="s">
        <v>90</v>
      </c>
      <c r="E8" s="32" t="s">
        <v>30</v>
      </c>
      <c r="F8" s="32"/>
      <c r="G8" s="209">
        <v>0.7</v>
      </c>
      <c r="H8" s="209">
        <v>0.75</v>
      </c>
      <c r="I8" s="209">
        <v>0.8</v>
      </c>
      <c r="J8" s="209">
        <v>0.85</v>
      </c>
      <c r="K8" s="209">
        <v>0.9</v>
      </c>
      <c r="L8" s="42">
        <f>+K8</f>
        <v>0.9</v>
      </c>
      <c r="M8" s="42">
        <f t="shared" ref="M8:N8" si="1">+L8</f>
        <v>0.9</v>
      </c>
      <c r="N8" s="42">
        <f t="shared" si="1"/>
        <v>0.9</v>
      </c>
      <c r="O8" s="42">
        <f t="shared" ref="O8:Z8" si="2">+N8</f>
        <v>0.9</v>
      </c>
      <c r="P8" s="42">
        <f t="shared" si="2"/>
        <v>0.9</v>
      </c>
      <c r="Q8" s="42">
        <f t="shared" si="2"/>
        <v>0.9</v>
      </c>
      <c r="R8" s="42">
        <f t="shared" si="2"/>
        <v>0.9</v>
      </c>
      <c r="S8" s="42">
        <f t="shared" si="2"/>
        <v>0.9</v>
      </c>
      <c r="T8" s="42">
        <f t="shared" si="2"/>
        <v>0.9</v>
      </c>
      <c r="U8" s="42">
        <f t="shared" si="2"/>
        <v>0.9</v>
      </c>
      <c r="V8" s="42">
        <f t="shared" si="2"/>
        <v>0.9</v>
      </c>
      <c r="W8" s="42">
        <f t="shared" si="2"/>
        <v>0.9</v>
      </c>
      <c r="X8" s="42">
        <f t="shared" si="2"/>
        <v>0.9</v>
      </c>
      <c r="Y8" s="42">
        <f t="shared" si="2"/>
        <v>0.9</v>
      </c>
      <c r="Z8" s="47">
        <f t="shared" si="2"/>
        <v>0.9</v>
      </c>
    </row>
    <row r="9" spans="1:26" x14ac:dyDescent="0.3">
      <c r="D9" s="46" t="s">
        <v>102</v>
      </c>
      <c r="E9" s="32" t="s">
        <v>30</v>
      </c>
      <c r="F9" s="32"/>
      <c r="G9" s="209">
        <v>0.35</v>
      </c>
      <c r="H9" s="209">
        <v>0.35</v>
      </c>
      <c r="I9" s="209">
        <v>0.35</v>
      </c>
      <c r="J9" s="42">
        <f>+I9</f>
        <v>0.35</v>
      </c>
      <c r="K9" s="42">
        <f t="shared" ref="K9:Z9" si="3">+J9</f>
        <v>0.35</v>
      </c>
      <c r="L9" s="42">
        <f t="shared" si="3"/>
        <v>0.35</v>
      </c>
      <c r="M9" s="42">
        <f t="shared" si="3"/>
        <v>0.35</v>
      </c>
      <c r="N9" s="42">
        <f t="shared" si="3"/>
        <v>0.35</v>
      </c>
      <c r="O9" s="42">
        <f t="shared" si="3"/>
        <v>0.35</v>
      </c>
      <c r="P9" s="42">
        <f t="shared" si="3"/>
        <v>0.35</v>
      </c>
      <c r="Q9" s="42">
        <f t="shared" si="3"/>
        <v>0.35</v>
      </c>
      <c r="R9" s="42">
        <f t="shared" si="3"/>
        <v>0.35</v>
      </c>
      <c r="S9" s="42">
        <f t="shared" si="3"/>
        <v>0.35</v>
      </c>
      <c r="T9" s="42">
        <f t="shared" si="3"/>
        <v>0.35</v>
      </c>
      <c r="U9" s="42">
        <f t="shared" si="3"/>
        <v>0.35</v>
      </c>
      <c r="V9" s="42">
        <f t="shared" si="3"/>
        <v>0.35</v>
      </c>
      <c r="W9" s="42">
        <f t="shared" si="3"/>
        <v>0.35</v>
      </c>
      <c r="X9" s="42">
        <f t="shared" si="3"/>
        <v>0.35</v>
      </c>
      <c r="Y9" s="42">
        <f t="shared" si="3"/>
        <v>0.35</v>
      </c>
      <c r="Z9" s="47">
        <f t="shared" si="3"/>
        <v>0.35</v>
      </c>
    </row>
    <row r="10" spans="1:26" x14ac:dyDescent="0.3">
      <c r="D10" s="46" t="s">
        <v>116</v>
      </c>
      <c r="E10" s="32" t="s">
        <v>36</v>
      </c>
      <c r="F10" s="32"/>
      <c r="G10" s="210">
        <v>1.2</v>
      </c>
      <c r="H10" s="60">
        <f>+G10*(1+G7)</f>
        <v>1.2539999999999998</v>
      </c>
      <c r="I10" s="60">
        <f t="shared" ref="I10:Z10" si="4">+H10*(1+H7)</f>
        <v>1.2916199999999998</v>
      </c>
      <c r="J10" s="60">
        <f t="shared" si="4"/>
        <v>1.3303685999999999</v>
      </c>
      <c r="K10" s="60">
        <f t="shared" si="4"/>
        <v>1.3702796579999998</v>
      </c>
      <c r="L10" s="60">
        <f t="shared" si="4"/>
        <v>1.4113880477399998</v>
      </c>
      <c r="M10" s="60">
        <f t="shared" si="4"/>
        <v>1.4537296891721998</v>
      </c>
      <c r="N10" s="60">
        <f t="shared" si="4"/>
        <v>1.4973415798473659</v>
      </c>
      <c r="O10" s="60">
        <f t="shared" si="4"/>
        <v>1.542261827242787</v>
      </c>
      <c r="P10" s="60">
        <f t="shared" si="4"/>
        <v>1.5885296820600707</v>
      </c>
      <c r="Q10" s="60">
        <f t="shared" si="4"/>
        <v>1.6361855725218728</v>
      </c>
      <c r="R10" s="60">
        <f t="shared" si="4"/>
        <v>1.6852711396975291</v>
      </c>
      <c r="S10" s="60">
        <f t="shared" si="4"/>
        <v>1.7358292738884549</v>
      </c>
      <c r="T10" s="60">
        <f t="shared" si="4"/>
        <v>1.7879041521051087</v>
      </c>
      <c r="U10" s="60">
        <f t="shared" si="4"/>
        <v>1.841541276668262</v>
      </c>
      <c r="V10" s="60">
        <f t="shared" si="4"/>
        <v>1.8967875149683098</v>
      </c>
      <c r="W10" s="60">
        <f t="shared" si="4"/>
        <v>1.9536911404173591</v>
      </c>
      <c r="X10" s="60">
        <f t="shared" si="4"/>
        <v>2.01230187462988</v>
      </c>
      <c r="Y10" s="60">
        <f t="shared" si="4"/>
        <v>2.0726709308687763</v>
      </c>
      <c r="Z10" s="61">
        <f t="shared" si="4"/>
        <v>2.1348510587948395</v>
      </c>
    </row>
    <row r="11" spans="1:26" x14ac:dyDescent="0.3">
      <c r="D11" s="46" t="s">
        <v>117</v>
      </c>
      <c r="E11" s="32" t="s">
        <v>36</v>
      </c>
      <c r="F11" s="32"/>
      <c r="G11" s="210">
        <v>0.4</v>
      </c>
      <c r="H11" s="60">
        <f>+G11*(1+G7)</f>
        <v>0.41799999999999998</v>
      </c>
      <c r="I11" s="60">
        <f t="shared" ref="I11:Z11" si="5">+H11*(1+H7)</f>
        <v>0.43053999999999998</v>
      </c>
      <c r="J11" s="60">
        <f t="shared" si="5"/>
        <v>0.44345619999999997</v>
      </c>
      <c r="K11" s="60">
        <f t="shared" si="5"/>
        <v>0.456759886</v>
      </c>
      <c r="L11" s="60">
        <f t="shared" si="5"/>
        <v>0.47046268258000001</v>
      </c>
      <c r="M11" s="60">
        <f t="shared" si="5"/>
        <v>0.48457656305740004</v>
      </c>
      <c r="N11" s="60">
        <f t="shared" si="5"/>
        <v>0.49911385994912205</v>
      </c>
      <c r="O11" s="60">
        <f t="shared" si="5"/>
        <v>0.51408727574759572</v>
      </c>
      <c r="P11" s="60">
        <f t="shared" si="5"/>
        <v>0.52950989402002357</v>
      </c>
      <c r="Q11" s="60">
        <f t="shared" si="5"/>
        <v>0.54539519084062427</v>
      </c>
      <c r="R11" s="60">
        <f t="shared" si="5"/>
        <v>0.56175704656584302</v>
      </c>
      <c r="S11" s="60">
        <f t="shared" si="5"/>
        <v>0.57860975796281833</v>
      </c>
      <c r="T11" s="60">
        <f t="shared" si="5"/>
        <v>0.59596805070170289</v>
      </c>
      <c r="U11" s="60">
        <f t="shared" si="5"/>
        <v>0.61384709222275402</v>
      </c>
      <c r="V11" s="60">
        <f t="shared" si="5"/>
        <v>0.6322625049894367</v>
      </c>
      <c r="W11" s="60">
        <f t="shared" si="5"/>
        <v>0.65123038013911982</v>
      </c>
      <c r="X11" s="60">
        <f t="shared" si="5"/>
        <v>0.6707672915432934</v>
      </c>
      <c r="Y11" s="60">
        <f t="shared" si="5"/>
        <v>0.69089031028959225</v>
      </c>
      <c r="Z11" s="61">
        <f t="shared" si="5"/>
        <v>0.71161701959828005</v>
      </c>
    </row>
    <row r="12" spans="1:26" x14ac:dyDescent="0.3">
      <c r="D12" s="46" t="s">
        <v>120</v>
      </c>
      <c r="E12" s="32" t="s">
        <v>36</v>
      </c>
      <c r="F12" s="32"/>
      <c r="G12" s="210">
        <v>0.2</v>
      </c>
      <c r="H12" s="60">
        <f>+G12*(1+G7)</f>
        <v>0.20899999999999999</v>
      </c>
      <c r="I12" s="60">
        <f t="shared" ref="I12:Z12" si="6">+H12*(1+H7)</f>
        <v>0.21526999999999999</v>
      </c>
      <c r="J12" s="60">
        <f t="shared" si="6"/>
        <v>0.22172809999999998</v>
      </c>
      <c r="K12" s="60">
        <f t="shared" si="6"/>
        <v>0.228379943</v>
      </c>
      <c r="L12" s="60">
        <f t="shared" si="6"/>
        <v>0.23523134129000001</v>
      </c>
      <c r="M12" s="60">
        <f t="shared" si="6"/>
        <v>0.24228828152870002</v>
      </c>
      <c r="N12" s="60">
        <f t="shared" si="6"/>
        <v>0.24955692997456103</v>
      </c>
      <c r="O12" s="60">
        <f t="shared" si="6"/>
        <v>0.25704363787379786</v>
      </c>
      <c r="P12" s="60">
        <f t="shared" si="6"/>
        <v>0.26475494701001179</v>
      </c>
      <c r="Q12" s="60">
        <f t="shared" si="6"/>
        <v>0.27269759542031213</v>
      </c>
      <c r="R12" s="60">
        <f t="shared" si="6"/>
        <v>0.28087852328292151</v>
      </c>
      <c r="S12" s="60">
        <f t="shared" si="6"/>
        <v>0.28930487898140916</v>
      </c>
      <c r="T12" s="60">
        <f t="shared" si="6"/>
        <v>0.29798402535085144</v>
      </c>
      <c r="U12" s="60">
        <f t="shared" si="6"/>
        <v>0.30692354611137701</v>
      </c>
      <c r="V12" s="60">
        <f t="shared" si="6"/>
        <v>0.31613125249471835</v>
      </c>
      <c r="W12" s="60">
        <f t="shared" si="6"/>
        <v>0.32561519006955991</v>
      </c>
      <c r="X12" s="60">
        <f t="shared" si="6"/>
        <v>0.3353836457716467</v>
      </c>
      <c r="Y12" s="60">
        <f t="shared" si="6"/>
        <v>0.34544515514479612</v>
      </c>
      <c r="Z12" s="61">
        <f t="shared" si="6"/>
        <v>0.35580850979914003</v>
      </c>
    </row>
    <row r="13" spans="1:26" ht="14.5" x14ac:dyDescent="0.35">
      <c r="B13"/>
      <c r="D13" s="46" t="s">
        <v>118</v>
      </c>
      <c r="E13" s="32" t="s">
        <v>36</v>
      </c>
      <c r="F13" s="32"/>
      <c r="G13" s="210">
        <v>0.3</v>
      </c>
      <c r="H13" s="60">
        <f>+G13*(1+G7)</f>
        <v>0.31349999999999995</v>
      </c>
      <c r="I13" s="60">
        <f t="shared" ref="I13:Z13" si="7">+H13*(1+H7)</f>
        <v>0.32290499999999994</v>
      </c>
      <c r="J13" s="60">
        <f t="shared" si="7"/>
        <v>0.33259214999999998</v>
      </c>
      <c r="K13" s="60">
        <f t="shared" si="7"/>
        <v>0.34256991449999996</v>
      </c>
      <c r="L13" s="60">
        <f t="shared" si="7"/>
        <v>0.35284701193499995</v>
      </c>
      <c r="M13" s="60">
        <f t="shared" si="7"/>
        <v>0.36343242229304995</v>
      </c>
      <c r="N13" s="60">
        <f t="shared" si="7"/>
        <v>0.37433539496184148</v>
      </c>
      <c r="O13" s="60">
        <f t="shared" si="7"/>
        <v>0.38556545681069676</v>
      </c>
      <c r="P13" s="60">
        <f t="shared" si="7"/>
        <v>0.39713242051501768</v>
      </c>
      <c r="Q13" s="60">
        <f t="shared" si="7"/>
        <v>0.4090463931304682</v>
      </c>
      <c r="R13" s="60">
        <f t="shared" si="7"/>
        <v>0.42131778492438227</v>
      </c>
      <c r="S13" s="60">
        <f t="shared" si="7"/>
        <v>0.43395731847211372</v>
      </c>
      <c r="T13" s="60">
        <f t="shared" si="7"/>
        <v>0.44697603802627717</v>
      </c>
      <c r="U13" s="60">
        <f t="shared" si="7"/>
        <v>0.46038531916706549</v>
      </c>
      <c r="V13" s="60">
        <f t="shared" si="7"/>
        <v>0.47419687874207744</v>
      </c>
      <c r="W13" s="60">
        <f t="shared" si="7"/>
        <v>0.48842278510433979</v>
      </c>
      <c r="X13" s="60">
        <f t="shared" si="7"/>
        <v>0.50307546865746999</v>
      </c>
      <c r="Y13" s="60">
        <f t="shared" si="7"/>
        <v>0.51816773271719407</v>
      </c>
      <c r="Z13" s="61">
        <f t="shared" si="7"/>
        <v>0.53371276469870987</v>
      </c>
    </row>
    <row r="14" spans="1:26" hidden="1" x14ac:dyDescent="0.3">
      <c r="D14" s="46" t="s">
        <v>121</v>
      </c>
      <c r="E14" s="32" t="s">
        <v>53</v>
      </c>
      <c r="F14" s="32">
        <v>20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48"/>
    </row>
    <row r="15" spans="1:26" x14ac:dyDescent="0.3">
      <c r="D15" s="46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48"/>
    </row>
    <row r="16" spans="1:26" ht="14.5" x14ac:dyDescent="0.35">
      <c r="B16"/>
      <c r="D16" s="49" t="s">
        <v>86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48"/>
    </row>
    <row r="17" spans="4:26" x14ac:dyDescent="0.3">
      <c r="D17" s="46" t="s">
        <v>97</v>
      </c>
      <c r="E17" s="32" t="s">
        <v>31</v>
      </c>
      <c r="F17" s="32"/>
      <c r="G17" s="211">
        <v>10000</v>
      </c>
      <c r="H17" s="211">
        <v>10000</v>
      </c>
      <c r="I17" s="211">
        <v>10000</v>
      </c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50"/>
    </row>
    <row r="18" spans="4:26" x14ac:dyDescent="0.3">
      <c r="D18" s="46" t="s">
        <v>98</v>
      </c>
      <c r="E18" s="32" t="s">
        <v>31</v>
      </c>
      <c r="F18" s="32"/>
      <c r="G18" s="39">
        <f t="shared" ref="G18:N18" si="8">+G17+F18</f>
        <v>10000</v>
      </c>
      <c r="H18" s="39">
        <f t="shared" si="8"/>
        <v>20000</v>
      </c>
      <c r="I18" s="39">
        <f t="shared" si="8"/>
        <v>30000</v>
      </c>
      <c r="J18" s="39">
        <f t="shared" si="8"/>
        <v>30000</v>
      </c>
      <c r="K18" s="39">
        <f t="shared" si="8"/>
        <v>30000</v>
      </c>
      <c r="L18" s="39">
        <f t="shared" si="8"/>
        <v>30000</v>
      </c>
      <c r="M18" s="39">
        <f t="shared" si="8"/>
        <v>30000</v>
      </c>
      <c r="N18" s="39">
        <f t="shared" si="8"/>
        <v>30000</v>
      </c>
      <c r="O18" s="39">
        <f t="shared" ref="O18" si="9">+O17+N18</f>
        <v>30000</v>
      </c>
      <c r="P18" s="39">
        <f t="shared" ref="P18" si="10">+P17+O18</f>
        <v>30000</v>
      </c>
      <c r="Q18" s="39">
        <f t="shared" ref="Q18" si="11">+Q17+P18</f>
        <v>30000</v>
      </c>
      <c r="R18" s="39">
        <f t="shared" ref="R18" si="12">+R17+Q18</f>
        <v>30000</v>
      </c>
      <c r="S18" s="39">
        <f t="shared" ref="S18" si="13">+S17+R18</f>
        <v>30000</v>
      </c>
      <c r="T18" s="39">
        <f t="shared" ref="T18" si="14">+T17+S18</f>
        <v>30000</v>
      </c>
      <c r="U18" s="39">
        <f t="shared" ref="U18" si="15">+U17+T18</f>
        <v>30000</v>
      </c>
      <c r="V18" s="39">
        <f t="shared" ref="V18" si="16">+V17+U18</f>
        <v>30000</v>
      </c>
      <c r="W18" s="39">
        <f t="shared" ref="W18" si="17">+W17+V18</f>
        <v>30000</v>
      </c>
      <c r="X18" s="39">
        <f t="shared" ref="X18" si="18">+X17+W18</f>
        <v>30000</v>
      </c>
      <c r="Y18" s="39">
        <f t="shared" ref="Y18" si="19">+Y17+X18</f>
        <v>30000</v>
      </c>
      <c r="Z18" s="50">
        <f t="shared" ref="Z18" si="20">+Z17+Y18</f>
        <v>30000</v>
      </c>
    </row>
    <row r="19" spans="4:26" x14ac:dyDescent="0.3">
      <c r="D19" s="46" t="s">
        <v>99</v>
      </c>
      <c r="E19" s="32" t="s">
        <v>100</v>
      </c>
      <c r="F19" s="32"/>
      <c r="G19" s="211">
        <v>12</v>
      </c>
      <c r="H19" s="39">
        <f>+G19*(1-1%)</f>
        <v>11.879999999999999</v>
      </c>
      <c r="I19" s="39">
        <f t="shared" ref="I19:Z19" si="21">+H19*(1-1%)</f>
        <v>11.761199999999999</v>
      </c>
      <c r="J19" s="39">
        <f t="shared" si="21"/>
        <v>11.643587999999999</v>
      </c>
      <c r="K19" s="39">
        <f t="shared" si="21"/>
        <v>11.527152119999998</v>
      </c>
      <c r="L19" s="39">
        <f t="shared" si="21"/>
        <v>11.411880598799998</v>
      </c>
      <c r="M19" s="39">
        <f t="shared" si="21"/>
        <v>11.297761792811999</v>
      </c>
      <c r="N19" s="39">
        <f t="shared" si="21"/>
        <v>11.184784174883879</v>
      </c>
      <c r="O19" s="39">
        <f t="shared" si="21"/>
        <v>11.07293633313504</v>
      </c>
      <c r="P19" s="39">
        <f t="shared" si="21"/>
        <v>10.96220696980369</v>
      </c>
      <c r="Q19" s="39">
        <f t="shared" si="21"/>
        <v>10.852584900105652</v>
      </c>
      <c r="R19" s="39">
        <f t="shared" si="21"/>
        <v>10.744059051104596</v>
      </c>
      <c r="S19" s="39">
        <f t="shared" si="21"/>
        <v>10.636618460593549</v>
      </c>
      <c r="T19" s="39">
        <f t="shared" si="21"/>
        <v>10.530252275987614</v>
      </c>
      <c r="U19" s="39">
        <f t="shared" si="21"/>
        <v>10.424949753227738</v>
      </c>
      <c r="V19" s="39">
        <f t="shared" si="21"/>
        <v>10.32070025569546</v>
      </c>
      <c r="W19" s="39">
        <f t="shared" si="21"/>
        <v>10.217493253138505</v>
      </c>
      <c r="X19" s="39">
        <f t="shared" si="21"/>
        <v>10.11531832060712</v>
      </c>
      <c r="Y19" s="39">
        <f t="shared" si="21"/>
        <v>10.014165137401049</v>
      </c>
      <c r="Z19" s="50">
        <f t="shared" si="21"/>
        <v>9.9140234860270375</v>
      </c>
    </row>
    <row r="20" spans="4:26" x14ac:dyDescent="0.3">
      <c r="D20" s="51" t="s">
        <v>96</v>
      </c>
      <c r="E20" s="40" t="s">
        <v>101</v>
      </c>
      <c r="F20" s="40"/>
      <c r="G20" s="41">
        <f>+G19*G18*12</f>
        <v>1440000</v>
      </c>
      <c r="H20" s="41">
        <f t="shared" ref="H20:N20" si="22">+H19*H18*12</f>
        <v>2851199.9999999995</v>
      </c>
      <c r="I20" s="41">
        <f t="shared" si="22"/>
        <v>4234031.9999999991</v>
      </c>
      <c r="J20" s="41">
        <f t="shared" si="22"/>
        <v>4191691.6799999997</v>
      </c>
      <c r="K20" s="41">
        <f t="shared" si="22"/>
        <v>4149774.763199999</v>
      </c>
      <c r="L20" s="41">
        <f t="shared" si="22"/>
        <v>4108277.0155679993</v>
      </c>
      <c r="M20" s="41">
        <f t="shared" si="22"/>
        <v>4067194.245412319</v>
      </c>
      <c r="N20" s="41">
        <f t="shared" si="22"/>
        <v>4026522.302958196</v>
      </c>
      <c r="O20" s="41">
        <f t="shared" ref="O20" si="23">+O19*O18*12</f>
        <v>3986257.0799286142</v>
      </c>
      <c r="P20" s="41">
        <f t="shared" ref="P20" si="24">+P19*P18*12</f>
        <v>3946394.5091293287</v>
      </c>
      <c r="Q20" s="41">
        <f t="shared" ref="Q20" si="25">+Q19*Q18*12</f>
        <v>3906930.5640380355</v>
      </c>
      <c r="R20" s="41">
        <f t="shared" ref="R20" si="26">+R19*R18*12</f>
        <v>3867861.2583976546</v>
      </c>
      <c r="S20" s="41">
        <f t="shared" ref="S20" si="27">+S19*S18*12</f>
        <v>3829182.6458136775</v>
      </c>
      <c r="T20" s="41">
        <f t="shared" ref="T20" si="28">+T19*T18*12</f>
        <v>3790890.8193555409</v>
      </c>
      <c r="U20" s="41">
        <f t="shared" ref="U20" si="29">+U19*U18*12</f>
        <v>3752981.9111619852</v>
      </c>
      <c r="V20" s="41">
        <f t="shared" ref="V20" si="30">+V19*V18*12</f>
        <v>3715452.0920503661</v>
      </c>
      <c r="W20" s="41">
        <f t="shared" ref="W20" si="31">+W19*W18*12</f>
        <v>3678297.5711298613</v>
      </c>
      <c r="X20" s="41">
        <f t="shared" ref="X20" si="32">+X19*X18*12</f>
        <v>3641514.5954185631</v>
      </c>
      <c r="Y20" s="41">
        <f t="shared" ref="Y20" si="33">+Y19*Y18*12</f>
        <v>3605099.4494643775</v>
      </c>
      <c r="Z20" s="52">
        <f t="shared" ref="Z20" si="34">+Z19*Z18*12</f>
        <v>3569048.454969734</v>
      </c>
    </row>
    <row r="21" spans="4:26" x14ac:dyDescent="0.3">
      <c r="D21" s="46"/>
      <c r="E21" s="32"/>
      <c r="F21" s="32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50"/>
    </row>
    <row r="22" spans="4:26" x14ac:dyDescent="0.3">
      <c r="D22" s="49" t="s">
        <v>114</v>
      </c>
      <c r="E22" s="32"/>
      <c r="F22" s="32"/>
      <c r="G22" s="41">
        <f>+G23+G24</f>
        <v>1928000</v>
      </c>
      <c r="H22" s="41">
        <f t="shared" ref="H22:Z22" si="35">+H23+H24</f>
        <v>3775404.7999999989</v>
      </c>
      <c r="I22" s="41">
        <f t="shared" si="35"/>
        <v>5668760.4118399974</v>
      </c>
      <c r="J22" s="41">
        <f t="shared" si="35"/>
        <v>5776494.9919532472</v>
      </c>
      <c r="K22" s="41">
        <f t="shared" si="35"/>
        <v>5886351.9432947254</v>
      </c>
      <c r="L22" s="41">
        <f t="shared" si="35"/>
        <v>5798373.0765776318</v>
      </c>
      <c r="M22" s="41">
        <f t="shared" si="35"/>
        <v>5912601.0261862101</v>
      </c>
      <c r="N22" s="41">
        <f t="shared" si="35"/>
        <v>6029079.2664020797</v>
      </c>
      <c r="O22" s="41">
        <f t="shared" si="35"/>
        <v>6147852.1279502008</v>
      </c>
      <c r="P22" s="41">
        <f t="shared" si="35"/>
        <v>6268964.8148708213</v>
      </c>
      <c r="Q22" s="41">
        <f t="shared" si="35"/>
        <v>6392463.4217237765</v>
      </c>
      <c r="R22" s="41">
        <f t="shared" si="35"/>
        <v>6518394.9511317341</v>
      </c>
      <c r="S22" s="41">
        <f t="shared" si="35"/>
        <v>6646807.3316690279</v>
      </c>
      <c r="T22" s="41">
        <f t="shared" si="35"/>
        <v>6777749.436102909</v>
      </c>
      <c r="U22" s="41">
        <f t="shared" si="35"/>
        <v>6911271.099994136</v>
      </c>
      <c r="V22" s="41">
        <f t="shared" si="35"/>
        <v>7047423.1406640215</v>
      </c>
      <c r="W22" s="41">
        <f t="shared" si="35"/>
        <v>7186257.3765351009</v>
      </c>
      <c r="X22" s="41">
        <f t="shared" si="35"/>
        <v>7327826.6468528435</v>
      </c>
      <c r="Y22" s="41">
        <f t="shared" si="35"/>
        <v>7472184.8317958442</v>
      </c>
      <c r="Z22" s="52">
        <f t="shared" si="35"/>
        <v>7619386.8729822226</v>
      </c>
    </row>
    <row r="23" spans="4:26" x14ac:dyDescent="0.3">
      <c r="D23" s="46" t="s">
        <v>119</v>
      </c>
      <c r="E23" s="32" t="s">
        <v>54</v>
      </c>
      <c r="F23" s="32"/>
      <c r="G23" s="39">
        <f t="shared" ref="G23:Z23" si="36">+G20*G10</f>
        <v>1728000</v>
      </c>
      <c r="H23" s="39">
        <f t="shared" si="36"/>
        <v>3575404.7999999989</v>
      </c>
      <c r="I23" s="39">
        <f t="shared" si="36"/>
        <v>5468760.4118399974</v>
      </c>
      <c r="J23" s="39">
        <f t="shared" si="36"/>
        <v>5576494.9919532472</v>
      </c>
      <c r="K23" s="39">
        <f t="shared" si="36"/>
        <v>5686351.9432947254</v>
      </c>
      <c r="L23" s="39">
        <f t="shared" si="36"/>
        <v>5798373.0765776318</v>
      </c>
      <c r="M23" s="39">
        <f t="shared" si="36"/>
        <v>5912601.0261862101</v>
      </c>
      <c r="N23" s="39">
        <f t="shared" si="36"/>
        <v>6029079.2664020797</v>
      </c>
      <c r="O23" s="39">
        <f t="shared" si="36"/>
        <v>6147852.1279502008</v>
      </c>
      <c r="P23" s="39">
        <f t="shared" si="36"/>
        <v>6268964.8148708213</v>
      </c>
      <c r="Q23" s="39">
        <f t="shared" si="36"/>
        <v>6392463.4217237765</v>
      </c>
      <c r="R23" s="39">
        <f t="shared" si="36"/>
        <v>6518394.9511317341</v>
      </c>
      <c r="S23" s="39">
        <f t="shared" si="36"/>
        <v>6646807.3316690279</v>
      </c>
      <c r="T23" s="39">
        <f t="shared" si="36"/>
        <v>6777749.436102909</v>
      </c>
      <c r="U23" s="39">
        <f t="shared" si="36"/>
        <v>6911271.099994136</v>
      </c>
      <c r="V23" s="39">
        <f t="shared" si="36"/>
        <v>7047423.1406640215</v>
      </c>
      <c r="W23" s="39">
        <f t="shared" si="36"/>
        <v>7186257.3765351009</v>
      </c>
      <c r="X23" s="39">
        <f t="shared" si="36"/>
        <v>7327826.6468528435</v>
      </c>
      <c r="Y23" s="39">
        <f t="shared" si="36"/>
        <v>7472184.8317958442</v>
      </c>
      <c r="Z23" s="50">
        <f t="shared" si="36"/>
        <v>7619386.8729822226</v>
      </c>
    </row>
    <row r="24" spans="4:26" x14ac:dyDescent="0.3">
      <c r="D24" s="46" t="s">
        <v>115</v>
      </c>
      <c r="E24" s="32" t="s">
        <v>54</v>
      </c>
      <c r="F24" s="32"/>
      <c r="G24" s="211">
        <v>200000</v>
      </c>
      <c r="H24" s="211">
        <v>200000</v>
      </c>
      <c r="I24" s="211">
        <v>200000</v>
      </c>
      <c r="J24" s="211">
        <v>200000</v>
      </c>
      <c r="K24" s="211">
        <v>200000</v>
      </c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50"/>
    </row>
    <row r="25" spans="4:26" x14ac:dyDescent="0.3">
      <c r="D25" s="46"/>
      <c r="E25" s="32"/>
      <c r="F25" s="32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50"/>
    </row>
    <row r="26" spans="4:26" x14ac:dyDescent="0.3">
      <c r="D26" s="49" t="s">
        <v>87</v>
      </c>
      <c r="E26" s="32"/>
      <c r="F26" s="41">
        <f>+SUM(F27:F30)</f>
        <v>10950000</v>
      </c>
      <c r="G26" s="39">
        <f t="shared" ref="G26:N26" si="37">+SUM(G27:G30)</f>
        <v>0</v>
      </c>
      <c r="H26" s="39">
        <f t="shared" si="37"/>
        <v>0</v>
      </c>
      <c r="I26" s="39">
        <f t="shared" si="37"/>
        <v>0</v>
      </c>
      <c r="J26" s="39">
        <f t="shared" si="37"/>
        <v>0</v>
      </c>
      <c r="K26" s="39">
        <f t="shared" si="37"/>
        <v>0</v>
      </c>
      <c r="L26" s="39">
        <f t="shared" si="37"/>
        <v>0</v>
      </c>
      <c r="M26" s="39">
        <f t="shared" si="37"/>
        <v>0</v>
      </c>
      <c r="N26" s="39">
        <f t="shared" si="37"/>
        <v>0</v>
      </c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50"/>
    </row>
    <row r="27" spans="4:26" x14ac:dyDescent="0.3">
      <c r="D27" s="46" t="s">
        <v>91</v>
      </c>
      <c r="E27" s="32"/>
      <c r="F27" s="211">
        <v>250000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50"/>
    </row>
    <row r="28" spans="4:26" x14ac:dyDescent="0.3">
      <c r="D28" s="46" t="s">
        <v>92</v>
      </c>
      <c r="E28" s="32" t="s">
        <v>54</v>
      </c>
      <c r="F28" s="211">
        <v>10000000</v>
      </c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50"/>
    </row>
    <row r="29" spans="4:26" x14ac:dyDescent="0.3">
      <c r="D29" s="46" t="s">
        <v>93</v>
      </c>
      <c r="E29" s="32" t="s">
        <v>54</v>
      </c>
      <c r="F29" s="211">
        <v>500000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50"/>
    </row>
    <row r="30" spans="4:26" x14ac:dyDescent="0.3">
      <c r="D30" s="46" t="s">
        <v>94</v>
      </c>
      <c r="E30" s="32" t="s">
        <v>54</v>
      </c>
      <c r="F30" s="211">
        <v>200000</v>
      </c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50"/>
    </row>
    <row r="31" spans="4:26" x14ac:dyDescent="0.3">
      <c r="D31" s="46"/>
      <c r="E31" s="32"/>
      <c r="F31" s="32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50"/>
    </row>
    <row r="32" spans="4:26" x14ac:dyDescent="0.3">
      <c r="D32" s="49" t="s">
        <v>88</v>
      </c>
      <c r="E32" s="32" t="s">
        <v>54</v>
      </c>
      <c r="F32" s="32"/>
      <c r="G32" s="41">
        <f>+G33+G35</f>
        <v>1346000</v>
      </c>
      <c r="H32" s="41">
        <f t="shared" ref="H32:Z32" si="38">+H33+H35</f>
        <v>2733053.5999999996</v>
      </c>
      <c r="I32" s="41">
        <f t="shared" si="38"/>
        <v>4154615.3088799985</v>
      </c>
      <c r="J32" s="41">
        <f t="shared" si="38"/>
        <v>4237007.5939649353</v>
      </c>
      <c r="K32" s="41">
        <f t="shared" si="38"/>
        <v>4321039.3979710443</v>
      </c>
      <c r="L32" s="41">
        <f t="shared" si="38"/>
        <v>4406743.5111482246</v>
      </c>
      <c r="M32" s="41">
        <f t="shared" si="38"/>
        <v>4494153.3844661089</v>
      </c>
      <c r="N32" s="41">
        <f t="shared" si="38"/>
        <v>4583303.1430728044</v>
      </c>
      <c r="O32" s="41">
        <f t="shared" si="38"/>
        <v>4674227.6000320315</v>
      </c>
      <c r="P32" s="41">
        <f t="shared" si="38"/>
        <v>4766962.2703445787</v>
      </c>
      <c r="Q32" s="41">
        <f t="shared" si="38"/>
        <v>4861543.385260039</v>
      </c>
      <c r="R32" s="41">
        <f t="shared" si="38"/>
        <v>4958007.9068850232</v>
      </c>
      <c r="S32" s="41">
        <f t="shared" si="38"/>
        <v>5056393.5430940809</v>
      </c>
      <c r="T32" s="41">
        <f t="shared" si="38"/>
        <v>5156738.7627497595</v>
      </c>
      <c r="U32" s="41">
        <f t="shared" si="38"/>
        <v>5259082.8112383569</v>
      </c>
      <c r="V32" s="41">
        <f t="shared" si="38"/>
        <v>5363465.7263280554</v>
      </c>
      <c r="W32" s="41">
        <f t="shared" si="38"/>
        <v>5469928.3543562666</v>
      </c>
      <c r="X32" s="41">
        <f t="shared" si="38"/>
        <v>5578512.3667532206</v>
      </c>
      <c r="Y32" s="41">
        <f t="shared" si="38"/>
        <v>5689260.2769088792</v>
      </c>
      <c r="Z32" s="52">
        <f t="shared" si="38"/>
        <v>5802215.4573905226</v>
      </c>
    </row>
    <row r="33" spans="4:26" x14ac:dyDescent="0.3">
      <c r="D33" s="51" t="s">
        <v>5</v>
      </c>
      <c r="E33" s="32" t="s">
        <v>54</v>
      </c>
      <c r="F33" s="32"/>
      <c r="G33" s="41">
        <f>+G34</f>
        <v>50000</v>
      </c>
      <c r="H33" s="41">
        <f t="shared" ref="H33:Z33" si="39">+H34</f>
        <v>51500</v>
      </c>
      <c r="I33" s="41">
        <f t="shared" si="39"/>
        <v>53045</v>
      </c>
      <c r="J33" s="41">
        <f t="shared" si="39"/>
        <v>54636.35</v>
      </c>
      <c r="K33" s="41">
        <f t="shared" si="39"/>
        <v>56275.440499999997</v>
      </c>
      <c r="L33" s="41">
        <f t="shared" si="39"/>
        <v>57963.703714999996</v>
      </c>
      <c r="M33" s="41">
        <f t="shared" si="39"/>
        <v>59702.614826450001</v>
      </c>
      <c r="N33" s="41">
        <f t="shared" si="39"/>
        <v>61493.693271243501</v>
      </c>
      <c r="O33" s="41">
        <f t="shared" si="39"/>
        <v>63338.504069380804</v>
      </c>
      <c r="P33" s="41">
        <f t="shared" si="39"/>
        <v>65238.659191462233</v>
      </c>
      <c r="Q33" s="41">
        <f t="shared" si="39"/>
        <v>67195.818967206098</v>
      </c>
      <c r="R33" s="41">
        <f t="shared" si="39"/>
        <v>69211.693536222287</v>
      </c>
      <c r="S33" s="41">
        <f t="shared" si="39"/>
        <v>71288.04434230896</v>
      </c>
      <c r="T33" s="41">
        <f t="shared" si="39"/>
        <v>73426.685672578227</v>
      </c>
      <c r="U33" s="41">
        <f t="shared" si="39"/>
        <v>75629.486242755578</v>
      </c>
      <c r="V33" s="41">
        <f t="shared" si="39"/>
        <v>77898.370830038242</v>
      </c>
      <c r="W33" s="41">
        <f t="shared" si="39"/>
        <v>80235.321954939398</v>
      </c>
      <c r="X33" s="41">
        <f t="shared" si="39"/>
        <v>82642.381613587582</v>
      </c>
      <c r="Y33" s="41">
        <f t="shared" si="39"/>
        <v>85121.65306199521</v>
      </c>
      <c r="Z33" s="52">
        <f t="shared" si="39"/>
        <v>87675.302653855062</v>
      </c>
    </row>
    <row r="34" spans="4:26" x14ac:dyDescent="0.3">
      <c r="D34" s="46" t="s">
        <v>6</v>
      </c>
      <c r="E34" s="32" t="s">
        <v>54</v>
      </c>
      <c r="F34" s="32"/>
      <c r="G34" s="211">
        <v>50000</v>
      </c>
      <c r="H34" s="39">
        <f t="shared" ref="H34:Z34" si="40">+G34*(1+H7)</f>
        <v>51500</v>
      </c>
      <c r="I34" s="39">
        <f t="shared" si="40"/>
        <v>53045</v>
      </c>
      <c r="J34" s="39">
        <f t="shared" si="40"/>
        <v>54636.35</v>
      </c>
      <c r="K34" s="39">
        <f t="shared" si="40"/>
        <v>56275.440499999997</v>
      </c>
      <c r="L34" s="39">
        <f t="shared" si="40"/>
        <v>57963.703714999996</v>
      </c>
      <c r="M34" s="39">
        <f t="shared" si="40"/>
        <v>59702.614826450001</v>
      </c>
      <c r="N34" s="39">
        <f t="shared" si="40"/>
        <v>61493.693271243501</v>
      </c>
      <c r="O34" s="39">
        <f t="shared" si="40"/>
        <v>63338.504069380804</v>
      </c>
      <c r="P34" s="39">
        <f t="shared" si="40"/>
        <v>65238.659191462233</v>
      </c>
      <c r="Q34" s="39">
        <f t="shared" si="40"/>
        <v>67195.818967206098</v>
      </c>
      <c r="R34" s="39">
        <f t="shared" si="40"/>
        <v>69211.693536222287</v>
      </c>
      <c r="S34" s="39">
        <f t="shared" si="40"/>
        <v>71288.04434230896</v>
      </c>
      <c r="T34" s="39">
        <f t="shared" si="40"/>
        <v>73426.685672578227</v>
      </c>
      <c r="U34" s="39">
        <f t="shared" si="40"/>
        <v>75629.486242755578</v>
      </c>
      <c r="V34" s="39">
        <f t="shared" si="40"/>
        <v>77898.370830038242</v>
      </c>
      <c r="W34" s="39">
        <f t="shared" si="40"/>
        <v>80235.321954939398</v>
      </c>
      <c r="X34" s="39">
        <f t="shared" si="40"/>
        <v>82642.381613587582</v>
      </c>
      <c r="Y34" s="39">
        <f t="shared" si="40"/>
        <v>85121.65306199521</v>
      </c>
      <c r="Z34" s="50">
        <f t="shared" si="40"/>
        <v>87675.302653855062</v>
      </c>
    </row>
    <row r="35" spans="4:26" x14ac:dyDescent="0.3">
      <c r="D35" s="51" t="s">
        <v>4</v>
      </c>
      <c r="E35" s="32" t="s">
        <v>54</v>
      </c>
      <c r="F35" s="32"/>
      <c r="G35" s="41">
        <f>+SUM(G36:G38)</f>
        <v>1296000</v>
      </c>
      <c r="H35" s="41">
        <f t="shared" ref="H35:Z35" si="41">+SUM(H36:H38)</f>
        <v>2681553.5999999996</v>
      </c>
      <c r="I35" s="41">
        <f t="shared" si="41"/>
        <v>4101570.3088799985</v>
      </c>
      <c r="J35" s="41">
        <f t="shared" si="41"/>
        <v>4182371.2439649357</v>
      </c>
      <c r="K35" s="41">
        <f t="shared" si="41"/>
        <v>4264763.9574710447</v>
      </c>
      <c r="L35" s="41">
        <f t="shared" si="41"/>
        <v>4348779.8074332243</v>
      </c>
      <c r="M35" s="41">
        <f t="shared" si="41"/>
        <v>4434450.7696396587</v>
      </c>
      <c r="N35" s="41">
        <f t="shared" si="41"/>
        <v>4521809.4498015605</v>
      </c>
      <c r="O35" s="41">
        <f t="shared" si="41"/>
        <v>4610889.0959626511</v>
      </c>
      <c r="P35" s="41">
        <f t="shared" si="41"/>
        <v>4701723.6111531164</v>
      </c>
      <c r="Q35" s="41">
        <f t="shared" si="41"/>
        <v>4794347.5662928326</v>
      </c>
      <c r="R35" s="41">
        <f t="shared" si="41"/>
        <v>4888796.2133488012</v>
      </c>
      <c r="S35" s="41">
        <f t="shared" si="41"/>
        <v>4985105.4987517716</v>
      </c>
      <c r="T35" s="41">
        <f t="shared" si="41"/>
        <v>5083312.0770771811</v>
      </c>
      <c r="U35" s="41">
        <f t="shared" si="41"/>
        <v>5183453.3249956015</v>
      </c>
      <c r="V35" s="41">
        <f t="shared" si="41"/>
        <v>5285567.3554980168</v>
      </c>
      <c r="W35" s="41">
        <f t="shared" si="41"/>
        <v>5389693.032401327</v>
      </c>
      <c r="X35" s="41">
        <f t="shared" si="41"/>
        <v>5495869.9851396326</v>
      </c>
      <c r="Y35" s="41">
        <f t="shared" si="41"/>
        <v>5604138.6238468839</v>
      </c>
      <c r="Z35" s="52">
        <f t="shared" si="41"/>
        <v>5714540.1547366679</v>
      </c>
    </row>
    <row r="36" spans="4:26" x14ac:dyDescent="0.3">
      <c r="D36" s="46" t="s">
        <v>89</v>
      </c>
      <c r="E36" s="32" t="s">
        <v>54</v>
      </c>
      <c r="F36" s="32"/>
      <c r="G36" s="39">
        <f t="shared" ref="G36:Z36" si="42">+G11*G$20</f>
        <v>576000</v>
      </c>
      <c r="H36" s="39">
        <f t="shared" si="42"/>
        <v>1191801.5999999999</v>
      </c>
      <c r="I36" s="39">
        <f t="shared" si="42"/>
        <v>1822920.1372799994</v>
      </c>
      <c r="J36" s="39">
        <f t="shared" si="42"/>
        <v>1858831.6639844158</v>
      </c>
      <c r="K36" s="39">
        <f t="shared" si="42"/>
        <v>1895450.6477649086</v>
      </c>
      <c r="L36" s="39">
        <f t="shared" si="42"/>
        <v>1932791.0255258775</v>
      </c>
      <c r="M36" s="39">
        <f t="shared" si="42"/>
        <v>1970867.0087287372</v>
      </c>
      <c r="N36" s="39">
        <f t="shared" si="42"/>
        <v>2009693.0888006934</v>
      </c>
      <c r="O36" s="39">
        <f t="shared" si="42"/>
        <v>2049284.0426500672</v>
      </c>
      <c r="P36" s="39">
        <f t="shared" si="42"/>
        <v>2089654.9382902738</v>
      </c>
      <c r="Q36" s="39">
        <f t="shared" si="42"/>
        <v>2130821.1405745922</v>
      </c>
      <c r="R36" s="39">
        <f t="shared" si="42"/>
        <v>2172798.3170439117</v>
      </c>
      <c r="S36" s="39">
        <f t="shared" si="42"/>
        <v>2215602.4438896761</v>
      </c>
      <c r="T36" s="39">
        <f t="shared" si="42"/>
        <v>2259249.8120343029</v>
      </c>
      <c r="U36" s="39">
        <f t="shared" si="42"/>
        <v>2303757.0333313788</v>
      </c>
      <c r="V36" s="39">
        <f t="shared" si="42"/>
        <v>2349141.0468880078</v>
      </c>
      <c r="W36" s="39">
        <f t="shared" si="42"/>
        <v>2395419.1255117008</v>
      </c>
      <c r="X36" s="39">
        <f t="shared" si="42"/>
        <v>2442608.8822842813</v>
      </c>
      <c r="Y36" s="39">
        <f t="shared" si="42"/>
        <v>2490728.2772652819</v>
      </c>
      <c r="Z36" s="50">
        <f t="shared" si="42"/>
        <v>2539795.6243274081</v>
      </c>
    </row>
    <row r="37" spans="4:26" x14ac:dyDescent="0.3">
      <c r="D37" s="46" t="s">
        <v>3</v>
      </c>
      <c r="E37" s="32" t="s">
        <v>54</v>
      </c>
      <c r="F37" s="32"/>
      <c r="G37" s="39">
        <f t="shared" ref="G37:Z37" si="43">+G12*G$20</f>
        <v>288000</v>
      </c>
      <c r="H37" s="39">
        <f t="shared" si="43"/>
        <v>595900.79999999993</v>
      </c>
      <c r="I37" s="39">
        <f t="shared" si="43"/>
        <v>911460.06863999972</v>
      </c>
      <c r="J37" s="39">
        <f t="shared" si="43"/>
        <v>929415.83199220791</v>
      </c>
      <c r="K37" s="39">
        <f t="shared" si="43"/>
        <v>947725.32388245431</v>
      </c>
      <c r="L37" s="39">
        <f t="shared" si="43"/>
        <v>966395.51276293874</v>
      </c>
      <c r="M37" s="39">
        <f t="shared" si="43"/>
        <v>985433.50436436862</v>
      </c>
      <c r="N37" s="39">
        <f t="shared" si="43"/>
        <v>1004846.5444003467</v>
      </c>
      <c r="O37" s="39">
        <f t="shared" si="43"/>
        <v>1024642.0213250336</v>
      </c>
      <c r="P37" s="39">
        <f t="shared" si="43"/>
        <v>1044827.4691451369</v>
      </c>
      <c r="Q37" s="39">
        <f t="shared" si="43"/>
        <v>1065410.5702872961</v>
      </c>
      <c r="R37" s="39">
        <f t="shared" si="43"/>
        <v>1086399.1585219558</v>
      </c>
      <c r="S37" s="39">
        <f t="shared" si="43"/>
        <v>1107801.2219448381</v>
      </c>
      <c r="T37" s="39">
        <f t="shared" si="43"/>
        <v>1129624.9060171514</v>
      </c>
      <c r="U37" s="39">
        <f t="shared" si="43"/>
        <v>1151878.5166656894</v>
      </c>
      <c r="V37" s="39">
        <f t="shared" si="43"/>
        <v>1174570.5234440039</v>
      </c>
      <c r="W37" s="39">
        <f t="shared" si="43"/>
        <v>1197709.5627558504</v>
      </c>
      <c r="X37" s="39">
        <f t="shared" si="43"/>
        <v>1221304.4411421407</v>
      </c>
      <c r="Y37" s="39">
        <f t="shared" si="43"/>
        <v>1245364.1386326409</v>
      </c>
      <c r="Z37" s="50">
        <f t="shared" si="43"/>
        <v>1269897.8121637041</v>
      </c>
    </row>
    <row r="38" spans="4:26" x14ac:dyDescent="0.3">
      <c r="D38" s="53" t="s">
        <v>2</v>
      </c>
      <c r="E38" s="54" t="s">
        <v>54</v>
      </c>
      <c r="F38" s="54"/>
      <c r="G38" s="55">
        <f t="shared" ref="G38:Z38" si="44">+G13*G$20</f>
        <v>432000</v>
      </c>
      <c r="H38" s="55">
        <f t="shared" si="44"/>
        <v>893851.19999999972</v>
      </c>
      <c r="I38" s="55">
        <f t="shared" si="44"/>
        <v>1367190.1029599993</v>
      </c>
      <c r="J38" s="55">
        <f t="shared" si="44"/>
        <v>1394123.7479883118</v>
      </c>
      <c r="K38" s="55">
        <f t="shared" si="44"/>
        <v>1421587.9858236813</v>
      </c>
      <c r="L38" s="55">
        <f t="shared" si="44"/>
        <v>1449593.2691444079</v>
      </c>
      <c r="M38" s="55">
        <f t="shared" si="44"/>
        <v>1478150.2565465525</v>
      </c>
      <c r="N38" s="55">
        <f t="shared" si="44"/>
        <v>1507269.8166005199</v>
      </c>
      <c r="O38" s="55">
        <f t="shared" si="44"/>
        <v>1536963.0319875502</v>
      </c>
      <c r="P38" s="55">
        <f t="shared" si="44"/>
        <v>1567241.2037177053</v>
      </c>
      <c r="Q38" s="55">
        <f t="shared" si="44"/>
        <v>1598115.8554309441</v>
      </c>
      <c r="R38" s="55">
        <f t="shared" si="44"/>
        <v>1629598.7377829335</v>
      </c>
      <c r="S38" s="55">
        <f t="shared" si="44"/>
        <v>1661701.832917257</v>
      </c>
      <c r="T38" s="55">
        <f t="shared" si="44"/>
        <v>1694437.3590257273</v>
      </c>
      <c r="U38" s="55">
        <f t="shared" si="44"/>
        <v>1727817.774998534</v>
      </c>
      <c r="V38" s="55">
        <f t="shared" si="44"/>
        <v>1761855.7851660054</v>
      </c>
      <c r="W38" s="55">
        <f t="shared" si="44"/>
        <v>1796564.3441337752</v>
      </c>
      <c r="X38" s="55">
        <f t="shared" si="44"/>
        <v>1831956.6617132109</v>
      </c>
      <c r="Y38" s="55">
        <f t="shared" si="44"/>
        <v>1868046.2079489611</v>
      </c>
      <c r="Z38" s="56">
        <f t="shared" si="44"/>
        <v>1904846.7182455556</v>
      </c>
    </row>
    <row r="39" spans="4:26" ht="16" x14ac:dyDescent="0.3"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4"/>
    </row>
    <row r="42" spans="4:26" ht="14" x14ac:dyDescent="0.3">
      <c r="D42" s="252" t="s">
        <v>196</v>
      </c>
      <c r="E42" s="252"/>
    </row>
    <row r="43" spans="4:26" ht="14" x14ac:dyDescent="0.3">
      <c r="D43" s="252" t="s">
        <v>197</v>
      </c>
    </row>
    <row r="44" spans="4:26" ht="14" x14ac:dyDescent="0.3">
      <c r="D44" s="252" t="s">
        <v>198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B9A0-AD5B-42EB-9732-7495798028AE}">
  <sheetPr codeName="Hoja11"/>
  <dimension ref="A1:X38"/>
  <sheetViews>
    <sheetView workbookViewId="0"/>
  </sheetViews>
  <sheetFormatPr defaultColWidth="11.453125" defaultRowHeight="14.5" x14ac:dyDescent="0.35"/>
  <cols>
    <col min="1" max="1" width="11.453125" style="6" customWidth="1"/>
    <col min="2" max="2" width="14.1796875" style="6" customWidth="1"/>
    <col min="3" max="3" width="30.453125" style="25" bestFit="1" customWidth="1"/>
    <col min="4" max="6" width="11.54296875" style="25" bestFit="1" customWidth="1"/>
    <col min="7" max="7" width="11.26953125" style="25" hidden="1" customWidth="1"/>
    <col min="8" max="8" width="11.81640625" style="25" bestFit="1" customWidth="1"/>
    <col min="9" max="12" width="11.26953125" style="25" hidden="1" customWidth="1"/>
    <col min="13" max="13" width="11.54296875" style="25" hidden="1" customWidth="1"/>
    <col min="14" max="17" width="11.26953125" style="25" hidden="1" customWidth="1"/>
    <col min="18" max="18" width="11.26953125" style="25" customWidth="1"/>
    <col min="19" max="22" width="11.26953125" style="25" hidden="1" customWidth="1"/>
    <col min="23" max="23" width="11.81640625" style="25" bestFit="1" customWidth="1"/>
    <col min="24" max="16384" width="11.453125" style="6"/>
  </cols>
  <sheetData>
    <row r="1" spans="1:24" ht="19.5" customHeight="1" x14ac:dyDescent="0.35">
      <c r="A1" s="198"/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24" ht="73.5" customHeight="1" x14ac:dyDescent="0.35">
      <c r="A2" s="205"/>
      <c r="B2" s="205"/>
      <c r="C2" s="205" t="s">
        <v>184</v>
      </c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</row>
    <row r="3" spans="1:24" ht="15" customHeight="1" x14ac:dyDescent="0.35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</row>
    <row r="5" spans="1:24" x14ac:dyDescent="0.35">
      <c r="C5" s="57" t="s">
        <v>95</v>
      </c>
      <c r="D5" s="58" t="s">
        <v>7</v>
      </c>
      <c r="E5" s="58" t="s">
        <v>8</v>
      </c>
      <c r="F5" s="58" t="s">
        <v>9</v>
      </c>
      <c r="G5" s="58" t="s">
        <v>22</v>
      </c>
      <c r="H5" s="58" t="s">
        <v>23</v>
      </c>
      <c r="I5" s="58" t="s">
        <v>81</v>
      </c>
      <c r="J5" s="58" t="s">
        <v>82</v>
      </c>
      <c r="K5" s="58" t="s">
        <v>83</v>
      </c>
      <c r="L5" s="58" t="s">
        <v>84</v>
      </c>
      <c r="M5" s="58" t="s">
        <v>85</v>
      </c>
      <c r="N5" s="58" t="s">
        <v>104</v>
      </c>
      <c r="O5" s="58" t="s">
        <v>105</v>
      </c>
      <c r="P5" s="58" t="s">
        <v>106</v>
      </c>
      <c r="Q5" s="58" t="s">
        <v>107</v>
      </c>
      <c r="R5" s="58" t="s">
        <v>108</v>
      </c>
      <c r="S5" s="58" t="s">
        <v>109</v>
      </c>
      <c r="T5" s="58" t="s">
        <v>110</v>
      </c>
      <c r="U5" s="58" t="s">
        <v>111</v>
      </c>
      <c r="V5" s="58" t="s">
        <v>112</v>
      </c>
      <c r="W5" s="59" t="s">
        <v>113</v>
      </c>
    </row>
    <row r="6" spans="1:24" x14ac:dyDescent="0.35">
      <c r="C6" s="49" t="s">
        <v>125</v>
      </c>
      <c r="D6" s="41">
        <f>+D7+D8</f>
        <v>1928000</v>
      </c>
      <c r="E6" s="41">
        <f t="shared" ref="E6:W6" si="0">+E7+E8</f>
        <v>3775404.7999999989</v>
      </c>
      <c r="F6" s="41">
        <f t="shared" si="0"/>
        <v>5668760.4118399974</v>
      </c>
      <c r="G6" s="41">
        <f t="shared" si="0"/>
        <v>5776494.9919532472</v>
      </c>
      <c r="H6" s="41">
        <f t="shared" si="0"/>
        <v>5886351.9432947254</v>
      </c>
      <c r="I6" s="41">
        <f t="shared" si="0"/>
        <v>5798373.0765776318</v>
      </c>
      <c r="J6" s="41">
        <f t="shared" si="0"/>
        <v>5912601.0261862101</v>
      </c>
      <c r="K6" s="41">
        <f t="shared" si="0"/>
        <v>6029079.2664020797</v>
      </c>
      <c r="L6" s="41">
        <f t="shared" si="0"/>
        <v>6147852.1279502008</v>
      </c>
      <c r="M6" s="41">
        <f t="shared" si="0"/>
        <v>6268964.8148708213</v>
      </c>
      <c r="N6" s="41">
        <f t="shared" si="0"/>
        <v>6392463.4217237765</v>
      </c>
      <c r="O6" s="41">
        <f t="shared" si="0"/>
        <v>6518394.9511317341</v>
      </c>
      <c r="P6" s="41">
        <f t="shared" si="0"/>
        <v>6646807.3316690279</v>
      </c>
      <c r="Q6" s="41">
        <f t="shared" si="0"/>
        <v>6777749.436102909</v>
      </c>
      <c r="R6" s="41">
        <f t="shared" si="0"/>
        <v>6911271.099994136</v>
      </c>
      <c r="S6" s="41">
        <f t="shared" si="0"/>
        <v>7047423.1406640215</v>
      </c>
      <c r="T6" s="41">
        <f t="shared" si="0"/>
        <v>7186257.3765351009</v>
      </c>
      <c r="U6" s="41">
        <f t="shared" si="0"/>
        <v>7327826.6468528435</v>
      </c>
      <c r="V6" s="41">
        <f t="shared" si="0"/>
        <v>7472184.8317958442</v>
      </c>
      <c r="W6" s="52">
        <f t="shared" si="0"/>
        <v>7619386.8729822226</v>
      </c>
    </row>
    <row r="7" spans="1:24" x14ac:dyDescent="0.35">
      <c r="C7" s="46" t="s">
        <v>168</v>
      </c>
      <c r="D7" s="212">
        <f>+'Construcción Modelo financiero'!G23</f>
        <v>1728000</v>
      </c>
      <c r="E7" s="212">
        <f>+'Construcción Modelo financiero'!H23</f>
        <v>3575404.7999999989</v>
      </c>
      <c r="F7" s="212">
        <f>+'Construcción Modelo financiero'!I23</f>
        <v>5468760.4118399974</v>
      </c>
      <c r="G7" s="212">
        <f>+'Construcción Modelo financiero'!J23</f>
        <v>5576494.9919532472</v>
      </c>
      <c r="H7" s="212">
        <f>+'Construcción Modelo financiero'!K23</f>
        <v>5686351.9432947254</v>
      </c>
      <c r="I7" s="212">
        <f>+'Construcción Modelo financiero'!L23</f>
        <v>5798373.0765776318</v>
      </c>
      <c r="J7" s="212">
        <f>+'Construcción Modelo financiero'!M23</f>
        <v>5912601.0261862101</v>
      </c>
      <c r="K7" s="212">
        <f>+'Construcción Modelo financiero'!N23</f>
        <v>6029079.2664020797</v>
      </c>
      <c r="L7" s="212">
        <f>+'Construcción Modelo financiero'!O23</f>
        <v>6147852.1279502008</v>
      </c>
      <c r="M7" s="212">
        <f>+'Construcción Modelo financiero'!P23</f>
        <v>6268964.8148708213</v>
      </c>
      <c r="N7" s="212">
        <f>+'Construcción Modelo financiero'!Q23</f>
        <v>6392463.4217237765</v>
      </c>
      <c r="O7" s="212">
        <f>+'Construcción Modelo financiero'!R23</f>
        <v>6518394.9511317341</v>
      </c>
      <c r="P7" s="212">
        <f>+'Construcción Modelo financiero'!S23</f>
        <v>6646807.3316690279</v>
      </c>
      <c r="Q7" s="212">
        <f>+'Construcción Modelo financiero'!T23</f>
        <v>6777749.436102909</v>
      </c>
      <c r="R7" s="212">
        <f>+'Construcción Modelo financiero'!U23</f>
        <v>6911271.099994136</v>
      </c>
      <c r="S7" s="212">
        <f>+'Construcción Modelo financiero'!V23</f>
        <v>7047423.1406640215</v>
      </c>
      <c r="T7" s="212">
        <f>+'Construcción Modelo financiero'!W23</f>
        <v>7186257.3765351009</v>
      </c>
      <c r="U7" s="212">
        <f>+'Construcción Modelo financiero'!X23</f>
        <v>7327826.6468528435</v>
      </c>
      <c r="V7" s="212">
        <f>+'Construcción Modelo financiero'!Y23</f>
        <v>7472184.8317958442</v>
      </c>
      <c r="W7" s="213">
        <f>+'Construcción Modelo financiero'!Z23</f>
        <v>7619386.8729822226</v>
      </c>
    </row>
    <row r="8" spans="1:24" x14ac:dyDescent="0.35">
      <c r="C8" s="46" t="s">
        <v>169</v>
      </c>
      <c r="D8" s="212">
        <f>+'Construcción Modelo financiero'!G24</f>
        <v>200000</v>
      </c>
      <c r="E8" s="212">
        <f>+'Construcción Modelo financiero'!H24</f>
        <v>200000</v>
      </c>
      <c r="F8" s="212">
        <f>+'Construcción Modelo financiero'!I24</f>
        <v>200000</v>
      </c>
      <c r="G8" s="212">
        <f>+'Construcción Modelo financiero'!J24</f>
        <v>200000</v>
      </c>
      <c r="H8" s="212">
        <f>+'Construcción Modelo financiero'!K24</f>
        <v>200000</v>
      </c>
      <c r="I8" s="212">
        <f>+'Construcción Modelo financiero'!L24</f>
        <v>0</v>
      </c>
      <c r="J8" s="212">
        <f>+'Construcción Modelo financiero'!M24</f>
        <v>0</v>
      </c>
      <c r="K8" s="212">
        <f>+'Construcción Modelo financiero'!N24</f>
        <v>0</v>
      </c>
      <c r="L8" s="212">
        <f>+'Construcción Modelo financiero'!O24</f>
        <v>0</v>
      </c>
      <c r="M8" s="212">
        <f>+'Construcción Modelo financiero'!P24</f>
        <v>0</v>
      </c>
      <c r="N8" s="212">
        <f>+'Construcción Modelo financiero'!Q24</f>
        <v>0</v>
      </c>
      <c r="O8" s="212">
        <f>+'Construcción Modelo financiero'!R24</f>
        <v>0</v>
      </c>
      <c r="P8" s="212">
        <f>+'Construcción Modelo financiero'!S24</f>
        <v>0</v>
      </c>
      <c r="Q8" s="212">
        <f>+'Construcción Modelo financiero'!T24</f>
        <v>0</v>
      </c>
      <c r="R8" s="212">
        <f>+'Construcción Modelo financiero'!U24</f>
        <v>0</v>
      </c>
      <c r="S8" s="212">
        <f>+'Construcción Modelo financiero'!V24</f>
        <v>0</v>
      </c>
      <c r="T8" s="212">
        <f>+'Construcción Modelo financiero'!W24</f>
        <v>0</v>
      </c>
      <c r="U8" s="212">
        <f>+'Construcción Modelo financiero'!X24</f>
        <v>0</v>
      </c>
      <c r="V8" s="212">
        <f>+'Construcción Modelo financiero'!Y24</f>
        <v>0</v>
      </c>
      <c r="W8" s="213">
        <f>+'Construcción Modelo financiero'!Z24</f>
        <v>0</v>
      </c>
    </row>
    <row r="9" spans="1:24" x14ac:dyDescent="0.35">
      <c r="C9" s="46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50"/>
    </row>
    <row r="10" spans="1:24" s="27" customFormat="1" x14ac:dyDescent="0.35">
      <c r="C10" s="49" t="s">
        <v>126</v>
      </c>
      <c r="D10" s="41">
        <f>+D11+D13</f>
        <v>1346000</v>
      </c>
      <c r="E10" s="41">
        <f t="shared" ref="E10:W10" si="1">+E11+E13</f>
        <v>2733053.5999999996</v>
      </c>
      <c r="F10" s="41">
        <f t="shared" si="1"/>
        <v>4154615.3088799985</v>
      </c>
      <c r="G10" s="41">
        <f t="shared" si="1"/>
        <v>4237007.5939649353</v>
      </c>
      <c r="H10" s="41">
        <f t="shared" si="1"/>
        <v>4321039.3979710443</v>
      </c>
      <c r="I10" s="41">
        <f t="shared" si="1"/>
        <v>4406743.5111482246</v>
      </c>
      <c r="J10" s="41">
        <f t="shared" si="1"/>
        <v>4494153.3844661089</v>
      </c>
      <c r="K10" s="41">
        <f t="shared" si="1"/>
        <v>4583303.1430728044</v>
      </c>
      <c r="L10" s="41">
        <f t="shared" si="1"/>
        <v>4674227.6000320315</v>
      </c>
      <c r="M10" s="41">
        <f t="shared" si="1"/>
        <v>4766962.2703445787</v>
      </c>
      <c r="N10" s="41">
        <f t="shared" si="1"/>
        <v>4861543.385260039</v>
      </c>
      <c r="O10" s="41">
        <f t="shared" si="1"/>
        <v>4958007.9068850232</v>
      </c>
      <c r="P10" s="41">
        <f t="shared" si="1"/>
        <v>5056393.5430940809</v>
      </c>
      <c r="Q10" s="41">
        <f t="shared" si="1"/>
        <v>5156738.7627497595</v>
      </c>
      <c r="R10" s="41">
        <f t="shared" si="1"/>
        <v>5259082.8112383569</v>
      </c>
      <c r="S10" s="41">
        <f t="shared" si="1"/>
        <v>5363465.7263280554</v>
      </c>
      <c r="T10" s="41">
        <f t="shared" si="1"/>
        <v>5469928.3543562666</v>
      </c>
      <c r="U10" s="41">
        <f t="shared" si="1"/>
        <v>5578512.3667532206</v>
      </c>
      <c r="V10" s="41">
        <f t="shared" si="1"/>
        <v>5689260.2769088792</v>
      </c>
      <c r="W10" s="52">
        <f t="shared" si="1"/>
        <v>5802215.4573905226</v>
      </c>
    </row>
    <row r="11" spans="1:24" x14ac:dyDescent="0.35">
      <c r="C11" s="49" t="s">
        <v>5</v>
      </c>
      <c r="D11" s="39">
        <f>+D12</f>
        <v>50000</v>
      </c>
      <c r="E11" s="39">
        <f t="shared" ref="E11:W11" si="2">+E12</f>
        <v>51500</v>
      </c>
      <c r="F11" s="39">
        <f t="shared" si="2"/>
        <v>53045</v>
      </c>
      <c r="G11" s="39">
        <f t="shared" si="2"/>
        <v>54636.35</v>
      </c>
      <c r="H11" s="39">
        <f t="shared" si="2"/>
        <v>56275.440499999997</v>
      </c>
      <c r="I11" s="39">
        <f t="shared" si="2"/>
        <v>57963.703714999996</v>
      </c>
      <c r="J11" s="39">
        <f t="shared" si="2"/>
        <v>59702.614826450001</v>
      </c>
      <c r="K11" s="39">
        <f t="shared" si="2"/>
        <v>61493.693271243501</v>
      </c>
      <c r="L11" s="39">
        <f t="shared" si="2"/>
        <v>63338.504069380804</v>
      </c>
      <c r="M11" s="39">
        <f t="shared" si="2"/>
        <v>65238.659191462233</v>
      </c>
      <c r="N11" s="39">
        <f t="shared" si="2"/>
        <v>67195.818967206098</v>
      </c>
      <c r="O11" s="39">
        <f t="shared" si="2"/>
        <v>69211.693536222287</v>
      </c>
      <c r="P11" s="39">
        <f t="shared" si="2"/>
        <v>71288.04434230896</v>
      </c>
      <c r="Q11" s="39">
        <f t="shared" si="2"/>
        <v>73426.685672578227</v>
      </c>
      <c r="R11" s="39">
        <f t="shared" si="2"/>
        <v>75629.486242755578</v>
      </c>
      <c r="S11" s="39">
        <f t="shared" si="2"/>
        <v>77898.370830038242</v>
      </c>
      <c r="T11" s="39">
        <f t="shared" si="2"/>
        <v>80235.321954939398</v>
      </c>
      <c r="U11" s="39">
        <f t="shared" si="2"/>
        <v>82642.381613587582</v>
      </c>
      <c r="V11" s="39">
        <f t="shared" si="2"/>
        <v>85121.65306199521</v>
      </c>
      <c r="W11" s="50">
        <f t="shared" si="2"/>
        <v>87675.302653855062</v>
      </c>
    </row>
    <row r="12" spans="1:24" x14ac:dyDescent="0.35">
      <c r="C12" s="46" t="s">
        <v>6</v>
      </c>
      <c r="D12" s="212">
        <f>+'Construcción Modelo financiero'!G34</f>
        <v>50000</v>
      </c>
      <c r="E12" s="212">
        <f>+'Construcción Modelo financiero'!H34</f>
        <v>51500</v>
      </c>
      <c r="F12" s="212">
        <f>+'Construcción Modelo financiero'!I34</f>
        <v>53045</v>
      </c>
      <c r="G12" s="212">
        <f>+'Construcción Modelo financiero'!J34</f>
        <v>54636.35</v>
      </c>
      <c r="H12" s="212">
        <f>+'Construcción Modelo financiero'!K34</f>
        <v>56275.440499999997</v>
      </c>
      <c r="I12" s="212">
        <f>+'Construcción Modelo financiero'!L34</f>
        <v>57963.703714999996</v>
      </c>
      <c r="J12" s="212">
        <f>+'Construcción Modelo financiero'!M34</f>
        <v>59702.614826450001</v>
      </c>
      <c r="K12" s="212">
        <f>+'Construcción Modelo financiero'!N34</f>
        <v>61493.693271243501</v>
      </c>
      <c r="L12" s="212">
        <f>+'Construcción Modelo financiero'!O34</f>
        <v>63338.504069380804</v>
      </c>
      <c r="M12" s="212">
        <f>+'Construcción Modelo financiero'!P34</f>
        <v>65238.659191462233</v>
      </c>
      <c r="N12" s="212">
        <f>+'Construcción Modelo financiero'!Q34</f>
        <v>67195.818967206098</v>
      </c>
      <c r="O12" s="212">
        <f>+'Construcción Modelo financiero'!R34</f>
        <v>69211.693536222287</v>
      </c>
      <c r="P12" s="212">
        <f>+'Construcción Modelo financiero'!S34</f>
        <v>71288.04434230896</v>
      </c>
      <c r="Q12" s="212">
        <f>+'Construcción Modelo financiero'!T34</f>
        <v>73426.685672578227</v>
      </c>
      <c r="R12" s="212">
        <f>+'Construcción Modelo financiero'!U34</f>
        <v>75629.486242755578</v>
      </c>
      <c r="S12" s="212">
        <f>+'Construcción Modelo financiero'!V34</f>
        <v>77898.370830038242</v>
      </c>
      <c r="T12" s="212">
        <f>+'Construcción Modelo financiero'!W34</f>
        <v>80235.321954939398</v>
      </c>
      <c r="U12" s="212">
        <f>+'Construcción Modelo financiero'!X34</f>
        <v>82642.381613587582</v>
      </c>
      <c r="V12" s="212">
        <f>+'Construcción Modelo financiero'!Y34</f>
        <v>85121.65306199521</v>
      </c>
      <c r="W12" s="213">
        <f>+'Construcción Modelo financiero'!Z34</f>
        <v>87675.302653855062</v>
      </c>
    </row>
    <row r="13" spans="1:24" x14ac:dyDescent="0.35">
      <c r="C13" s="49" t="s">
        <v>4</v>
      </c>
      <c r="D13" s="39">
        <f>+SUM(D14:D16)</f>
        <v>1296000</v>
      </c>
      <c r="E13" s="39">
        <f t="shared" ref="E13:W13" si="3">+SUM(E14:E16)</f>
        <v>2681553.5999999996</v>
      </c>
      <c r="F13" s="39">
        <f t="shared" si="3"/>
        <v>4101570.3088799985</v>
      </c>
      <c r="G13" s="39">
        <f t="shared" si="3"/>
        <v>4182371.2439649357</v>
      </c>
      <c r="H13" s="39">
        <f t="shared" si="3"/>
        <v>4264763.9574710447</v>
      </c>
      <c r="I13" s="39">
        <f t="shared" si="3"/>
        <v>4348779.8074332243</v>
      </c>
      <c r="J13" s="39">
        <f t="shared" si="3"/>
        <v>4434450.7696396587</v>
      </c>
      <c r="K13" s="39">
        <f t="shared" si="3"/>
        <v>4521809.4498015605</v>
      </c>
      <c r="L13" s="39">
        <f t="shared" si="3"/>
        <v>4610889.0959626511</v>
      </c>
      <c r="M13" s="39">
        <f t="shared" si="3"/>
        <v>4701723.6111531164</v>
      </c>
      <c r="N13" s="39">
        <f t="shared" si="3"/>
        <v>4794347.5662928326</v>
      </c>
      <c r="O13" s="39">
        <f t="shared" si="3"/>
        <v>4888796.2133488012</v>
      </c>
      <c r="P13" s="39">
        <f t="shared" si="3"/>
        <v>4985105.4987517716</v>
      </c>
      <c r="Q13" s="39">
        <f t="shared" si="3"/>
        <v>5083312.0770771811</v>
      </c>
      <c r="R13" s="39">
        <f t="shared" si="3"/>
        <v>5183453.3249956015</v>
      </c>
      <c r="S13" s="39">
        <f t="shared" si="3"/>
        <v>5285567.3554980168</v>
      </c>
      <c r="T13" s="39">
        <f t="shared" si="3"/>
        <v>5389693.032401327</v>
      </c>
      <c r="U13" s="39">
        <f t="shared" si="3"/>
        <v>5495869.9851396326</v>
      </c>
      <c r="V13" s="39">
        <f t="shared" si="3"/>
        <v>5604138.6238468839</v>
      </c>
      <c r="W13" s="50">
        <f t="shared" si="3"/>
        <v>5714540.1547366679</v>
      </c>
    </row>
    <row r="14" spans="1:24" x14ac:dyDescent="0.35">
      <c r="C14" s="46" t="s">
        <v>89</v>
      </c>
      <c r="D14" s="212">
        <f>+'Construcción Modelo financiero'!G36</f>
        <v>576000</v>
      </c>
      <c r="E14" s="212">
        <f>+'Construcción Modelo financiero'!H36</f>
        <v>1191801.5999999999</v>
      </c>
      <c r="F14" s="212">
        <f>+'Construcción Modelo financiero'!I36</f>
        <v>1822920.1372799994</v>
      </c>
      <c r="G14" s="212">
        <f>+'Construcción Modelo financiero'!J36</f>
        <v>1858831.6639844158</v>
      </c>
      <c r="H14" s="212">
        <f>+'Construcción Modelo financiero'!K36</f>
        <v>1895450.6477649086</v>
      </c>
      <c r="I14" s="212">
        <f>+'Construcción Modelo financiero'!L36</f>
        <v>1932791.0255258775</v>
      </c>
      <c r="J14" s="212">
        <f>+'Construcción Modelo financiero'!M36</f>
        <v>1970867.0087287372</v>
      </c>
      <c r="K14" s="212">
        <f>+'Construcción Modelo financiero'!N36</f>
        <v>2009693.0888006934</v>
      </c>
      <c r="L14" s="212">
        <f>+'Construcción Modelo financiero'!O36</f>
        <v>2049284.0426500672</v>
      </c>
      <c r="M14" s="212">
        <f>+'Construcción Modelo financiero'!P36</f>
        <v>2089654.9382902738</v>
      </c>
      <c r="N14" s="212">
        <f>+'Construcción Modelo financiero'!Q36</f>
        <v>2130821.1405745922</v>
      </c>
      <c r="O14" s="212">
        <f>+'Construcción Modelo financiero'!R36</f>
        <v>2172798.3170439117</v>
      </c>
      <c r="P14" s="212">
        <f>+'Construcción Modelo financiero'!S36</f>
        <v>2215602.4438896761</v>
      </c>
      <c r="Q14" s="212">
        <f>+'Construcción Modelo financiero'!T36</f>
        <v>2259249.8120343029</v>
      </c>
      <c r="R14" s="212">
        <f>+'Construcción Modelo financiero'!U36</f>
        <v>2303757.0333313788</v>
      </c>
      <c r="S14" s="212">
        <f>+'Construcción Modelo financiero'!V36</f>
        <v>2349141.0468880078</v>
      </c>
      <c r="T14" s="212">
        <f>+'Construcción Modelo financiero'!W36</f>
        <v>2395419.1255117008</v>
      </c>
      <c r="U14" s="212">
        <f>+'Construcción Modelo financiero'!X36</f>
        <v>2442608.8822842813</v>
      </c>
      <c r="V14" s="212">
        <f>+'Construcción Modelo financiero'!Y36</f>
        <v>2490728.2772652819</v>
      </c>
      <c r="W14" s="213">
        <f>+'Construcción Modelo financiero'!Z36</f>
        <v>2539795.6243274081</v>
      </c>
    </row>
    <row r="15" spans="1:24" x14ac:dyDescent="0.35">
      <c r="C15" s="46" t="s">
        <v>3</v>
      </c>
      <c r="D15" s="212">
        <f>+'Construcción Modelo financiero'!G37</f>
        <v>288000</v>
      </c>
      <c r="E15" s="212">
        <f>+'Construcción Modelo financiero'!H37</f>
        <v>595900.79999999993</v>
      </c>
      <c r="F15" s="212">
        <f>+'Construcción Modelo financiero'!I37</f>
        <v>911460.06863999972</v>
      </c>
      <c r="G15" s="212">
        <f>+'Construcción Modelo financiero'!J37</f>
        <v>929415.83199220791</v>
      </c>
      <c r="H15" s="212">
        <f>+'Construcción Modelo financiero'!K37</f>
        <v>947725.32388245431</v>
      </c>
      <c r="I15" s="212">
        <f>+'Construcción Modelo financiero'!L37</f>
        <v>966395.51276293874</v>
      </c>
      <c r="J15" s="212">
        <f>+'Construcción Modelo financiero'!M37</f>
        <v>985433.50436436862</v>
      </c>
      <c r="K15" s="212">
        <f>+'Construcción Modelo financiero'!N37</f>
        <v>1004846.5444003467</v>
      </c>
      <c r="L15" s="212">
        <f>+'Construcción Modelo financiero'!O37</f>
        <v>1024642.0213250336</v>
      </c>
      <c r="M15" s="212">
        <f>+'Construcción Modelo financiero'!P37</f>
        <v>1044827.4691451369</v>
      </c>
      <c r="N15" s="212">
        <f>+'Construcción Modelo financiero'!Q37</f>
        <v>1065410.5702872961</v>
      </c>
      <c r="O15" s="212">
        <f>+'Construcción Modelo financiero'!R37</f>
        <v>1086399.1585219558</v>
      </c>
      <c r="P15" s="212">
        <f>+'Construcción Modelo financiero'!S37</f>
        <v>1107801.2219448381</v>
      </c>
      <c r="Q15" s="212">
        <f>+'Construcción Modelo financiero'!T37</f>
        <v>1129624.9060171514</v>
      </c>
      <c r="R15" s="212">
        <f>+'Construcción Modelo financiero'!U37</f>
        <v>1151878.5166656894</v>
      </c>
      <c r="S15" s="212">
        <f>+'Construcción Modelo financiero'!V37</f>
        <v>1174570.5234440039</v>
      </c>
      <c r="T15" s="212">
        <f>+'Construcción Modelo financiero'!W37</f>
        <v>1197709.5627558504</v>
      </c>
      <c r="U15" s="212">
        <f>+'Construcción Modelo financiero'!X37</f>
        <v>1221304.4411421407</v>
      </c>
      <c r="V15" s="212">
        <f>+'Construcción Modelo financiero'!Y37</f>
        <v>1245364.1386326409</v>
      </c>
      <c r="W15" s="213">
        <f>+'Construcción Modelo financiero'!Z37</f>
        <v>1269897.8121637041</v>
      </c>
    </row>
    <row r="16" spans="1:24" x14ac:dyDescent="0.35">
      <c r="C16" s="46" t="s">
        <v>2</v>
      </c>
      <c r="D16" s="212">
        <f>+'Construcción Modelo financiero'!G38</f>
        <v>432000</v>
      </c>
      <c r="E16" s="212">
        <f>+'Construcción Modelo financiero'!H38</f>
        <v>893851.19999999972</v>
      </c>
      <c r="F16" s="212">
        <f>+'Construcción Modelo financiero'!I38</f>
        <v>1367190.1029599993</v>
      </c>
      <c r="G16" s="212">
        <f>+'Construcción Modelo financiero'!J38</f>
        <v>1394123.7479883118</v>
      </c>
      <c r="H16" s="212">
        <f>+'Construcción Modelo financiero'!K38</f>
        <v>1421587.9858236813</v>
      </c>
      <c r="I16" s="212">
        <f>+'Construcción Modelo financiero'!L38</f>
        <v>1449593.2691444079</v>
      </c>
      <c r="J16" s="212">
        <f>+'Construcción Modelo financiero'!M38</f>
        <v>1478150.2565465525</v>
      </c>
      <c r="K16" s="212">
        <f>+'Construcción Modelo financiero'!N38</f>
        <v>1507269.8166005199</v>
      </c>
      <c r="L16" s="212">
        <f>+'Construcción Modelo financiero'!O38</f>
        <v>1536963.0319875502</v>
      </c>
      <c r="M16" s="212">
        <f>+'Construcción Modelo financiero'!P38</f>
        <v>1567241.2037177053</v>
      </c>
      <c r="N16" s="212">
        <f>+'Construcción Modelo financiero'!Q38</f>
        <v>1598115.8554309441</v>
      </c>
      <c r="O16" s="212">
        <f>+'Construcción Modelo financiero'!R38</f>
        <v>1629598.7377829335</v>
      </c>
      <c r="P16" s="212">
        <f>+'Construcción Modelo financiero'!S38</f>
        <v>1661701.832917257</v>
      </c>
      <c r="Q16" s="212">
        <f>+'Construcción Modelo financiero'!T38</f>
        <v>1694437.3590257273</v>
      </c>
      <c r="R16" s="212">
        <f>+'Construcción Modelo financiero'!U38</f>
        <v>1727817.774998534</v>
      </c>
      <c r="S16" s="212">
        <f>+'Construcción Modelo financiero'!V38</f>
        <v>1761855.7851660054</v>
      </c>
      <c r="T16" s="212">
        <f>+'Construcción Modelo financiero'!W38</f>
        <v>1796564.3441337752</v>
      </c>
      <c r="U16" s="212">
        <f>+'Construcción Modelo financiero'!X38</f>
        <v>1831956.6617132109</v>
      </c>
      <c r="V16" s="212">
        <f>+'Construcción Modelo financiero'!Y38</f>
        <v>1868046.2079489611</v>
      </c>
      <c r="W16" s="213">
        <f>+'Construcción Modelo financiero'!Z38</f>
        <v>1904846.7182455556</v>
      </c>
    </row>
    <row r="17" spans="3:24" x14ac:dyDescent="0.35">
      <c r="C17" s="46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50"/>
    </row>
    <row r="18" spans="3:24" x14ac:dyDescent="0.35">
      <c r="C18" s="49" t="s">
        <v>200</v>
      </c>
      <c r="D18" s="41">
        <f>+D6-D10</f>
        <v>582000</v>
      </c>
      <c r="E18" s="41">
        <f t="shared" ref="E18:W18" si="4">+E6-E10</f>
        <v>1042351.1999999993</v>
      </c>
      <c r="F18" s="41">
        <f t="shared" si="4"/>
        <v>1514145.1029599989</v>
      </c>
      <c r="G18" s="41">
        <f t="shared" si="4"/>
        <v>1539487.3979883119</v>
      </c>
      <c r="H18" s="41">
        <f t="shared" si="4"/>
        <v>1565312.5453236811</v>
      </c>
      <c r="I18" s="41">
        <f t="shared" si="4"/>
        <v>1391629.5654294072</v>
      </c>
      <c r="J18" s="41">
        <f t="shared" si="4"/>
        <v>1418447.6417201012</v>
      </c>
      <c r="K18" s="41">
        <f t="shared" si="4"/>
        <v>1445776.1233292753</v>
      </c>
      <c r="L18" s="41">
        <f t="shared" si="4"/>
        <v>1473624.5279181693</v>
      </c>
      <c r="M18" s="41">
        <f t="shared" si="4"/>
        <v>1502002.5445262427</v>
      </c>
      <c r="N18" s="41">
        <f t="shared" si="4"/>
        <v>1530920.0364637375</v>
      </c>
      <c r="O18" s="41">
        <f t="shared" si="4"/>
        <v>1560387.0442467108</v>
      </c>
      <c r="P18" s="41">
        <f t="shared" si="4"/>
        <v>1590413.788574947</v>
      </c>
      <c r="Q18" s="41">
        <f t="shared" si="4"/>
        <v>1621010.6733531496</v>
      </c>
      <c r="R18" s="41">
        <f t="shared" si="4"/>
        <v>1652188.2887557792</v>
      </c>
      <c r="S18" s="41">
        <f t="shared" si="4"/>
        <v>1683957.4143359661</v>
      </c>
      <c r="T18" s="41">
        <f t="shared" si="4"/>
        <v>1716329.0221788343</v>
      </c>
      <c r="U18" s="41">
        <f t="shared" si="4"/>
        <v>1749314.2800996229</v>
      </c>
      <c r="V18" s="41">
        <f t="shared" si="4"/>
        <v>1782924.5548869651</v>
      </c>
      <c r="W18" s="52">
        <f t="shared" si="4"/>
        <v>1817171.4155917</v>
      </c>
    </row>
    <row r="19" spans="3:24" x14ac:dyDescent="0.35">
      <c r="C19" s="255" t="s">
        <v>203</v>
      </c>
      <c r="D19" s="256">
        <f>+D18/D6</f>
        <v>0.30186721991701243</v>
      </c>
      <c r="E19" s="256">
        <f t="shared" ref="E19:W19" si="5">+E18/E6</f>
        <v>0.27608991756327683</v>
      </c>
      <c r="F19" s="256">
        <f t="shared" si="5"/>
        <v>0.26710338644714909</v>
      </c>
      <c r="G19" s="256">
        <f t="shared" si="5"/>
        <v>0.26650891243441627</v>
      </c>
      <c r="H19" s="256">
        <f t="shared" si="5"/>
        <v>0.26592235061764585</v>
      </c>
      <c r="I19" s="256">
        <f t="shared" si="5"/>
        <v>0.24000345390862421</v>
      </c>
      <c r="J19" s="256">
        <f t="shared" si="5"/>
        <v>0.23990247869557993</v>
      </c>
      <c r="K19" s="256">
        <f t="shared" si="5"/>
        <v>0.23980048353088884</v>
      </c>
      <c r="L19" s="256">
        <f t="shared" si="5"/>
        <v>0.2396974581120091</v>
      </c>
      <c r="M19" s="256">
        <f t="shared" si="5"/>
        <v>0.23959339203233238</v>
      </c>
      <c r="N19" s="256">
        <f t="shared" si="5"/>
        <v>0.23948827478013371</v>
      </c>
      <c r="O19" s="256">
        <f t="shared" si="5"/>
        <v>0.23938209573750882</v>
      </c>
      <c r="P19" s="256">
        <f t="shared" si="5"/>
        <v>0.23927484417930175</v>
      </c>
      <c r="Q19" s="256">
        <f t="shared" si="5"/>
        <v>0.23916650927202218</v>
      </c>
      <c r="R19" s="256">
        <f t="shared" si="5"/>
        <v>0.2390570800727497</v>
      </c>
      <c r="S19" s="256">
        <f t="shared" si="5"/>
        <v>0.23894654552802977</v>
      </c>
      <c r="T19" s="256">
        <f t="shared" si="5"/>
        <v>0.23883489447275727</v>
      </c>
      <c r="U19" s="256">
        <f t="shared" si="5"/>
        <v>0.23872211562904791</v>
      </c>
      <c r="V19" s="256">
        <f t="shared" si="5"/>
        <v>0.23860819760509885</v>
      </c>
      <c r="W19" s="258">
        <f t="shared" si="5"/>
        <v>0.23849312889403926</v>
      </c>
    </row>
    <row r="20" spans="3:24" x14ac:dyDescent="0.35">
      <c r="C20" s="49" t="s">
        <v>202</v>
      </c>
      <c r="D20" s="41">
        <f>+D7-D10</f>
        <v>382000</v>
      </c>
      <c r="E20" s="41">
        <f t="shared" ref="E20:W20" si="6">+E7-E10</f>
        <v>842351.19999999925</v>
      </c>
      <c r="F20" s="41">
        <f t="shared" si="6"/>
        <v>1314145.1029599989</v>
      </c>
      <c r="G20" s="41">
        <f t="shared" si="6"/>
        <v>1339487.3979883119</v>
      </c>
      <c r="H20" s="41">
        <f t="shared" si="6"/>
        <v>1365312.5453236811</v>
      </c>
      <c r="I20" s="41">
        <f t="shared" si="6"/>
        <v>1391629.5654294072</v>
      </c>
      <c r="J20" s="41">
        <f t="shared" si="6"/>
        <v>1418447.6417201012</v>
      </c>
      <c r="K20" s="41">
        <f t="shared" si="6"/>
        <v>1445776.1233292753</v>
      </c>
      <c r="L20" s="41">
        <f t="shared" si="6"/>
        <v>1473624.5279181693</v>
      </c>
      <c r="M20" s="41">
        <f t="shared" si="6"/>
        <v>1502002.5445262427</v>
      </c>
      <c r="N20" s="41">
        <f t="shared" si="6"/>
        <v>1530920.0364637375</v>
      </c>
      <c r="O20" s="41">
        <f t="shared" si="6"/>
        <v>1560387.0442467108</v>
      </c>
      <c r="P20" s="41">
        <f t="shared" si="6"/>
        <v>1590413.788574947</v>
      </c>
      <c r="Q20" s="41">
        <f t="shared" si="6"/>
        <v>1621010.6733531496</v>
      </c>
      <c r="R20" s="41">
        <f t="shared" si="6"/>
        <v>1652188.2887557792</v>
      </c>
      <c r="S20" s="41">
        <f t="shared" si="6"/>
        <v>1683957.4143359661</v>
      </c>
      <c r="T20" s="41">
        <f t="shared" si="6"/>
        <v>1716329.0221788343</v>
      </c>
      <c r="U20" s="41">
        <f t="shared" si="6"/>
        <v>1749314.2800996229</v>
      </c>
      <c r="V20" s="41">
        <f t="shared" si="6"/>
        <v>1782924.5548869651</v>
      </c>
      <c r="W20" s="52">
        <f t="shared" si="6"/>
        <v>1817171.4155917</v>
      </c>
    </row>
    <row r="21" spans="3:24" x14ac:dyDescent="0.35">
      <c r="C21" s="255" t="s">
        <v>204</v>
      </c>
      <c r="D21" s="256">
        <f>+D20/D7</f>
        <v>0.22106481481481483</v>
      </c>
      <c r="E21" s="256">
        <f t="shared" ref="E21:W21" si="7">+E20/E7</f>
        <v>0.23559603656626504</v>
      </c>
      <c r="F21" s="256">
        <f t="shared" si="7"/>
        <v>0.24030036132408419</v>
      </c>
      <c r="G21" s="256">
        <f t="shared" si="7"/>
        <v>0.24020238517584275</v>
      </c>
      <c r="H21" s="256">
        <f t="shared" si="7"/>
        <v>0.24010341936953805</v>
      </c>
      <c r="I21" s="256">
        <f t="shared" si="7"/>
        <v>0.24000345390862421</v>
      </c>
      <c r="J21" s="256">
        <f t="shared" si="7"/>
        <v>0.23990247869557993</v>
      </c>
      <c r="K21" s="256">
        <f t="shared" si="7"/>
        <v>0.23980048353088884</v>
      </c>
      <c r="L21" s="256">
        <f t="shared" si="7"/>
        <v>0.2396974581120091</v>
      </c>
      <c r="M21" s="256">
        <f t="shared" si="7"/>
        <v>0.23959339203233238</v>
      </c>
      <c r="N21" s="256">
        <f t="shared" si="7"/>
        <v>0.23948827478013371</v>
      </c>
      <c r="O21" s="256">
        <f t="shared" si="7"/>
        <v>0.23938209573750882</v>
      </c>
      <c r="P21" s="256">
        <f t="shared" si="7"/>
        <v>0.23927484417930175</v>
      </c>
      <c r="Q21" s="256">
        <f t="shared" si="7"/>
        <v>0.23916650927202218</v>
      </c>
      <c r="R21" s="256">
        <f t="shared" si="7"/>
        <v>0.2390570800727497</v>
      </c>
      <c r="S21" s="256">
        <f t="shared" si="7"/>
        <v>0.23894654552802977</v>
      </c>
      <c r="T21" s="256">
        <f t="shared" si="7"/>
        <v>0.23883489447275727</v>
      </c>
      <c r="U21" s="256">
        <f t="shared" si="7"/>
        <v>0.23872211562904791</v>
      </c>
      <c r="V21" s="256">
        <f t="shared" si="7"/>
        <v>0.23860819760509885</v>
      </c>
      <c r="W21" s="258">
        <f t="shared" si="7"/>
        <v>0.23849312889403926</v>
      </c>
    </row>
    <row r="22" spans="3:24" x14ac:dyDescent="0.35">
      <c r="C22" s="46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50"/>
    </row>
    <row r="23" spans="3:24" s="27" customFormat="1" ht="16" x14ac:dyDescent="0.35">
      <c r="C23" s="49" t="s">
        <v>199</v>
      </c>
      <c r="D23" s="214">
        <f>+'Construcción Modelo financiero'!$F$26/'Construcción Modelo financiero'!$F$14</f>
        <v>547500</v>
      </c>
      <c r="E23" s="214">
        <f>+'Construcción Modelo financiero'!$F$26/'Construcción Modelo financiero'!$F$14</f>
        <v>547500</v>
      </c>
      <c r="F23" s="214">
        <f>+'Construcción Modelo financiero'!$F$26/'Construcción Modelo financiero'!$F$14</f>
        <v>547500</v>
      </c>
      <c r="G23" s="214">
        <f>+'Construcción Modelo financiero'!$F$26/'Construcción Modelo financiero'!$F$14</f>
        <v>547500</v>
      </c>
      <c r="H23" s="214">
        <f>+'Construcción Modelo financiero'!$F$26/'Construcción Modelo financiero'!$F$14</f>
        <v>547500</v>
      </c>
      <c r="I23" s="214">
        <f>+'Construcción Modelo financiero'!$F$26/'Construcción Modelo financiero'!$F$14</f>
        <v>547500</v>
      </c>
      <c r="J23" s="214">
        <f>+'Construcción Modelo financiero'!$F$26/'Construcción Modelo financiero'!$F$14</f>
        <v>547500</v>
      </c>
      <c r="K23" s="214">
        <f>+'Construcción Modelo financiero'!$F$26/'Construcción Modelo financiero'!$F$14</f>
        <v>547500</v>
      </c>
      <c r="L23" s="214">
        <f>+'Construcción Modelo financiero'!$F$26/'Construcción Modelo financiero'!$F$14</f>
        <v>547500</v>
      </c>
      <c r="M23" s="214">
        <f>+'Construcción Modelo financiero'!$F$26/'Construcción Modelo financiero'!$F$14</f>
        <v>547500</v>
      </c>
      <c r="N23" s="214">
        <f>+'Construcción Modelo financiero'!$F$26/'Construcción Modelo financiero'!$F$14</f>
        <v>547500</v>
      </c>
      <c r="O23" s="214">
        <f>+'Construcción Modelo financiero'!$F$26/'Construcción Modelo financiero'!$F$14</f>
        <v>547500</v>
      </c>
      <c r="P23" s="214">
        <f>+'Construcción Modelo financiero'!$F$26/'Construcción Modelo financiero'!$F$14</f>
        <v>547500</v>
      </c>
      <c r="Q23" s="214">
        <f>+'Construcción Modelo financiero'!$F$26/'Construcción Modelo financiero'!$F$14</f>
        <v>547500</v>
      </c>
      <c r="R23" s="214">
        <f>+'Construcción Modelo financiero'!$F$26/'Construcción Modelo financiero'!$F$14</f>
        <v>547500</v>
      </c>
      <c r="S23" s="214">
        <f>+'Construcción Modelo financiero'!$F$26/'Construcción Modelo financiero'!$F$14</f>
        <v>547500</v>
      </c>
      <c r="T23" s="214">
        <f>+'Construcción Modelo financiero'!$F$26/'Construcción Modelo financiero'!$F$14</f>
        <v>547500</v>
      </c>
      <c r="U23" s="214">
        <f>+'Construcción Modelo financiero'!$F$26/'Construcción Modelo financiero'!$F$14</f>
        <v>547500</v>
      </c>
      <c r="V23" s="214">
        <f>+'Construcción Modelo financiero'!$F$26/'Construcción Modelo financiero'!$F$14</f>
        <v>547500</v>
      </c>
      <c r="W23" s="215">
        <f>+'Construcción Modelo financiero'!$F$26/'Construcción Modelo financiero'!$F$14</f>
        <v>547500</v>
      </c>
      <c r="X23" s="26"/>
    </row>
    <row r="24" spans="3:24" x14ac:dyDescent="0.35">
      <c r="C24" s="46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52"/>
    </row>
    <row r="25" spans="3:24" x14ac:dyDescent="0.35">
      <c r="C25" s="49" t="s">
        <v>201</v>
      </c>
      <c r="D25" s="41">
        <f>+D18-D23</f>
        <v>34500</v>
      </c>
      <c r="E25" s="41">
        <f t="shared" ref="E25:W25" si="8">+E18-E23</f>
        <v>494851.19999999925</v>
      </c>
      <c r="F25" s="41">
        <f t="shared" si="8"/>
        <v>966645.10295999888</v>
      </c>
      <c r="G25" s="41">
        <f t="shared" si="8"/>
        <v>991987.39798831195</v>
      </c>
      <c r="H25" s="41">
        <f t="shared" si="8"/>
        <v>1017812.5453236811</v>
      </c>
      <c r="I25" s="41">
        <f t="shared" si="8"/>
        <v>844129.56542940717</v>
      </c>
      <c r="J25" s="41">
        <f t="shared" si="8"/>
        <v>870947.64172010124</v>
      </c>
      <c r="K25" s="41">
        <f t="shared" si="8"/>
        <v>898276.12332927529</v>
      </c>
      <c r="L25" s="41">
        <f t="shared" si="8"/>
        <v>926124.52791816927</v>
      </c>
      <c r="M25" s="41">
        <f t="shared" si="8"/>
        <v>954502.54452624265</v>
      </c>
      <c r="N25" s="41">
        <f t="shared" si="8"/>
        <v>983420.03646373749</v>
      </c>
      <c r="O25" s="41">
        <f t="shared" si="8"/>
        <v>1012887.0442467108</v>
      </c>
      <c r="P25" s="41">
        <f t="shared" si="8"/>
        <v>1042913.788574947</v>
      </c>
      <c r="Q25" s="41">
        <f t="shared" si="8"/>
        <v>1073510.6733531496</v>
      </c>
      <c r="R25" s="41">
        <f t="shared" si="8"/>
        <v>1104688.2887557792</v>
      </c>
      <c r="S25" s="41">
        <f t="shared" si="8"/>
        <v>1136457.4143359661</v>
      </c>
      <c r="T25" s="41">
        <f t="shared" si="8"/>
        <v>1168829.0221788343</v>
      </c>
      <c r="U25" s="41">
        <f t="shared" si="8"/>
        <v>1201814.2800996229</v>
      </c>
      <c r="V25" s="41">
        <f t="shared" si="8"/>
        <v>1235424.5548869651</v>
      </c>
      <c r="W25" s="52">
        <f t="shared" si="8"/>
        <v>1269671.4155917</v>
      </c>
    </row>
    <row r="26" spans="3:24" x14ac:dyDescent="0.35">
      <c r="C26" s="46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52"/>
    </row>
    <row r="27" spans="3:24" s="27" customFormat="1" x14ac:dyDescent="0.35">
      <c r="C27" s="49" t="s">
        <v>127</v>
      </c>
      <c r="D27" s="214">
        <f>+'Flujo de Caja Financiado'!E35</f>
        <v>208250.00000000003</v>
      </c>
      <c r="E27" s="214">
        <f>+'Flujo de Caja Financiado'!F35</f>
        <v>197457.42930452366</v>
      </c>
      <c r="F27" s="214">
        <f>+'Flujo de Caja Financiado'!G35</f>
        <v>186287.11863470561</v>
      </c>
      <c r="G27" s="214">
        <f>+'Flujo de Caja Financiado'!H35</f>
        <v>174725.84709144392</v>
      </c>
      <c r="H27" s="214">
        <f>+'Flujo de Caja Financiado'!I35</f>
        <v>162759.9310441681</v>
      </c>
      <c r="I27" s="214">
        <f>+'Flujo de Caja Financiado'!J35</f>
        <v>150375.20793523762</v>
      </c>
      <c r="J27" s="214">
        <f>+'Flujo de Caja Financiado'!K35</f>
        <v>137557.01951749454</v>
      </c>
      <c r="K27" s="214">
        <f>+'Flujo de Caja Financiado'!L35</f>
        <v>124290.19450513049</v>
      </c>
      <c r="L27" s="214">
        <f>+'Flujo de Caja Financiado'!M35</f>
        <v>110559.03061733369</v>
      </c>
      <c r="M27" s="214">
        <f>+'Flujo de Caja Financiado'!N35</f>
        <v>96347.275993463991</v>
      </c>
      <c r="N27" s="214">
        <f>+'Flujo de Caja Financiado'!O35</f>
        <v>81638.109957758876</v>
      </c>
      <c r="O27" s="214">
        <f>+'Flujo de Caja Financiado'!P35</f>
        <v>66414.123110804067</v>
      </c>
      <c r="P27" s="214">
        <f>+'Flujo de Caja Financiado'!Q35</f>
        <v>50657.296724205837</v>
      </c>
      <c r="Q27" s="214">
        <f>+'Flujo de Caja Financiado'!R35</f>
        <v>34348.981414076676</v>
      </c>
      <c r="R27" s="214">
        <f>+'Flujo de Caja Financiado'!S35</f>
        <v>17469.875068092992</v>
      </c>
      <c r="S27" s="41">
        <f>+'Flujo de Caja Financiado'!S27*3.5%</f>
        <v>0</v>
      </c>
      <c r="T27" s="41">
        <f>+'Flujo de Caja Financiado'!T27*3.5%</f>
        <v>0</v>
      </c>
      <c r="U27" s="41">
        <f>+'Flujo de Caja Financiado'!U27*3.5%</f>
        <v>0</v>
      </c>
      <c r="V27" s="41">
        <f>+'Flujo de Caja Financiado'!V27*3.5%</f>
        <v>0</v>
      </c>
      <c r="W27" s="52">
        <f>+'Flujo de Caja Financiado'!W27*3.5%</f>
        <v>0</v>
      </c>
    </row>
    <row r="28" spans="3:24" x14ac:dyDescent="0.35">
      <c r="C28" s="46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52"/>
    </row>
    <row r="29" spans="3:24" s="27" customFormat="1" x14ac:dyDescent="0.35">
      <c r="C29" s="49" t="s">
        <v>123</v>
      </c>
      <c r="D29" s="41">
        <f>+D6-D10-D23-D27</f>
        <v>-173750.00000000003</v>
      </c>
      <c r="E29" s="41">
        <f t="shared" ref="E29:W29" si="9">+E6-E10-E23-E27</f>
        <v>297393.77069547563</v>
      </c>
      <c r="F29" s="41">
        <f t="shared" si="9"/>
        <v>780357.98432529322</v>
      </c>
      <c r="G29" s="41">
        <f t="shared" si="9"/>
        <v>817261.55089686799</v>
      </c>
      <c r="H29" s="41">
        <f t="shared" si="9"/>
        <v>855052.61427951301</v>
      </c>
      <c r="I29" s="41">
        <f t="shared" si="9"/>
        <v>693754.35749416961</v>
      </c>
      <c r="J29" s="41">
        <f t="shared" si="9"/>
        <v>733390.62220260664</v>
      </c>
      <c r="K29" s="41">
        <f t="shared" si="9"/>
        <v>773985.92882414476</v>
      </c>
      <c r="L29" s="41">
        <f t="shared" si="9"/>
        <v>815565.49730083556</v>
      </c>
      <c r="M29" s="41">
        <f t="shared" si="9"/>
        <v>858155.2685327786</v>
      </c>
      <c r="N29" s="41">
        <f t="shared" si="9"/>
        <v>901781.92650597857</v>
      </c>
      <c r="O29" s="41">
        <f t="shared" si="9"/>
        <v>946472.92113590683</v>
      </c>
      <c r="P29" s="41">
        <f t="shared" si="9"/>
        <v>992256.49185074121</v>
      </c>
      <c r="Q29" s="41">
        <f t="shared" si="9"/>
        <v>1039161.6919390729</v>
      </c>
      <c r="R29" s="41">
        <f t="shared" si="9"/>
        <v>1087218.4136876862</v>
      </c>
      <c r="S29" s="41">
        <f t="shared" si="9"/>
        <v>1136457.4143359661</v>
      </c>
      <c r="T29" s="41">
        <f t="shared" si="9"/>
        <v>1168829.0221788343</v>
      </c>
      <c r="U29" s="41">
        <f t="shared" si="9"/>
        <v>1201814.2800996229</v>
      </c>
      <c r="V29" s="41">
        <f t="shared" si="9"/>
        <v>1235424.5548869651</v>
      </c>
      <c r="W29" s="52">
        <f t="shared" si="9"/>
        <v>1269671.4155917</v>
      </c>
    </row>
    <row r="30" spans="3:24" x14ac:dyDescent="0.35">
      <c r="C30" s="46"/>
      <c r="D30" s="253"/>
      <c r="E30" s="253"/>
      <c r="F30" s="253"/>
      <c r="G30" s="253"/>
      <c r="H30" s="253"/>
      <c r="I30" s="253"/>
      <c r="J30" s="253"/>
      <c r="K30" s="253"/>
      <c r="L30" s="253"/>
      <c r="M30" s="253"/>
      <c r="N30" s="253"/>
      <c r="O30" s="253"/>
      <c r="P30" s="253"/>
      <c r="Q30" s="253"/>
      <c r="R30" s="253"/>
      <c r="S30" s="253"/>
      <c r="T30" s="253"/>
      <c r="U30" s="253"/>
      <c r="V30" s="253"/>
      <c r="W30" s="63"/>
    </row>
    <row r="31" spans="3:24" s="27" customFormat="1" x14ac:dyDescent="0.35">
      <c r="C31" s="49" t="s">
        <v>128</v>
      </c>
      <c r="D31" s="64">
        <f>+IF(D29&gt;0,D29*'Construcción Modelo financiero'!G9,0)</f>
        <v>0</v>
      </c>
      <c r="E31" s="64">
        <f>+IF(E29&gt;0,E29*'Construcción Modelo financiero'!H9,0)</f>
        <v>104087.81974341646</v>
      </c>
      <c r="F31" s="64">
        <f>+IF(F29&gt;0,F29*'Construcción Modelo financiero'!I9,0)</f>
        <v>273125.29451385263</v>
      </c>
      <c r="G31" s="64">
        <f>+IF(G29&gt;0,G29*'Construcción Modelo financiero'!J9,0)</f>
        <v>286041.54281390377</v>
      </c>
      <c r="H31" s="64">
        <f>+IF(H29&gt;0,H29*'Construcción Modelo financiero'!K9,0)</f>
        <v>299268.41499782953</v>
      </c>
      <c r="I31" s="64">
        <f>+IF(I29&gt;0,I29*'Construcción Modelo financiero'!L9,0)</f>
        <v>242814.02512295934</v>
      </c>
      <c r="J31" s="64">
        <f>+IF(J29&gt;0,J29*'Construcción Modelo financiero'!M9,0)</f>
        <v>256686.71777091231</v>
      </c>
      <c r="K31" s="64">
        <f>+IF(K29&gt;0,K29*'Construcción Modelo financiero'!N9,0)</f>
        <v>270895.07508845063</v>
      </c>
      <c r="L31" s="64">
        <f>+IF(L29&gt;0,L29*'Construcción Modelo financiero'!O9,0)</f>
        <v>285447.92405529245</v>
      </c>
      <c r="M31" s="64">
        <f>+IF(M29&gt;0,M29*'Construcción Modelo financiero'!P9,0)</f>
        <v>300354.34398647246</v>
      </c>
      <c r="N31" s="64">
        <f>+IF(N29&gt;0,N29*'Construcción Modelo financiero'!Q9,0)</f>
        <v>315623.6742770925</v>
      </c>
      <c r="O31" s="64">
        <f>+IF(O29&gt;0,O29*'Construcción Modelo financiero'!R9,0)</f>
        <v>331265.52239756734</v>
      </c>
      <c r="P31" s="64">
        <f>+IF(P29&gt;0,P29*'Construcción Modelo financiero'!S9,0)</f>
        <v>347289.77214775939</v>
      </c>
      <c r="Q31" s="64">
        <f>+IF(Q29&gt;0,Q29*'Construcción Modelo financiero'!T9,0)</f>
        <v>363706.59217867552</v>
      </c>
      <c r="R31" s="64">
        <f>+IF(R29&gt;0,R29*'Construcción Modelo financiero'!U9,0)</f>
        <v>380526.44479069015</v>
      </c>
      <c r="S31" s="64">
        <f>+IF(S29&gt;0,S29*'Construcción Modelo financiero'!V9,0)</f>
        <v>397760.09501758812</v>
      </c>
      <c r="T31" s="64">
        <f>+IF(T29&gt;0,T29*'Construcción Modelo financiero'!W9,0)</f>
        <v>409090.15776259196</v>
      </c>
      <c r="U31" s="64">
        <f>+IF(U29&gt;0,U29*'Construcción Modelo financiero'!X9,0)</f>
        <v>420634.99803486798</v>
      </c>
      <c r="V31" s="64">
        <f>+IF(V29&gt;0,V29*'Construcción Modelo financiero'!Y9,0)</f>
        <v>432398.59421043773</v>
      </c>
      <c r="W31" s="65">
        <f>+IF(W29&gt;0,W29*'Construcción Modelo financiero'!Z9,0)</f>
        <v>444384.99545709498</v>
      </c>
    </row>
    <row r="32" spans="3:24" x14ac:dyDescent="0.35">
      <c r="C32" s="46"/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62"/>
    </row>
    <row r="33" spans="3:23" x14ac:dyDescent="0.35">
      <c r="C33" s="49" t="s">
        <v>124</v>
      </c>
      <c r="D33" s="257">
        <f>+D29-D31</f>
        <v>-173750.00000000003</v>
      </c>
      <c r="E33" s="257">
        <f t="shared" ref="E33:W33" si="10">+E29-E31</f>
        <v>193305.95095205918</v>
      </c>
      <c r="F33" s="257">
        <f t="shared" si="10"/>
        <v>507232.68981144059</v>
      </c>
      <c r="G33" s="257">
        <f t="shared" si="10"/>
        <v>531220.00808296422</v>
      </c>
      <c r="H33" s="257">
        <f t="shared" si="10"/>
        <v>555784.19928168342</v>
      </c>
      <c r="I33" s="257">
        <f t="shared" si="10"/>
        <v>450940.33237121027</v>
      </c>
      <c r="J33" s="257">
        <f t="shared" si="10"/>
        <v>476703.9044316943</v>
      </c>
      <c r="K33" s="257">
        <f t="shared" si="10"/>
        <v>503090.85373569414</v>
      </c>
      <c r="L33" s="257">
        <f t="shared" si="10"/>
        <v>530117.57324554306</v>
      </c>
      <c r="M33" s="257">
        <f t="shared" si="10"/>
        <v>557800.92454630614</v>
      </c>
      <c r="N33" s="257">
        <f t="shared" si="10"/>
        <v>586158.25222888612</v>
      </c>
      <c r="O33" s="257">
        <f t="shared" si="10"/>
        <v>615207.39873833954</v>
      </c>
      <c r="P33" s="257">
        <f t="shared" si="10"/>
        <v>644966.71970298188</v>
      </c>
      <c r="Q33" s="257">
        <f t="shared" si="10"/>
        <v>675455.09976039734</v>
      </c>
      <c r="R33" s="257">
        <f t="shared" si="10"/>
        <v>706691.968896996</v>
      </c>
      <c r="S33" s="257">
        <f t="shared" si="10"/>
        <v>738697.31931837799</v>
      </c>
      <c r="T33" s="257">
        <f t="shared" si="10"/>
        <v>759738.86441624234</v>
      </c>
      <c r="U33" s="257">
        <f t="shared" si="10"/>
        <v>781179.28206475498</v>
      </c>
      <c r="V33" s="257">
        <f t="shared" si="10"/>
        <v>803025.96067652735</v>
      </c>
      <c r="W33" s="259">
        <f t="shared" si="10"/>
        <v>825286.42013460502</v>
      </c>
    </row>
    <row r="34" spans="3:23" x14ac:dyDescent="0.35">
      <c r="C34" s="260" t="s">
        <v>205</v>
      </c>
      <c r="D34" s="261">
        <f>+D33/D6</f>
        <v>-9.0119294605809142E-2</v>
      </c>
      <c r="E34" s="261">
        <f t="shared" ref="E34:W34" si="11">+E33/E6</f>
        <v>5.1201384008427185E-2</v>
      </c>
      <c r="F34" s="261">
        <f t="shared" si="11"/>
        <v>8.9478590196194266E-2</v>
      </c>
      <c r="G34" s="261">
        <f t="shared" si="11"/>
        <v>9.1962342012407605E-2</v>
      </c>
      <c r="H34" s="261">
        <f t="shared" si="11"/>
        <v>9.4419124890211426E-2</v>
      </c>
      <c r="I34" s="261">
        <f t="shared" si="11"/>
        <v>7.7770148008028547E-2</v>
      </c>
      <c r="J34" s="261">
        <f t="shared" si="11"/>
        <v>8.0625075549733374E-2</v>
      </c>
      <c r="K34" s="261">
        <f t="shared" si="11"/>
        <v>8.3444060279525764E-2</v>
      </c>
      <c r="L34" s="261">
        <f t="shared" si="11"/>
        <v>8.6228094334841021E-2</v>
      </c>
      <c r="M34" s="261">
        <f t="shared" si="11"/>
        <v>8.8978155248714733E-2</v>
      </c>
      <c r="N34" s="261">
        <f t="shared" si="11"/>
        <v>9.1695206301364185E-2</v>
      </c>
      <c r="O34" s="261">
        <f t="shared" si="11"/>
        <v>9.438019686602854E-2</v>
      </c>
      <c r="P34" s="261">
        <f t="shared" si="11"/>
        <v>9.7034062749195002E-2</v>
      </c>
      <c r="Q34" s="261">
        <f t="shared" si="11"/>
        <v>9.9657726525336499E-2</v>
      </c>
      <c r="R34" s="261">
        <f t="shared" si="11"/>
        <v>0.10225209786628044</v>
      </c>
      <c r="S34" s="261">
        <f t="shared" si="11"/>
        <v>0.10481807386533293</v>
      </c>
      <c r="T34" s="261">
        <f t="shared" si="11"/>
        <v>0.10572107630001908</v>
      </c>
      <c r="U34" s="261">
        <f t="shared" si="11"/>
        <v>0.1066044981290948</v>
      </c>
      <c r="V34" s="261">
        <f t="shared" si="11"/>
        <v>0.10746869607125742</v>
      </c>
      <c r="W34" s="262">
        <f t="shared" si="11"/>
        <v>0.10831401973576235</v>
      </c>
    </row>
    <row r="36" spans="3:23" x14ac:dyDescent="0.35">
      <c r="C36" s="92" t="s">
        <v>196</v>
      </c>
    </row>
    <row r="37" spans="3:23" x14ac:dyDescent="0.35">
      <c r="C37" s="92" t="s">
        <v>197</v>
      </c>
    </row>
    <row r="38" spans="3:23" x14ac:dyDescent="0.35">
      <c r="C38" s="92" t="s">
        <v>198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630A-F565-4219-99C0-E41C2B85CDFB}">
  <sheetPr codeName="Hoja12"/>
  <dimension ref="A1:Y36"/>
  <sheetViews>
    <sheetView workbookViewId="0"/>
  </sheetViews>
  <sheetFormatPr defaultColWidth="11.453125" defaultRowHeight="14.5" x14ac:dyDescent="0.35"/>
  <cols>
    <col min="1" max="1" width="11.453125" style="6"/>
    <col min="2" max="2" width="13.7265625" style="6" customWidth="1"/>
    <col min="3" max="3" width="29.453125" style="25" bestFit="1" customWidth="1"/>
    <col min="4" max="5" width="12.81640625" style="25" bestFit="1" customWidth="1"/>
    <col min="6" max="6" width="11.81640625" style="25" bestFit="1" customWidth="1"/>
    <col min="7" max="8" width="11.81640625" style="25" customWidth="1"/>
    <col min="9" max="9" width="11.81640625" style="25" bestFit="1" customWidth="1"/>
    <col min="10" max="13" width="11.81640625" style="25" customWidth="1"/>
    <col min="14" max="14" width="11.81640625" style="25" bestFit="1" customWidth="1"/>
    <col min="15" max="23" width="11.81640625" style="25" customWidth="1"/>
    <col min="24" max="24" width="12.81640625" style="25" bestFit="1" customWidth="1"/>
    <col min="25" max="16384" width="11.453125" style="6"/>
  </cols>
  <sheetData>
    <row r="1" spans="1:24" ht="19.5" customHeight="1" x14ac:dyDescent="0.35">
      <c r="A1" s="198"/>
      <c r="B1" s="199"/>
      <c r="C1" s="199"/>
      <c r="D1" s="199"/>
      <c r="E1" s="199"/>
      <c r="F1" s="199"/>
      <c r="G1" s="199"/>
      <c r="H1" s="199"/>
      <c r="I1" s="199"/>
      <c r="J1" s="199"/>
      <c r="K1" s="199"/>
      <c r="X1" s="6"/>
    </row>
    <row r="2" spans="1:24" ht="72.75" customHeight="1" x14ac:dyDescent="0.35">
      <c r="A2" s="205"/>
      <c r="B2" s="205"/>
      <c r="C2" s="205" t="s">
        <v>185</v>
      </c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</row>
    <row r="3" spans="1:24" ht="15" customHeight="1" x14ac:dyDescent="0.35">
      <c r="A3" s="204"/>
      <c r="B3" s="204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</row>
    <row r="4" spans="1:24" x14ac:dyDescent="0.35">
      <c r="C4" s="57" t="s">
        <v>95</v>
      </c>
      <c r="D4" s="58" t="s">
        <v>103</v>
      </c>
      <c r="E4" s="58" t="s">
        <v>7</v>
      </c>
      <c r="F4" s="58" t="s">
        <v>8</v>
      </c>
      <c r="G4" s="58" t="s">
        <v>9</v>
      </c>
      <c r="H4" s="58" t="s">
        <v>22</v>
      </c>
      <c r="I4" s="58" t="s">
        <v>23</v>
      </c>
      <c r="J4" s="58" t="s">
        <v>81</v>
      </c>
      <c r="K4" s="58" t="s">
        <v>82</v>
      </c>
      <c r="L4" s="58" t="s">
        <v>83</v>
      </c>
      <c r="M4" s="58" t="s">
        <v>84</v>
      </c>
      <c r="N4" s="58" t="s">
        <v>85</v>
      </c>
      <c r="O4" s="58" t="s">
        <v>104</v>
      </c>
      <c r="P4" s="58" t="s">
        <v>105</v>
      </c>
      <c r="Q4" s="58" t="s">
        <v>106</v>
      </c>
      <c r="R4" s="58" t="s">
        <v>107</v>
      </c>
      <c r="S4" s="58" t="s">
        <v>108</v>
      </c>
      <c r="T4" s="58" t="s">
        <v>109</v>
      </c>
      <c r="U4" s="58" t="s">
        <v>110</v>
      </c>
      <c r="V4" s="58" t="s">
        <v>111</v>
      </c>
      <c r="W4" s="58" t="s">
        <v>112</v>
      </c>
      <c r="X4" s="59" t="s">
        <v>113</v>
      </c>
    </row>
    <row r="5" spans="1:24" s="27" customFormat="1" x14ac:dyDescent="0.35">
      <c r="C5" s="154" t="s">
        <v>125</v>
      </c>
      <c r="D5" s="41"/>
      <c r="E5" s="41">
        <f>+E6+E7</f>
        <v>1928000</v>
      </c>
      <c r="F5" s="41">
        <f t="shared" ref="F5:X5" si="0">+F6+F7</f>
        <v>3775404.7999999989</v>
      </c>
      <c r="G5" s="41">
        <f t="shared" si="0"/>
        <v>5668760.4118399974</v>
      </c>
      <c r="H5" s="41">
        <f t="shared" si="0"/>
        <v>5776494.9919532472</v>
      </c>
      <c r="I5" s="41">
        <f t="shared" si="0"/>
        <v>5886351.9432947254</v>
      </c>
      <c r="J5" s="41">
        <f t="shared" si="0"/>
        <v>5798373.0765776318</v>
      </c>
      <c r="K5" s="41">
        <f t="shared" si="0"/>
        <v>5912601.0261862101</v>
      </c>
      <c r="L5" s="41">
        <f t="shared" si="0"/>
        <v>6029079.2664020797</v>
      </c>
      <c r="M5" s="41">
        <f t="shared" si="0"/>
        <v>6147852.1279502008</v>
      </c>
      <c r="N5" s="41">
        <f t="shared" si="0"/>
        <v>6268964.8148708213</v>
      </c>
      <c r="O5" s="41">
        <f t="shared" si="0"/>
        <v>6392463.4217237765</v>
      </c>
      <c r="P5" s="41">
        <f t="shared" si="0"/>
        <v>6518394.9511317341</v>
      </c>
      <c r="Q5" s="41">
        <f t="shared" si="0"/>
        <v>6646807.3316690279</v>
      </c>
      <c r="R5" s="41">
        <f t="shared" si="0"/>
        <v>6777749.436102909</v>
      </c>
      <c r="S5" s="41">
        <f t="shared" si="0"/>
        <v>6911271.099994136</v>
      </c>
      <c r="T5" s="41">
        <f t="shared" si="0"/>
        <v>7047423.1406640215</v>
      </c>
      <c r="U5" s="41">
        <f t="shared" si="0"/>
        <v>7186257.3765351009</v>
      </c>
      <c r="V5" s="41">
        <f t="shared" si="0"/>
        <v>7327826.6468528435</v>
      </c>
      <c r="W5" s="41">
        <f t="shared" si="0"/>
        <v>7472184.8317958442</v>
      </c>
      <c r="X5" s="52">
        <f t="shared" si="0"/>
        <v>7619386.8729822226</v>
      </c>
    </row>
    <row r="6" spans="1:24" x14ac:dyDescent="0.35">
      <c r="C6" s="68" t="s">
        <v>170</v>
      </c>
      <c r="D6" s="39"/>
      <c r="E6" s="212">
        <f>+'Construcción Modelo financiero'!G23</f>
        <v>1728000</v>
      </c>
      <c r="F6" s="212">
        <f>+'Construcción Modelo financiero'!H23</f>
        <v>3575404.7999999989</v>
      </c>
      <c r="G6" s="212">
        <f>+'Construcción Modelo financiero'!I23</f>
        <v>5468760.4118399974</v>
      </c>
      <c r="H6" s="212">
        <f>+'Construcción Modelo financiero'!J23</f>
        <v>5576494.9919532472</v>
      </c>
      <c r="I6" s="212">
        <f>+'Construcción Modelo financiero'!K23</f>
        <v>5686351.9432947254</v>
      </c>
      <c r="J6" s="212">
        <f>+'Construcción Modelo financiero'!L23</f>
        <v>5798373.0765776318</v>
      </c>
      <c r="K6" s="212">
        <f>+'Construcción Modelo financiero'!M23</f>
        <v>5912601.0261862101</v>
      </c>
      <c r="L6" s="212">
        <f>+'Construcción Modelo financiero'!N23</f>
        <v>6029079.2664020797</v>
      </c>
      <c r="M6" s="212">
        <f>+'Construcción Modelo financiero'!O23</f>
        <v>6147852.1279502008</v>
      </c>
      <c r="N6" s="212">
        <f>+'Construcción Modelo financiero'!P23</f>
        <v>6268964.8148708213</v>
      </c>
      <c r="O6" s="212">
        <f>+'Construcción Modelo financiero'!Q23</f>
        <v>6392463.4217237765</v>
      </c>
      <c r="P6" s="212">
        <f>+'Construcción Modelo financiero'!R23</f>
        <v>6518394.9511317341</v>
      </c>
      <c r="Q6" s="212">
        <f>+'Construcción Modelo financiero'!S23</f>
        <v>6646807.3316690279</v>
      </c>
      <c r="R6" s="212">
        <f>+'Construcción Modelo financiero'!T23</f>
        <v>6777749.436102909</v>
      </c>
      <c r="S6" s="212">
        <f>+'Construcción Modelo financiero'!U23</f>
        <v>6911271.099994136</v>
      </c>
      <c r="T6" s="212">
        <f>+'Construcción Modelo financiero'!V23</f>
        <v>7047423.1406640215</v>
      </c>
      <c r="U6" s="212">
        <f>+'Construcción Modelo financiero'!W23</f>
        <v>7186257.3765351009</v>
      </c>
      <c r="V6" s="212">
        <f>+'Construcción Modelo financiero'!X23</f>
        <v>7327826.6468528435</v>
      </c>
      <c r="W6" s="212">
        <f>+'Construcción Modelo financiero'!Y23</f>
        <v>7472184.8317958442</v>
      </c>
      <c r="X6" s="213">
        <f>+'Construcción Modelo financiero'!Z23</f>
        <v>7619386.8729822226</v>
      </c>
    </row>
    <row r="7" spans="1:24" x14ac:dyDescent="0.35">
      <c r="C7" s="68" t="s">
        <v>171</v>
      </c>
      <c r="D7" s="39"/>
      <c r="E7" s="212">
        <f>+'Construcción Modelo financiero'!G24</f>
        <v>200000</v>
      </c>
      <c r="F7" s="212">
        <f>+'Construcción Modelo financiero'!H24</f>
        <v>200000</v>
      </c>
      <c r="G7" s="212">
        <f>+'Construcción Modelo financiero'!I24</f>
        <v>200000</v>
      </c>
      <c r="H7" s="212">
        <f>+'Construcción Modelo financiero'!J24</f>
        <v>200000</v>
      </c>
      <c r="I7" s="212">
        <f>+'Construcción Modelo financiero'!K24</f>
        <v>200000</v>
      </c>
      <c r="J7" s="212">
        <f>+'Construcción Modelo financiero'!L24</f>
        <v>0</v>
      </c>
      <c r="K7" s="212">
        <f>+'Construcción Modelo financiero'!M24</f>
        <v>0</v>
      </c>
      <c r="L7" s="212">
        <f>+'Construcción Modelo financiero'!N24</f>
        <v>0</v>
      </c>
      <c r="M7" s="212">
        <f>+'Construcción Modelo financiero'!O24</f>
        <v>0</v>
      </c>
      <c r="N7" s="212">
        <f>+'Construcción Modelo financiero'!P24</f>
        <v>0</v>
      </c>
      <c r="O7" s="212">
        <f>+'Construcción Modelo financiero'!Q24</f>
        <v>0</v>
      </c>
      <c r="P7" s="212">
        <f>+'Construcción Modelo financiero'!R24</f>
        <v>0</v>
      </c>
      <c r="Q7" s="212">
        <f>+'Construcción Modelo financiero'!S24</f>
        <v>0</v>
      </c>
      <c r="R7" s="212">
        <f>+'Construcción Modelo financiero'!T24</f>
        <v>0</v>
      </c>
      <c r="S7" s="212">
        <f>+'Construcción Modelo financiero'!U24</f>
        <v>0</v>
      </c>
      <c r="T7" s="212">
        <f>+'Construcción Modelo financiero'!V24</f>
        <v>0</v>
      </c>
      <c r="U7" s="212">
        <f>+'Construcción Modelo financiero'!W24</f>
        <v>0</v>
      </c>
      <c r="V7" s="212">
        <f>+'Construcción Modelo financiero'!X24</f>
        <v>0</v>
      </c>
      <c r="W7" s="212">
        <f>+'Construcción Modelo financiero'!Y24</f>
        <v>0</v>
      </c>
      <c r="X7" s="213">
        <f>+'Construcción Modelo financiero'!Z24</f>
        <v>0</v>
      </c>
    </row>
    <row r="8" spans="1:24" ht="4.5" customHeight="1" x14ac:dyDescent="0.35">
      <c r="C8" s="68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50"/>
    </row>
    <row r="9" spans="1:24" s="27" customFormat="1" x14ac:dyDescent="0.35">
      <c r="C9" s="154" t="s">
        <v>126</v>
      </c>
      <c r="D9" s="41"/>
      <c r="E9" s="41">
        <f>+E10+E12</f>
        <v>1346000</v>
      </c>
      <c r="F9" s="41">
        <f t="shared" ref="F9:X9" si="1">+F10+F12</f>
        <v>2733053.5999999996</v>
      </c>
      <c r="G9" s="41">
        <f t="shared" si="1"/>
        <v>4154615.3088799985</v>
      </c>
      <c r="H9" s="41">
        <f t="shared" si="1"/>
        <v>4237007.5939649353</v>
      </c>
      <c r="I9" s="41">
        <f t="shared" si="1"/>
        <v>4321039.3979710443</v>
      </c>
      <c r="J9" s="41">
        <f t="shared" si="1"/>
        <v>4406743.5111482246</v>
      </c>
      <c r="K9" s="41">
        <f t="shared" si="1"/>
        <v>4494153.3844661089</v>
      </c>
      <c r="L9" s="41">
        <f t="shared" si="1"/>
        <v>4583303.1430728044</v>
      </c>
      <c r="M9" s="41">
        <f t="shared" si="1"/>
        <v>4674227.6000320315</v>
      </c>
      <c r="N9" s="41">
        <f t="shared" si="1"/>
        <v>4766962.2703445787</v>
      </c>
      <c r="O9" s="41">
        <f t="shared" si="1"/>
        <v>4861543.385260039</v>
      </c>
      <c r="P9" s="41">
        <f t="shared" si="1"/>
        <v>4958007.9068850232</v>
      </c>
      <c r="Q9" s="41">
        <f t="shared" si="1"/>
        <v>5056393.5430940809</v>
      </c>
      <c r="R9" s="41">
        <f t="shared" si="1"/>
        <v>5156738.7627497595</v>
      </c>
      <c r="S9" s="41">
        <f t="shared" si="1"/>
        <v>5259082.8112383569</v>
      </c>
      <c r="T9" s="41">
        <f t="shared" si="1"/>
        <v>5363465.7263280554</v>
      </c>
      <c r="U9" s="41">
        <f t="shared" si="1"/>
        <v>5469928.3543562666</v>
      </c>
      <c r="V9" s="41">
        <f t="shared" si="1"/>
        <v>5578512.3667532206</v>
      </c>
      <c r="W9" s="41">
        <f t="shared" si="1"/>
        <v>5689260.2769088792</v>
      </c>
      <c r="X9" s="52">
        <f t="shared" si="1"/>
        <v>5802215.4573905226</v>
      </c>
    </row>
    <row r="10" spans="1:24" x14ac:dyDescent="0.35">
      <c r="C10" s="154" t="s">
        <v>5</v>
      </c>
      <c r="D10" s="39"/>
      <c r="E10" s="39">
        <f>+E11</f>
        <v>50000</v>
      </c>
      <c r="F10" s="39">
        <f t="shared" ref="F10:X10" si="2">+F11</f>
        <v>51500</v>
      </c>
      <c r="G10" s="39">
        <f t="shared" si="2"/>
        <v>53045</v>
      </c>
      <c r="H10" s="39">
        <f t="shared" si="2"/>
        <v>54636.35</v>
      </c>
      <c r="I10" s="39">
        <f t="shared" si="2"/>
        <v>56275.440499999997</v>
      </c>
      <c r="J10" s="39">
        <f t="shared" si="2"/>
        <v>57963.703714999996</v>
      </c>
      <c r="K10" s="39">
        <f t="shared" si="2"/>
        <v>59702.614826450001</v>
      </c>
      <c r="L10" s="39">
        <f t="shared" si="2"/>
        <v>61493.693271243501</v>
      </c>
      <c r="M10" s="39">
        <f t="shared" si="2"/>
        <v>63338.504069380804</v>
      </c>
      <c r="N10" s="39">
        <f t="shared" si="2"/>
        <v>65238.659191462233</v>
      </c>
      <c r="O10" s="39">
        <f t="shared" si="2"/>
        <v>67195.818967206098</v>
      </c>
      <c r="P10" s="39">
        <f t="shared" si="2"/>
        <v>69211.693536222287</v>
      </c>
      <c r="Q10" s="39">
        <f t="shared" si="2"/>
        <v>71288.04434230896</v>
      </c>
      <c r="R10" s="39">
        <f t="shared" si="2"/>
        <v>73426.685672578227</v>
      </c>
      <c r="S10" s="39">
        <f t="shared" si="2"/>
        <v>75629.486242755578</v>
      </c>
      <c r="T10" s="39">
        <f t="shared" si="2"/>
        <v>77898.370830038242</v>
      </c>
      <c r="U10" s="39">
        <f t="shared" si="2"/>
        <v>80235.321954939398</v>
      </c>
      <c r="V10" s="39">
        <f t="shared" si="2"/>
        <v>82642.381613587582</v>
      </c>
      <c r="W10" s="39">
        <f t="shared" si="2"/>
        <v>85121.65306199521</v>
      </c>
      <c r="X10" s="50">
        <f t="shared" si="2"/>
        <v>87675.302653855062</v>
      </c>
    </row>
    <row r="11" spans="1:24" x14ac:dyDescent="0.35">
      <c r="C11" s="68" t="s">
        <v>6</v>
      </c>
      <c r="D11" s="39"/>
      <c r="E11" s="212">
        <f>+'Construcción Modelo financiero'!G34</f>
        <v>50000</v>
      </c>
      <c r="F11" s="212">
        <f>+'Construcción Modelo financiero'!H34</f>
        <v>51500</v>
      </c>
      <c r="G11" s="212">
        <f>+'Construcción Modelo financiero'!I34</f>
        <v>53045</v>
      </c>
      <c r="H11" s="212">
        <f>+'Construcción Modelo financiero'!J34</f>
        <v>54636.35</v>
      </c>
      <c r="I11" s="212">
        <f>+'Construcción Modelo financiero'!K34</f>
        <v>56275.440499999997</v>
      </c>
      <c r="J11" s="212">
        <f>+'Construcción Modelo financiero'!L34</f>
        <v>57963.703714999996</v>
      </c>
      <c r="K11" s="212">
        <f>+'Construcción Modelo financiero'!M34</f>
        <v>59702.614826450001</v>
      </c>
      <c r="L11" s="212">
        <f>+'Construcción Modelo financiero'!N34</f>
        <v>61493.693271243501</v>
      </c>
      <c r="M11" s="212">
        <f>+'Construcción Modelo financiero'!O34</f>
        <v>63338.504069380804</v>
      </c>
      <c r="N11" s="212">
        <f>+'Construcción Modelo financiero'!P34</f>
        <v>65238.659191462233</v>
      </c>
      <c r="O11" s="212">
        <f>+'Construcción Modelo financiero'!Q34</f>
        <v>67195.818967206098</v>
      </c>
      <c r="P11" s="212">
        <f>+'Construcción Modelo financiero'!R34</f>
        <v>69211.693536222287</v>
      </c>
      <c r="Q11" s="212">
        <f>+'Construcción Modelo financiero'!S34</f>
        <v>71288.04434230896</v>
      </c>
      <c r="R11" s="212">
        <f>+'Construcción Modelo financiero'!T34</f>
        <v>73426.685672578227</v>
      </c>
      <c r="S11" s="212">
        <f>+'Construcción Modelo financiero'!U34</f>
        <v>75629.486242755578</v>
      </c>
      <c r="T11" s="212">
        <f>+'Construcción Modelo financiero'!V34</f>
        <v>77898.370830038242</v>
      </c>
      <c r="U11" s="212">
        <f>+'Construcción Modelo financiero'!W34</f>
        <v>80235.321954939398</v>
      </c>
      <c r="V11" s="212">
        <f>+'Construcción Modelo financiero'!X34</f>
        <v>82642.381613587582</v>
      </c>
      <c r="W11" s="212">
        <f>+'Construcción Modelo financiero'!Y34</f>
        <v>85121.65306199521</v>
      </c>
      <c r="X11" s="213">
        <f>+'Construcción Modelo financiero'!Z34</f>
        <v>87675.302653855062</v>
      </c>
    </row>
    <row r="12" spans="1:24" x14ac:dyDescent="0.35">
      <c r="C12" s="154" t="s">
        <v>4</v>
      </c>
      <c r="D12" s="39"/>
      <c r="E12" s="39">
        <f>+SUM(E13:E15)</f>
        <v>1296000</v>
      </c>
      <c r="F12" s="39">
        <f t="shared" ref="F12:X12" si="3">+SUM(F13:F15)</f>
        <v>2681553.5999999996</v>
      </c>
      <c r="G12" s="39">
        <f t="shared" si="3"/>
        <v>4101570.3088799985</v>
      </c>
      <c r="H12" s="39">
        <f t="shared" si="3"/>
        <v>4182371.2439649357</v>
      </c>
      <c r="I12" s="39">
        <f t="shared" si="3"/>
        <v>4264763.9574710447</v>
      </c>
      <c r="J12" s="39">
        <f t="shared" si="3"/>
        <v>4348779.8074332243</v>
      </c>
      <c r="K12" s="39">
        <f t="shared" si="3"/>
        <v>4434450.7696396587</v>
      </c>
      <c r="L12" s="39">
        <f t="shared" si="3"/>
        <v>4521809.4498015605</v>
      </c>
      <c r="M12" s="39">
        <f t="shared" si="3"/>
        <v>4610889.0959626511</v>
      </c>
      <c r="N12" s="39">
        <f t="shared" si="3"/>
        <v>4701723.6111531164</v>
      </c>
      <c r="O12" s="39">
        <f t="shared" si="3"/>
        <v>4794347.5662928326</v>
      </c>
      <c r="P12" s="39">
        <f t="shared" si="3"/>
        <v>4888796.2133488012</v>
      </c>
      <c r="Q12" s="39">
        <f t="shared" si="3"/>
        <v>4985105.4987517716</v>
      </c>
      <c r="R12" s="39">
        <f t="shared" si="3"/>
        <v>5083312.0770771811</v>
      </c>
      <c r="S12" s="39">
        <f t="shared" si="3"/>
        <v>5183453.3249956015</v>
      </c>
      <c r="T12" s="39">
        <f t="shared" si="3"/>
        <v>5285567.3554980168</v>
      </c>
      <c r="U12" s="39">
        <f t="shared" si="3"/>
        <v>5389693.032401327</v>
      </c>
      <c r="V12" s="39">
        <f t="shared" si="3"/>
        <v>5495869.9851396326</v>
      </c>
      <c r="W12" s="39">
        <f t="shared" si="3"/>
        <v>5604138.6238468839</v>
      </c>
      <c r="X12" s="50">
        <f t="shared" si="3"/>
        <v>5714540.1547366679</v>
      </c>
    </row>
    <row r="13" spans="1:24" x14ac:dyDescent="0.35">
      <c r="C13" s="68" t="s">
        <v>130</v>
      </c>
      <c r="D13" s="39"/>
      <c r="E13" s="212">
        <f>+'Construcción Modelo financiero'!G36</f>
        <v>576000</v>
      </c>
      <c r="F13" s="212">
        <f>+'Construcción Modelo financiero'!H36</f>
        <v>1191801.5999999999</v>
      </c>
      <c r="G13" s="212">
        <f>+'Construcción Modelo financiero'!I36</f>
        <v>1822920.1372799994</v>
      </c>
      <c r="H13" s="212">
        <f>+'Construcción Modelo financiero'!J36</f>
        <v>1858831.6639844158</v>
      </c>
      <c r="I13" s="212">
        <f>+'Construcción Modelo financiero'!K36</f>
        <v>1895450.6477649086</v>
      </c>
      <c r="J13" s="212">
        <f>+'Construcción Modelo financiero'!L36</f>
        <v>1932791.0255258775</v>
      </c>
      <c r="K13" s="212">
        <f>+'Construcción Modelo financiero'!M36</f>
        <v>1970867.0087287372</v>
      </c>
      <c r="L13" s="212">
        <f>+'Construcción Modelo financiero'!N36</f>
        <v>2009693.0888006934</v>
      </c>
      <c r="M13" s="212">
        <f>+'Construcción Modelo financiero'!O36</f>
        <v>2049284.0426500672</v>
      </c>
      <c r="N13" s="212">
        <f>+'Construcción Modelo financiero'!P36</f>
        <v>2089654.9382902738</v>
      </c>
      <c r="O13" s="212">
        <f>+'Construcción Modelo financiero'!Q36</f>
        <v>2130821.1405745922</v>
      </c>
      <c r="P13" s="212">
        <f>+'Construcción Modelo financiero'!R36</f>
        <v>2172798.3170439117</v>
      </c>
      <c r="Q13" s="212">
        <f>+'Construcción Modelo financiero'!S36</f>
        <v>2215602.4438896761</v>
      </c>
      <c r="R13" s="212">
        <f>+'Construcción Modelo financiero'!T36</f>
        <v>2259249.8120343029</v>
      </c>
      <c r="S13" s="212">
        <f>+'Construcción Modelo financiero'!U36</f>
        <v>2303757.0333313788</v>
      </c>
      <c r="T13" s="212">
        <f>+'Construcción Modelo financiero'!V36</f>
        <v>2349141.0468880078</v>
      </c>
      <c r="U13" s="212">
        <f>+'Construcción Modelo financiero'!W36</f>
        <v>2395419.1255117008</v>
      </c>
      <c r="V13" s="212">
        <f>+'Construcción Modelo financiero'!X36</f>
        <v>2442608.8822842813</v>
      </c>
      <c r="W13" s="212">
        <f>+'Construcción Modelo financiero'!Y36</f>
        <v>2490728.2772652819</v>
      </c>
      <c r="X13" s="213">
        <f>+'Construcción Modelo financiero'!Z36</f>
        <v>2539795.6243274081</v>
      </c>
    </row>
    <row r="14" spans="1:24" x14ac:dyDescent="0.35">
      <c r="C14" s="68" t="s">
        <v>3</v>
      </c>
      <c r="D14" s="39"/>
      <c r="E14" s="212">
        <f>+'Construcción Modelo financiero'!G37</f>
        <v>288000</v>
      </c>
      <c r="F14" s="212">
        <f>+'Construcción Modelo financiero'!H37</f>
        <v>595900.79999999993</v>
      </c>
      <c r="G14" s="212">
        <f>+'Construcción Modelo financiero'!I37</f>
        <v>911460.06863999972</v>
      </c>
      <c r="H14" s="212">
        <f>+'Construcción Modelo financiero'!J37</f>
        <v>929415.83199220791</v>
      </c>
      <c r="I14" s="212">
        <f>+'Construcción Modelo financiero'!K37</f>
        <v>947725.32388245431</v>
      </c>
      <c r="J14" s="212">
        <f>+'Construcción Modelo financiero'!L37</f>
        <v>966395.51276293874</v>
      </c>
      <c r="K14" s="212">
        <f>+'Construcción Modelo financiero'!M37</f>
        <v>985433.50436436862</v>
      </c>
      <c r="L14" s="212">
        <f>+'Construcción Modelo financiero'!N37</f>
        <v>1004846.5444003467</v>
      </c>
      <c r="M14" s="212">
        <f>+'Construcción Modelo financiero'!O37</f>
        <v>1024642.0213250336</v>
      </c>
      <c r="N14" s="212">
        <f>+'Construcción Modelo financiero'!P37</f>
        <v>1044827.4691451369</v>
      </c>
      <c r="O14" s="212">
        <f>+'Construcción Modelo financiero'!Q37</f>
        <v>1065410.5702872961</v>
      </c>
      <c r="P14" s="212">
        <f>+'Construcción Modelo financiero'!R37</f>
        <v>1086399.1585219558</v>
      </c>
      <c r="Q14" s="212">
        <f>+'Construcción Modelo financiero'!S37</f>
        <v>1107801.2219448381</v>
      </c>
      <c r="R14" s="212">
        <f>+'Construcción Modelo financiero'!T37</f>
        <v>1129624.9060171514</v>
      </c>
      <c r="S14" s="212">
        <f>+'Construcción Modelo financiero'!U37</f>
        <v>1151878.5166656894</v>
      </c>
      <c r="T14" s="212">
        <f>+'Construcción Modelo financiero'!V37</f>
        <v>1174570.5234440039</v>
      </c>
      <c r="U14" s="212">
        <f>+'Construcción Modelo financiero'!W37</f>
        <v>1197709.5627558504</v>
      </c>
      <c r="V14" s="212">
        <f>+'Construcción Modelo financiero'!X37</f>
        <v>1221304.4411421407</v>
      </c>
      <c r="W14" s="212">
        <f>+'Construcción Modelo financiero'!Y37</f>
        <v>1245364.1386326409</v>
      </c>
      <c r="X14" s="213">
        <f>+'Construcción Modelo financiero'!Z37</f>
        <v>1269897.8121637041</v>
      </c>
    </row>
    <row r="15" spans="1:24" x14ac:dyDescent="0.35">
      <c r="C15" s="68" t="s">
        <v>131</v>
      </c>
      <c r="D15" s="39"/>
      <c r="E15" s="212">
        <f>+'Construcción Modelo financiero'!G38</f>
        <v>432000</v>
      </c>
      <c r="F15" s="212">
        <f>+'Construcción Modelo financiero'!H38</f>
        <v>893851.19999999972</v>
      </c>
      <c r="G15" s="212">
        <f>+'Construcción Modelo financiero'!I38</f>
        <v>1367190.1029599993</v>
      </c>
      <c r="H15" s="212">
        <f>+'Construcción Modelo financiero'!J38</f>
        <v>1394123.7479883118</v>
      </c>
      <c r="I15" s="212">
        <f>+'Construcción Modelo financiero'!K38</f>
        <v>1421587.9858236813</v>
      </c>
      <c r="J15" s="212">
        <f>+'Construcción Modelo financiero'!L38</f>
        <v>1449593.2691444079</v>
      </c>
      <c r="K15" s="212">
        <f>+'Construcción Modelo financiero'!M38</f>
        <v>1478150.2565465525</v>
      </c>
      <c r="L15" s="212">
        <f>+'Construcción Modelo financiero'!N38</f>
        <v>1507269.8166005199</v>
      </c>
      <c r="M15" s="212">
        <f>+'Construcción Modelo financiero'!O38</f>
        <v>1536963.0319875502</v>
      </c>
      <c r="N15" s="212">
        <f>+'Construcción Modelo financiero'!P38</f>
        <v>1567241.2037177053</v>
      </c>
      <c r="O15" s="212">
        <f>+'Construcción Modelo financiero'!Q38</f>
        <v>1598115.8554309441</v>
      </c>
      <c r="P15" s="212">
        <f>+'Construcción Modelo financiero'!R38</f>
        <v>1629598.7377829335</v>
      </c>
      <c r="Q15" s="212">
        <f>+'Construcción Modelo financiero'!S38</f>
        <v>1661701.832917257</v>
      </c>
      <c r="R15" s="212">
        <f>+'Construcción Modelo financiero'!T38</f>
        <v>1694437.3590257273</v>
      </c>
      <c r="S15" s="212">
        <f>+'Construcción Modelo financiero'!U38</f>
        <v>1727817.774998534</v>
      </c>
      <c r="T15" s="212">
        <f>+'Construcción Modelo financiero'!V38</f>
        <v>1761855.7851660054</v>
      </c>
      <c r="U15" s="212">
        <f>+'Construcción Modelo financiero'!W38</f>
        <v>1796564.3441337752</v>
      </c>
      <c r="V15" s="212">
        <f>+'Construcción Modelo financiero'!X38</f>
        <v>1831956.6617132109</v>
      </c>
      <c r="W15" s="212">
        <f>+'Construcción Modelo financiero'!Y38</f>
        <v>1868046.2079489611</v>
      </c>
      <c r="X15" s="213">
        <f>+'Construcción Modelo financiero'!Z38</f>
        <v>1904846.7182455556</v>
      </c>
    </row>
    <row r="16" spans="1:24" ht="6" customHeight="1" x14ac:dyDescent="0.35">
      <c r="C16" s="68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50"/>
    </row>
    <row r="17" spans="3:25" s="27" customFormat="1" ht="16" x14ac:dyDescent="0.35">
      <c r="C17" s="154" t="s">
        <v>129</v>
      </c>
      <c r="D17" s="41">
        <f>+SUM(D18:D21)</f>
        <v>10950000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52"/>
      <c r="Y17" s="67"/>
    </row>
    <row r="18" spans="3:25" ht="16" x14ac:dyDescent="0.35">
      <c r="C18" s="68" t="str">
        <f>+'Construcción Modelo financiero'!D27</f>
        <v>Estudios y Diseños</v>
      </c>
      <c r="D18" s="212">
        <f>+'Construcción Modelo financiero'!F27</f>
        <v>250000</v>
      </c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50"/>
      <c r="Y18" s="66"/>
    </row>
    <row r="19" spans="3:25" ht="16" x14ac:dyDescent="0.35">
      <c r="C19" s="68" t="str">
        <f>+'Construcción Modelo financiero'!D28</f>
        <v xml:space="preserve">Obras de Infraestructura </v>
      </c>
      <c r="D19" s="212">
        <f>+'Construcción Modelo financiero'!F28</f>
        <v>10000000</v>
      </c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50"/>
      <c r="Y19" s="66"/>
    </row>
    <row r="20" spans="3:25" ht="16" x14ac:dyDescent="0.35">
      <c r="C20" s="68" t="str">
        <f>+'Construcción Modelo financiero'!D29</f>
        <v>Equipos y maquinas</v>
      </c>
      <c r="D20" s="212">
        <f>+'Construcción Modelo financiero'!F29</f>
        <v>500000</v>
      </c>
      <c r="E20" s="39"/>
      <c r="F20" s="39"/>
      <c r="G20" s="39"/>
      <c r="H20" s="39"/>
      <c r="I20" s="39"/>
      <c r="J20" s="39">
        <f>1400000+2800000</f>
        <v>4200000</v>
      </c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50"/>
      <c r="Y20" s="66"/>
    </row>
    <row r="21" spans="3:25" ht="16" x14ac:dyDescent="0.35">
      <c r="C21" s="68" t="str">
        <f>+'Construcción Modelo financiero'!D30</f>
        <v>Otros</v>
      </c>
      <c r="D21" s="212">
        <f>+'Construcción Modelo financiero'!F30</f>
        <v>200000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50"/>
      <c r="Y21" s="66"/>
    </row>
    <row r="22" spans="3:25" s="27" customFormat="1" ht="16" x14ac:dyDescent="0.35">
      <c r="C22" s="154" t="s">
        <v>132</v>
      </c>
      <c r="D22" s="41"/>
      <c r="E22" s="214">
        <f>+'Estado de Resultados'!D31</f>
        <v>0</v>
      </c>
      <c r="F22" s="214">
        <f>+'Estado de Resultados'!E31</f>
        <v>104087.81974341646</v>
      </c>
      <c r="G22" s="214">
        <f>+'Estado de Resultados'!F31</f>
        <v>273125.29451385263</v>
      </c>
      <c r="H22" s="214">
        <f>+'Estado de Resultados'!G31</f>
        <v>286041.54281390377</v>
      </c>
      <c r="I22" s="214">
        <f>+'Estado de Resultados'!H31</f>
        <v>299268.41499782953</v>
      </c>
      <c r="J22" s="214">
        <f>+'Estado de Resultados'!I31</f>
        <v>242814.02512295934</v>
      </c>
      <c r="K22" s="214">
        <f>+'Estado de Resultados'!J31</f>
        <v>256686.71777091231</v>
      </c>
      <c r="L22" s="214">
        <f>+'Estado de Resultados'!K31</f>
        <v>270895.07508845063</v>
      </c>
      <c r="M22" s="214">
        <f>+'Estado de Resultados'!L31</f>
        <v>285447.92405529245</v>
      </c>
      <c r="N22" s="214">
        <f>+'Estado de Resultados'!M31</f>
        <v>300354.34398647246</v>
      </c>
      <c r="O22" s="214">
        <f>+'Estado de Resultados'!N31</f>
        <v>315623.6742770925</v>
      </c>
      <c r="P22" s="214">
        <f>+'Estado de Resultados'!O31</f>
        <v>331265.52239756734</v>
      </c>
      <c r="Q22" s="214">
        <f>+'Estado de Resultados'!P31</f>
        <v>347289.77214775939</v>
      </c>
      <c r="R22" s="214">
        <f>+'Estado de Resultados'!Q31</f>
        <v>363706.59217867552</v>
      </c>
      <c r="S22" s="214">
        <f>+'Estado de Resultados'!R31</f>
        <v>380526.44479069015</v>
      </c>
      <c r="T22" s="214">
        <f>+'Estado de Resultados'!S31</f>
        <v>397760.09501758812</v>
      </c>
      <c r="U22" s="214">
        <f>+'Estado de Resultados'!T31</f>
        <v>409090.15776259196</v>
      </c>
      <c r="V22" s="214">
        <f>+'Estado de Resultados'!U31</f>
        <v>420634.99803486798</v>
      </c>
      <c r="W22" s="214">
        <f>+'Estado de Resultados'!V31</f>
        <v>432398.59421043773</v>
      </c>
      <c r="X22" s="215">
        <f>+'Estado de Resultados'!W31</f>
        <v>444384.99545709498</v>
      </c>
      <c r="Y22" s="67"/>
    </row>
    <row r="23" spans="3:25" s="73" customFormat="1" x14ac:dyDescent="0.35">
      <c r="C23" s="70" t="s">
        <v>133</v>
      </c>
      <c r="D23" s="71">
        <f t="shared" ref="D23:X23" si="4">+D5-D9-D17-D22</f>
        <v>-10950000</v>
      </c>
      <c r="E23" s="71">
        <f t="shared" si="4"/>
        <v>582000</v>
      </c>
      <c r="F23" s="71">
        <f t="shared" si="4"/>
        <v>938263.38025658275</v>
      </c>
      <c r="G23" s="71">
        <f t="shared" si="4"/>
        <v>1241019.8084461463</v>
      </c>
      <c r="H23" s="71">
        <f t="shared" si="4"/>
        <v>1253445.8551744083</v>
      </c>
      <c r="I23" s="71">
        <f t="shared" si="4"/>
        <v>1266044.1303258515</v>
      </c>
      <c r="J23" s="71">
        <f t="shared" si="4"/>
        <v>1148815.5403064478</v>
      </c>
      <c r="K23" s="71">
        <f t="shared" si="4"/>
        <v>1161760.923949189</v>
      </c>
      <c r="L23" s="71">
        <f t="shared" si="4"/>
        <v>1174881.0482408246</v>
      </c>
      <c r="M23" s="71">
        <f t="shared" si="4"/>
        <v>1188176.6038628768</v>
      </c>
      <c r="N23" s="71">
        <f t="shared" si="4"/>
        <v>1201648.2005397701</v>
      </c>
      <c r="O23" s="71">
        <f t="shared" si="4"/>
        <v>1215296.3621866449</v>
      </c>
      <c r="P23" s="71">
        <f t="shared" si="4"/>
        <v>1229121.5218491436</v>
      </c>
      <c r="Q23" s="71">
        <f t="shared" si="4"/>
        <v>1243124.0164271877</v>
      </c>
      <c r="R23" s="71">
        <f t="shared" si="4"/>
        <v>1257304.081174474</v>
      </c>
      <c r="S23" s="71">
        <f t="shared" si="4"/>
        <v>1271661.8439650889</v>
      </c>
      <c r="T23" s="71">
        <f t="shared" si="4"/>
        <v>1286197.3193183779</v>
      </c>
      <c r="U23" s="71">
        <f t="shared" si="4"/>
        <v>1307238.8644162423</v>
      </c>
      <c r="V23" s="71">
        <f t="shared" si="4"/>
        <v>1328679.282064755</v>
      </c>
      <c r="W23" s="71">
        <f t="shared" si="4"/>
        <v>1350525.9606765273</v>
      </c>
      <c r="X23" s="72">
        <f t="shared" si="4"/>
        <v>1372786.4201346049</v>
      </c>
    </row>
    <row r="24" spans="3:25" s="73" customFormat="1" x14ac:dyDescent="0.35">
      <c r="C24" s="70" t="s">
        <v>177</v>
      </c>
      <c r="D24" s="71">
        <f>+D23</f>
        <v>-10950000</v>
      </c>
      <c r="E24" s="71">
        <f>+E23+D24</f>
        <v>-10368000</v>
      </c>
      <c r="F24" s="71">
        <f t="shared" ref="F24:J24" si="5">+F23+E24</f>
        <v>-9429736.6197434179</v>
      </c>
      <c r="G24" s="71">
        <f t="shared" si="5"/>
        <v>-8188716.8112972714</v>
      </c>
      <c r="H24" s="71">
        <f t="shared" si="5"/>
        <v>-6935270.9561228631</v>
      </c>
      <c r="I24" s="71">
        <f t="shared" si="5"/>
        <v>-5669226.8257970121</v>
      </c>
      <c r="J24" s="71">
        <f t="shared" si="5"/>
        <v>-4520411.2854905641</v>
      </c>
      <c r="K24" s="71">
        <f t="shared" ref="K24" si="6">+K23+J24</f>
        <v>-3358650.3615413751</v>
      </c>
      <c r="L24" s="71">
        <f t="shared" ref="L24" si="7">+L23+K24</f>
        <v>-2183769.3133005504</v>
      </c>
      <c r="M24" s="71">
        <f t="shared" ref="M24" si="8">+M23+L24</f>
        <v>-995592.70943767368</v>
      </c>
      <c r="N24" s="71">
        <f t="shared" ref="N24:O24" si="9">+N23+M24</f>
        <v>206055.49110209639</v>
      </c>
      <c r="O24" s="71">
        <f t="shared" si="9"/>
        <v>1421351.8532887413</v>
      </c>
      <c r="P24" s="71">
        <f>+P23+O24</f>
        <v>2650473.3751378851</v>
      </c>
      <c r="Q24" s="71">
        <f t="shared" ref="Q24" si="10">+Q23+P24</f>
        <v>3893597.3915650728</v>
      </c>
      <c r="R24" s="71">
        <f t="shared" ref="R24" si="11">+R23+Q24</f>
        <v>5150901.4727395466</v>
      </c>
      <c r="S24" s="71">
        <f t="shared" ref="S24" si="12">+S23+R24</f>
        <v>6422563.3167046355</v>
      </c>
      <c r="T24" s="71">
        <f t="shared" ref="T24" si="13">+T23+S24</f>
        <v>7708760.6360230129</v>
      </c>
      <c r="U24" s="71">
        <f t="shared" ref="U24" si="14">+U23+T24</f>
        <v>9015999.5004392546</v>
      </c>
      <c r="V24" s="71">
        <f t="shared" ref="V24" si="15">+V23+U24</f>
        <v>10344678.782504009</v>
      </c>
      <c r="W24" s="71">
        <f t="shared" ref="W24" si="16">+W23+V24</f>
        <v>11695204.743180536</v>
      </c>
      <c r="X24" s="72">
        <f t="shared" ref="X24" si="17">+X23+W24</f>
        <v>13067991.16331514</v>
      </c>
    </row>
    <row r="25" spans="3:25" ht="14.25" customHeight="1" x14ac:dyDescent="0.35"/>
    <row r="27" spans="3:25" ht="36.75" customHeight="1" x14ac:dyDescent="0.35">
      <c r="C27" s="205" t="s">
        <v>190</v>
      </c>
    </row>
    <row r="28" spans="3:25" x14ac:dyDescent="0.35">
      <c r="C28" s="57" t="s">
        <v>172</v>
      </c>
      <c r="D28" s="59" t="s">
        <v>173</v>
      </c>
    </row>
    <row r="29" spans="3:25" x14ac:dyDescent="0.35">
      <c r="C29" s="74" t="s">
        <v>174</v>
      </c>
      <c r="D29" s="75">
        <f>+NPV(5%,D23:X23)</f>
        <v>3425452.2912453501</v>
      </c>
    </row>
    <row r="30" spans="3:25" x14ac:dyDescent="0.35">
      <c r="C30" s="74" t="s">
        <v>175</v>
      </c>
      <c r="D30" s="77">
        <f>+IRR(D23:X23)</f>
        <v>8.3539993976546434E-2</v>
      </c>
    </row>
    <row r="31" spans="3:25" x14ac:dyDescent="0.35">
      <c r="C31" s="76" t="s">
        <v>176</v>
      </c>
      <c r="D31" s="72">
        <f>+COUNTIF(E24:X24,"&lt;0")</f>
        <v>9</v>
      </c>
    </row>
    <row r="34" spans="3:3" x14ac:dyDescent="0.35">
      <c r="C34" s="92" t="s">
        <v>196</v>
      </c>
    </row>
    <row r="35" spans="3:3" x14ac:dyDescent="0.35">
      <c r="C35" s="92" t="s">
        <v>197</v>
      </c>
    </row>
    <row r="36" spans="3:3" x14ac:dyDescent="0.35">
      <c r="C36" s="92" t="s">
        <v>198</v>
      </c>
    </row>
  </sheetData>
  <phoneticPr fontId="8" type="noConversion"/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330dd0-f99a-4649-a645-424d10447f37" xsi:nil="true"/>
    <lcf76f155ced4ddcb4097134ff3c332f xmlns="ed7520c1-676f-43b9-aeaa-fe4c7d4f077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C6724A7527AF4098FCF3A7578E3E9A" ma:contentTypeVersion="15" ma:contentTypeDescription="Crear nuevo documento." ma:contentTypeScope="" ma:versionID="0937c67ff88994ee61daa91595bce7d4">
  <xsd:schema xmlns:xsd="http://www.w3.org/2001/XMLSchema" xmlns:xs="http://www.w3.org/2001/XMLSchema" xmlns:p="http://schemas.microsoft.com/office/2006/metadata/properties" xmlns:ns2="ed7520c1-676f-43b9-aeaa-fe4c7d4f0774" xmlns:ns3="f8330dd0-f99a-4649-a645-424d10447f37" targetNamespace="http://schemas.microsoft.com/office/2006/metadata/properties" ma:root="true" ma:fieldsID="d6a5e8f80d31dbf8c49dc936973831e4" ns2:_="" ns3:_="">
    <xsd:import namespace="ed7520c1-676f-43b9-aeaa-fe4c7d4f0774"/>
    <xsd:import namespace="f8330dd0-f99a-4649-a645-424d10447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7520c1-676f-43b9-aeaa-fe4c7d4f07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02db8c06-ccfb-4c61-bd86-b18675e138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330dd0-f99a-4649-a645-424d10447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d17f8e5-66f5-4b7f-8f8a-5d8bda472f3b}" ma:internalName="TaxCatchAll" ma:showField="CatchAllData" ma:web="f8330dd0-f99a-4649-a645-424d10447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EA7805-1A0B-4A8D-A44D-E1E590AEAC8E}">
  <ds:schemaRefs>
    <ds:schemaRef ds:uri="http://schemas.microsoft.com/office/2006/metadata/properties"/>
    <ds:schemaRef ds:uri="http://schemas.microsoft.com/office/infopath/2007/PartnerControls"/>
    <ds:schemaRef ds:uri="f8330dd0-f99a-4649-a645-424d10447f37"/>
    <ds:schemaRef ds:uri="ed7520c1-676f-43b9-aeaa-fe4c7d4f0774"/>
  </ds:schemaRefs>
</ds:datastoreItem>
</file>

<file path=customXml/itemProps2.xml><?xml version="1.0" encoding="utf-8"?>
<ds:datastoreItem xmlns:ds="http://schemas.openxmlformats.org/officeDocument/2006/customXml" ds:itemID="{87B594D1-13A5-4BF8-9575-D9EA4272FE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D40D89-3048-4E4C-B858-3E7F4D90EE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7520c1-676f-43b9-aeaa-fe4c7d4f0774"/>
    <ds:schemaRef ds:uri="f8330dd0-f99a-4649-a645-424d10447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15</vt:i4>
      </vt:variant>
    </vt:vector>
  </HeadingPairs>
  <TitlesOfParts>
    <vt:vector size="28" baseType="lpstr">
      <vt:lpstr>Indice</vt:lpstr>
      <vt:lpstr>Fase preliminar</vt:lpstr>
      <vt:lpstr>Proyección de Costos</vt:lpstr>
      <vt:lpstr>Proyeccion de fuentes de fondeo</vt:lpstr>
      <vt:lpstr>Fuentes de financiamiento</vt:lpstr>
      <vt:lpstr>Esquemas de ejecución</vt:lpstr>
      <vt:lpstr>Construcción Modelo financiero</vt:lpstr>
      <vt:lpstr>Estado de Resultados</vt:lpstr>
      <vt:lpstr>Flujo de Caja</vt:lpstr>
      <vt:lpstr>Flujo de Caja Financiado</vt:lpstr>
      <vt:lpstr>Indexación</vt:lpstr>
      <vt:lpstr>Costos PTAR</vt:lpstr>
      <vt:lpstr>EEFF</vt:lpstr>
      <vt:lpstr>Indice!_Hlk117011667</vt:lpstr>
      <vt:lpstr>Costos_de_Operación_y_Mantenimiento</vt:lpstr>
      <vt:lpstr>Costos_PTAR</vt:lpstr>
      <vt:lpstr>criterios_deuda</vt:lpstr>
      <vt:lpstr>Deuda_fuente_A</vt:lpstr>
      <vt:lpstr>Deuda_fuente_B</vt:lpstr>
      <vt:lpstr>EEFF</vt:lpstr>
      <vt:lpstr>Esquemas_ejecución</vt:lpstr>
      <vt:lpstr>Estado_de_resultados</vt:lpstr>
      <vt:lpstr>Flujo_de_caja</vt:lpstr>
      <vt:lpstr>Flujo_de_caja_financiado</vt:lpstr>
      <vt:lpstr>indexación</vt:lpstr>
      <vt:lpstr>Indicadores_financieros</vt:lpstr>
      <vt:lpstr>Ingresos</vt:lpstr>
      <vt:lpstr>Modelo_financiero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Maria Badin</cp:lastModifiedBy>
  <dcterms:created xsi:type="dcterms:W3CDTF">2022-08-30T23:46:57Z</dcterms:created>
  <dcterms:modified xsi:type="dcterms:W3CDTF">2023-04-03T16:05:19Z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0x010100AFC6724A7527AF4098FCF3A7578E3E9A</vt:lpwstr>
  </property>
  <property fmtid="{D5CDD505-2E9C-101B-9397-08002B2CF9AE}" pid="3" name="MediaServiceImageTags">
    <vt:lpwstr/>
  </property>
</Properties>
</file>