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FavQ$\Desktop\Boq\build up template\"/>
    </mc:Choice>
  </mc:AlternateContent>
  <xr:revisionPtr revIDLastSave="0" documentId="13_ncr:1_{2E2E7172-CAF3-4DA3-83F2-C3831A1C11A2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RATE BUILD UP" sheetId="1" r:id="rId1"/>
    <sheet name="RATE BUILD UP (2)" sheetId="2" r:id="rId2"/>
  </sheets>
  <definedNames>
    <definedName name="_xlnm.Print_Area" localSheetId="0">'RATE BUILD UP'!$A$1:$E$346</definedName>
    <definedName name="_xlnm.Print_Area" localSheetId="1">'RATE BUILD UP (2)'!$A$1:$E$346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3" i="2" l="1"/>
  <c r="E213" i="2"/>
  <c r="E336" i="2"/>
  <c r="E326" i="2"/>
  <c r="C307" i="2"/>
  <c r="C309" i="2" s="1"/>
  <c r="E298" i="2"/>
  <c r="E293" i="2"/>
  <c r="C281" i="2"/>
  <c r="C283" i="2" s="1"/>
  <c r="D286" i="2" s="1"/>
  <c r="E287" i="2" s="1"/>
  <c r="E289" i="2" s="1"/>
  <c r="D262" i="2"/>
  <c r="E263" i="2" s="1"/>
  <c r="C257" i="2"/>
  <c r="C259" i="2" s="1"/>
  <c r="D266" i="2" s="1"/>
  <c r="E247" i="2"/>
  <c r="E241" i="2"/>
  <c r="E237" i="2"/>
  <c r="E217" i="2"/>
  <c r="E198" i="2"/>
  <c r="D192" i="2"/>
  <c r="D190" i="2"/>
  <c r="D188" i="2"/>
  <c r="E193" i="2" s="1"/>
  <c r="E177" i="2"/>
  <c r="D171" i="2"/>
  <c r="D169" i="2"/>
  <c r="D167" i="2"/>
  <c r="E172" i="2" s="1"/>
  <c r="E156" i="2"/>
  <c r="C152" i="2"/>
  <c r="C151" i="2"/>
  <c r="D131" i="2"/>
  <c r="H128" i="2"/>
  <c r="D123" i="2"/>
  <c r="E126" i="2" s="1"/>
  <c r="D119" i="2"/>
  <c r="C107" i="2"/>
  <c r="E108" i="2" s="1"/>
  <c r="D102" i="2"/>
  <c r="E104" i="2" s="1"/>
  <c r="C98" i="2"/>
  <c r="D98" i="2" s="1"/>
  <c r="C94" i="2"/>
  <c r="D94" i="2" s="1"/>
  <c r="C90" i="2"/>
  <c r="D90" i="2" s="1"/>
  <c r="E90" i="2" s="1"/>
  <c r="C78" i="2"/>
  <c r="E79" i="2" s="1"/>
  <c r="D73" i="2"/>
  <c r="E75" i="2" s="1"/>
  <c r="C69" i="2"/>
  <c r="D69" i="2" s="1"/>
  <c r="C65" i="2"/>
  <c r="D65" i="2" s="1"/>
  <c r="C61" i="2"/>
  <c r="D61" i="2" s="1"/>
  <c r="E61" i="2" s="1"/>
  <c r="E53" i="2"/>
  <c r="C49" i="2"/>
  <c r="E50" i="2" s="1"/>
  <c r="D44" i="2"/>
  <c r="E46" i="2" s="1"/>
  <c r="G41" i="2"/>
  <c r="C40" i="2"/>
  <c r="D40" i="2" s="1"/>
  <c r="G37" i="2"/>
  <c r="C36" i="2"/>
  <c r="D36" i="2" s="1"/>
  <c r="G32" i="2"/>
  <c r="C32" i="2"/>
  <c r="D32" i="2" s="1"/>
  <c r="E32" i="2" s="1"/>
  <c r="G30" i="2"/>
  <c r="I31" i="2" s="1"/>
  <c r="C14" i="2"/>
  <c r="C13" i="2"/>
  <c r="C12" i="2"/>
  <c r="C16" i="2" s="1"/>
  <c r="C11" i="2"/>
  <c r="D192" i="1"/>
  <c r="D152" i="2" l="1"/>
  <c r="E118" i="2"/>
  <c r="C15" i="2"/>
  <c r="E69" i="2" s="1"/>
  <c r="E244" i="2"/>
  <c r="E220" i="2"/>
  <c r="I32" i="2"/>
  <c r="I34" i="2" s="1"/>
  <c r="E36" i="2"/>
  <c r="G38" i="2"/>
  <c r="G39" i="2" s="1"/>
  <c r="I36" i="2" s="1"/>
  <c r="I37" i="2" s="1"/>
  <c r="E40" i="2"/>
  <c r="G43" i="2"/>
  <c r="G44" i="2" s="1"/>
  <c r="I46" i="2" s="1"/>
  <c r="E65" i="2"/>
  <c r="E94" i="2"/>
  <c r="E98" i="2"/>
  <c r="E134" i="2"/>
  <c r="D153" i="2"/>
  <c r="E154" i="2" s="1"/>
  <c r="E157" i="2" s="1"/>
  <c r="E173" i="2"/>
  <c r="E174" i="2" s="1"/>
  <c r="E175" i="2" s="1"/>
  <c r="E178" i="2" s="1"/>
  <c r="E180" i="2" s="1"/>
  <c r="E194" i="2"/>
  <c r="E195" i="2" s="1"/>
  <c r="E196" i="2" s="1"/>
  <c r="E199" i="2" s="1"/>
  <c r="E201" i="2" s="1"/>
  <c r="E214" i="2"/>
  <c r="E215" i="2" s="1"/>
  <c r="E224" i="2" s="1"/>
  <c r="E238" i="2"/>
  <c r="E239" i="2" s="1"/>
  <c r="E267" i="2"/>
  <c r="E268" i="2" s="1"/>
  <c r="E290" i="2"/>
  <c r="E291" i="2" s="1"/>
  <c r="E292" i="2" s="1"/>
  <c r="E296" i="2" s="1"/>
  <c r="E299" i="2" s="1"/>
  <c r="D316" i="2"/>
  <c r="E317" i="2" s="1"/>
  <c r="D312" i="2"/>
  <c r="E313" i="2" s="1"/>
  <c r="E318" i="2" s="1"/>
  <c r="E337" i="2"/>
  <c r="E338" i="2" s="1"/>
  <c r="G41" i="1"/>
  <c r="G37" i="1"/>
  <c r="G32" i="1"/>
  <c r="G30" i="1"/>
  <c r="E248" i="2" l="1"/>
  <c r="E249" i="2" s="1"/>
  <c r="E250" i="2" s="1"/>
  <c r="E339" i="2"/>
  <c r="E340" i="2" s="1"/>
  <c r="E344" i="2" s="1"/>
  <c r="E319" i="2"/>
  <c r="E320" i="2" s="1"/>
  <c r="E321" i="2" s="1"/>
  <c r="E324" i="2" s="1"/>
  <c r="E327" i="2" s="1"/>
  <c r="E300" i="2"/>
  <c r="E301" i="2" s="1"/>
  <c r="E269" i="2"/>
  <c r="E270" i="2" s="1"/>
  <c r="E271" i="2" s="1"/>
  <c r="E273" i="2" s="1"/>
  <c r="E225" i="2"/>
  <c r="E226" i="2" s="1"/>
  <c r="E202" i="2"/>
  <c r="E203" i="2" s="1"/>
  <c r="E181" i="2"/>
  <c r="E182" i="2" s="1"/>
  <c r="E158" i="2"/>
  <c r="E159" i="2" s="1"/>
  <c r="E109" i="2"/>
  <c r="E112" i="2" s="1"/>
  <c r="E80" i="2"/>
  <c r="E83" i="2" s="1"/>
  <c r="E51" i="2"/>
  <c r="E54" i="2" s="1"/>
  <c r="E119" i="2"/>
  <c r="E120" i="2" s="1"/>
  <c r="E136" i="2" s="1"/>
  <c r="I31" i="1"/>
  <c r="G38" i="1"/>
  <c r="G39" i="1" s="1"/>
  <c r="I36" i="1" s="1"/>
  <c r="I37" i="1" s="1"/>
  <c r="G43" i="1"/>
  <c r="G44" i="1" s="1"/>
  <c r="I46" i="1" s="1"/>
  <c r="E336" i="1"/>
  <c r="E326" i="1"/>
  <c r="C307" i="1"/>
  <c r="C309" i="1" s="1"/>
  <c r="E298" i="1"/>
  <c r="E293" i="1"/>
  <c r="C281" i="1"/>
  <c r="C283" i="1" s="1"/>
  <c r="D286" i="1" s="1"/>
  <c r="E287" i="1" s="1"/>
  <c r="E289" i="1" s="1"/>
  <c r="D262" i="1"/>
  <c r="E263" i="1" s="1"/>
  <c r="C257" i="1"/>
  <c r="C259" i="1" s="1"/>
  <c r="D266" i="1" s="1"/>
  <c r="E247" i="1"/>
  <c r="E241" i="1"/>
  <c r="E237" i="1"/>
  <c r="E238" i="1" s="1"/>
  <c r="E239" i="1" s="1"/>
  <c r="E223" i="1"/>
  <c r="E217" i="1"/>
  <c r="E213" i="1"/>
  <c r="E198" i="1"/>
  <c r="D190" i="1"/>
  <c r="D188" i="1"/>
  <c r="E193" i="1" s="1"/>
  <c r="E177" i="1"/>
  <c r="D171" i="1"/>
  <c r="D169" i="1"/>
  <c r="D167" i="1"/>
  <c r="E172" i="1" s="1"/>
  <c r="E156" i="1"/>
  <c r="C152" i="1"/>
  <c r="C151" i="1"/>
  <c r="D131" i="1"/>
  <c r="H128" i="1"/>
  <c r="D123" i="1"/>
  <c r="E126" i="1" s="1"/>
  <c r="D119" i="1"/>
  <c r="C107" i="1"/>
  <c r="E108" i="1" s="1"/>
  <c r="D102" i="1"/>
  <c r="E104" i="1" s="1"/>
  <c r="C98" i="1"/>
  <c r="D98" i="1" s="1"/>
  <c r="C94" i="1"/>
  <c r="D94" i="1" s="1"/>
  <c r="C90" i="1"/>
  <c r="D90" i="1" s="1"/>
  <c r="E90" i="1" s="1"/>
  <c r="C78" i="1"/>
  <c r="E79" i="1" s="1"/>
  <c r="D73" i="1"/>
  <c r="E75" i="1" s="1"/>
  <c r="C69" i="1"/>
  <c r="D69" i="1" s="1"/>
  <c r="C65" i="1"/>
  <c r="D65" i="1" s="1"/>
  <c r="C61" i="1"/>
  <c r="D61" i="1" s="1"/>
  <c r="E61" i="1" s="1"/>
  <c r="E53" i="1"/>
  <c r="C49" i="1"/>
  <c r="E50" i="1" s="1"/>
  <c r="D44" i="1"/>
  <c r="E46" i="1" s="1"/>
  <c r="C40" i="1"/>
  <c r="D40" i="1" s="1"/>
  <c r="C36" i="1"/>
  <c r="D36" i="1" s="1"/>
  <c r="C32" i="1"/>
  <c r="D32" i="1" s="1"/>
  <c r="E32" i="1" s="1"/>
  <c r="C14" i="1"/>
  <c r="C13" i="1"/>
  <c r="C12" i="1"/>
  <c r="C16" i="1" s="1"/>
  <c r="C11" i="1"/>
  <c r="D152" i="1" l="1"/>
  <c r="E137" i="2"/>
  <c r="E138" i="2" s="1"/>
  <c r="E55" i="2"/>
  <c r="E56" i="2" s="1"/>
  <c r="E84" i="2"/>
  <c r="E85" i="2" s="1"/>
  <c r="E113" i="2"/>
  <c r="E114" i="2" s="1"/>
  <c r="E274" i="2"/>
  <c r="E275" i="2" s="1"/>
  <c r="E328" i="2"/>
  <c r="E329" i="2" s="1"/>
  <c r="E345" i="2"/>
  <c r="E346" i="2" s="1"/>
  <c r="E118" i="1"/>
  <c r="C15" i="1"/>
  <c r="E244" i="1"/>
  <c r="E220" i="1"/>
  <c r="E36" i="1"/>
  <c r="E40" i="1"/>
  <c r="E65" i="1"/>
  <c r="E69" i="1"/>
  <c r="E94" i="1"/>
  <c r="E98" i="1"/>
  <c r="E109" i="1" s="1"/>
  <c r="E112" i="1" s="1"/>
  <c r="E134" i="1"/>
  <c r="E248" i="1"/>
  <c r="E250" i="1" s="1"/>
  <c r="E267" i="1"/>
  <c r="I32" i="1"/>
  <c r="I34" i="1" s="1"/>
  <c r="E173" i="1"/>
  <c r="E174" i="1"/>
  <c r="E175" i="1" s="1"/>
  <c r="E178" i="1" s="1"/>
  <c r="E180" i="1" s="1"/>
  <c r="E119" i="1"/>
  <c r="E120" i="1"/>
  <c r="E136" i="1" s="1"/>
  <c r="E268" i="1"/>
  <c r="D316" i="1"/>
  <c r="E317" i="1" s="1"/>
  <c r="D312" i="1"/>
  <c r="E313" i="1" s="1"/>
  <c r="E318" i="1" s="1"/>
  <c r="E194" i="1"/>
  <c r="E195" i="1" s="1"/>
  <c r="E196" i="1" s="1"/>
  <c r="E199" i="1" s="1"/>
  <c r="E201" i="1" s="1"/>
  <c r="E249" i="1"/>
  <c r="E290" i="1"/>
  <c r="E291" i="1" s="1"/>
  <c r="E292" i="1" s="1"/>
  <c r="E296" i="1" s="1"/>
  <c r="E299" i="1" s="1"/>
  <c r="D153" i="1"/>
  <c r="E154" i="1" s="1"/>
  <c r="E157" i="1" s="1"/>
  <c r="E337" i="1"/>
  <c r="E338" i="1" s="1"/>
  <c r="E214" i="1"/>
  <c r="E215" i="1" s="1"/>
  <c r="E224" i="1" l="1"/>
  <c r="E80" i="1"/>
  <c r="E83" i="1" s="1"/>
  <c r="E84" i="1" s="1"/>
  <c r="E85" i="1" s="1"/>
  <c r="E51" i="1"/>
  <c r="E54" i="1" s="1"/>
  <c r="E55" i="1" s="1"/>
  <c r="E56" i="1" s="1"/>
  <c r="E158" i="1"/>
  <c r="E159" i="1" s="1"/>
  <c r="E300" i="1"/>
  <c r="E301" i="1"/>
  <c r="E339" i="1"/>
  <c r="E340" i="1" s="1"/>
  <c r="E344" i="1" s="1"/>
  <c r="E113" i="1"/>
  <c r="E114" i="1" s="1"/>
  <c r="E137" i="1"/>
  <c r="E138" i="1" s="1"/>
  <c r="E202" i="1"/>
  <c r="E203" i="1" s="1"/>
  <c r="E225" i="1"/>
  <c r="E226" i="1" s="1"/>
  <c r="E319" i="1"/>
  <c r="E320" i="1" s="1"/>
  <c r="E321" i="1" s="1"/>
  <c r="E324" i="1" s="1"/>
  <c r="E327" i="1" s="1"/>
  <c r="E181" i="1"/>
  <c r="E182" i="1" s="1"/>
  <c r="E269" i="1"/>
  <c r="E270" i="1" s="1"/>
  <c r="E271" i="1" s="1"/>
  <c r="E273" i="1" s="1"/>
  <c r="E274" i="1" l="1"/>
  <c r="E275" i="1"/>
  <c r="E345" i="1"/>
  <c r="E346" i="1" s="1"/>
  <c r="E328" i="1"/>
  <c r="E329" i="1" s="1"/>
</calcChain>
</file>

<file path=xl/sharedStrings.xml><?xml version="1.0" encoding="utf-8"?>
<sst xmlns="http://schemas.openxmlformats.org/spreadsheetml/2006/main" count="630" uniqueCount="180">
  <si>
    <t>BUILD UP RATES AS AT OCTOBER 2020</t>
  </si>
  <si>
    <t>COLLECTED DATA/MARKET SURVEY</t>
  </si>
  <si>
    <t>ITEMS</t>
  </si>
  <si>
    <t>PRICES</t>
  </si>
  <si>
    <t>CEMENT/BAG</t>
  </si>
  <si>
    <t>SHARP SAND/ TRIP            ( 30 TONNES )</t>
  </si>
  <si>
    <t>PLASTER SAND/TRIP         ( 30 TONNES )</t>
  </si>
  <si>
    <t>AGGREGATE/ TRIP             ( 30 TONNES )</t>
  </si>
  <si>
    <t>STONE BASE/ TRIP             ( 30 TONNES )</t>
  </si>
  <si>
    <t>CUBIC CONTENT OF SHARP SAND/ Trip</t>
  </si>
  <si>
    <t>m3</t>
  </si>
  <si>
    <t>CUBIC CONTENT OF PLASTER SAND/ Trip</t>
  </si>
  <si>
    <t>CUBIC CONTENT OF AGGREGATE / Trip</t>
  </si>
  <si>
    <t>CUBIC CONTENT OF STONE BASE / Trip</t>
  </si>
  <si>
    <t>COST PER M3 OF SHARP SAND</t>
  </si>
  <si>
    <t>COST PER M3 OF PLASTER SAND</t>
  </si>
  <si>
    <t>COST PER M3 OF AGGREGATE</t>
  </si>
  <si>
    <t>COST PER M3 OF STONE BASE</t>
  </si>
  <si>
    <t>COST OF HIRING GRADER PER/DAY</t>
  </si>
  <si>
    <t>LOW BED CONVEYANCE OF GRADER</t>
  </si>
  <si>
    <t>COST OF HIRING ROLLER PER/DAY</t>
  </si>
  <si>
    <t>LOW BED CONVEYANCE OF ROLLER</t>
  </si>
  <si>
    <t>COST OF HIRING CONCRETE MIXER/DAY</t>
  </si>
  <si>
    <t>OUTPUT OF GRADER/DAY @ 900M3</t>
  </si>
  <si>
    <t>OUTPUT OF ROLLER/DAY @ 900M3</t>
  </si>
  <si>
    <t>OUTPUT OF MIXER/DAY @ 23M3</t>
  </si>
  <si>
    <t>COST OF HIRING VIBRATOR/DAY</t>
  </si>
  <si>
    <t>CONCRETE MIXER OPERATOR PER DAY</t>
  </si>
  <si>
    <t>TRANSPORT &amp; PLACING OF CONCRETE/M3</t>
  </si>
  <si>
    <t>PROFIT &amp; OVERHEAD</t>
  </si>
  <si>
    <t>CONCRETE WORK Grade 20 (1:3:6 mix)</t>
  </si>
  <si>
    <t>Cement</t>
  </si>
  <si>
    <t>Cement 4.2bag/m3@3450 per bag</t>
  </si>
  <si>
    <t>Add: 2.5% waste</t>
  </si>
  <si>
    <t>Sand</t>
  </si>
  <si>
    <t xml:space="preserve">0.448m3/m3 of concrete </t>
  </si>
  <si>
    <t>Aggregate</t>
  </si>
  <si>
    <t xml:space="preserve">0.896m3/m3 of concrete </t>
  </si>
  <si>
    <t>Plant</t>
  </si>
  <si>
    <t>Concrete Mixer per day</t>
  </si>
  <si>
    <t>Opertor per day</t>
  </si>
  <si>
    <t>Out put per day 23m3</t>
  </si>
  <si>
    <t>Cost per m3</t>
  </si>
  <si>
    <t>Vibrator</t>
  </si>
  <si>
    <t>Hiring per day with it operator</t>
  </si>
  <si>
    <t>Labour</t>
  </si>
  <si>
    <t>Transporting and placing of concrete 5000/m3</t>
  </si>
  <si>
    <t>Basic Rate/m3</t>
  </si>
  <si>
    <t>Add 25% Profit &amp; Overhead</t>
  </si>
  <si>
    <t>UNIT RATE PER M3</t>
  </si>
  <si>
    <t>CONCRETE WORK Grade 25 (1:2:4 mix)</t>
  </si>
  <si>
    <t>Cement 5.5bag/m3@3450 per bag</t>
  </si>
  <si>
    <t xml:space="preserve">0.424m3/m3 of concrete </t>
  </si>
  <si>
    <t xml:space="preserve">0.848m3/m3 of concrete </t>
  </si>
  <si>
    <t>CONCRETE WORK Grade 30 (1:1.5:3 mix)</t>
  </si>
  <si>
    <t>Cement 7.2bag/m3@3450 per bag</t>
  </si>
  <si>
    <t xml:space="preserve">0.40m3/m3 of concrete </t>
  </si>
  <si>
    <t xml:space="preserve">0.80m3/m3 of concrete </t>
  </si>
  <si>
    <t>STONE BASE</t>
  </si>
  <si>
    <t>Stone Base</t>
  </si>
  <si>
    <t>Stone base per m3</t>
  </si>
  <si>
    <t>Add: 25%  Compaction Factor</t>
  </si>
  <si>
    <t>Add Roller</t>
  </si>
  <si>
    <t>Roller per day</t>
  </si>
  <si>
    <t>Low bed Conveyance</t>
  </si>
  <si>
    <t>Out put per day 900m3</t>
  </si>
  <si>
    <t>grader big one</t>
  </si>
  <si>
    <t>low bed 150000</t>
  </si>
  <si>
    <t>roller</t>
  </si>
  <si>
    <t>low bed 120000</t>
  </si>
  <si>
    <t xml:space="preserve">out put per day </t>
  </si>
  <si>
    <t>Add Grader</t>
  </si>
  <si>
    <t>Grader per day</t>
  </si>
  <si>
    <t>REINFORCEMENT</t>
  </si>
  <si>
    <t>Cost of Reinforcement per tonne</t>
  </si>
  <si>
    <t>Binding Wire per 8kg</t>
  </si>
  <si>
    <t>Labour per tonne</t>
  </si>
  <si>
    <t>Waste 5%</t>
  </si>
  <si>
    <t>Qty of Binding wire/ tonne</t>
  </si>
  <si>
    <t>8kg</t>
  </si>
  <si>
    <t>Reinforcement / tonne</t>
  </si>
  <si>
    <t>Binding Wire per tonne</t>
  </si>
  <si>
    <t>Add 2.5% for waste</t>
  </si>
  <si>
    <t>Cutting, bending and laying</t>
  </si>
  <si>
    <t>Basic Rate</t>
  </si>
  <si>
    <t>Add 20% Profit &amp; Overhead</t>
  </si>
  <si>
    <t>Unit Rate Per tonne</t>
  </si>
  <si>
    <t>FORMWORK</t>
  </si>
  <si>
    <t>WROUGHT FORMWORK TO SIDES OF BEAM AND COLUMN</t>
  </si>
  <si>
    <t>MATERIALS</t>
  </si>
  <si>
    <t>1200X2400M MARINE BOARD</t>
  </si>
  <si>
    <t>2.88m2/sheet</t>
  </si>
  <si>
    <t>Cost of marin board per sheet</t>
  </si>
  <si>
    <t>QTY OF 50 x 75 X 3600MM support per m2</t>
  </si>
  <si>
    <t>1.0length</t>
  </si>
  <si>
    <t>COST OF   50 x 75 X 3600MM support</t>
  </si>
  <si>
    <t>QTY OF  50 x 75 X 3600MM prop per m2</t>
  </si>
  <si>
    <t>2.51length</t>
  </si>
  <si>
    <t>COST OF  SIZE 50 x 100 X 3600MM</t>
  </si>
  <si>
    <t>ADD 15% WASTE</t>
  </si>
  <si>
    <t>Cost per Usage</t>
  </si>
  <si>
    <t>Add Nail</t>
  </si>
  <si>
    <t>Add lubricating oil</t>
  </si>
  <si>
    <t>Basic rate</t>
  </si>
  <si>
    <t>Unit Rate Per M2</t>
  </si>
  <si>
    <t>WROUGHT FORMWORK TO SUFFITS OF SLAB</t>
  </si>
  <si>
    <t>QTY OF Runners 50 x 100 X 3600MM/m2</t>
  </si>
  <si>
    <t>1.20length</t>
  </si>
  <si>
    <t>COST OF Runners  50 x 100 X 3600MM</t>
  </si>
  <si>
    <t>QTY OF   Prop/Bamboo 50 x 100 X 3600MM/m2</t>
  </si>
  <si>
    <t>7length</t>
  </si>
  <si>
    <t>COST OF Prop   50 x 100 X 3600MM</t>
  </si>
  <si>
    <t>ADD 10% WASTE</t>
  </si>
  <si>
    <t>230MM BLOCK</t>
  </si>
  <si>
    <t>1:4 mortar mix</t>
  </si>
  <si>
    <t>10 block per m2</t>
  </si>
  <si>
    <t>volume of mortar per block 0.003m3</t>
  </si>
  <si>
    <t xml:space="preserve">Cost Per Block </t>
  </si>
  <si>
    <t>Labour per block</t>
  </si>
  <si>
    <t>BLOCK</t>
  </si>
  <si>
    <t>Cost per m2</t>
  </si>
  <si>
    <t>Add 2.5% waste</t>
  </si>
  <si>
    <t>CEMENT</t>
  </si>
  <si>
    <t>Cement per m2</t>
  </si>
  <si>
    <t>SAND</t>
  </si>
  <si>
    <t>Sand Per m2</t>
  </si>
  <si>
    <t>LAYING</t>
  </si>
  <si>
    <t>Labour per m2</t>
  </si>
  <si>
    <t>Basic rate/m2</t>
  </si>
  <si>
    <t>Add 25% Profit and overhead</t>
  </si>
  <si>
    <t>Unit rate per m2</t>
  </si>
  <si>
    <t>150MM BLOCK</t>
  </si>
  <si>
    <t>volume of mortar per block 0.0025m3</t>
  </si>
  <si>
    <t>Add 5% waste</t>
  </si>
  <si>
    <t>PLASTERING</t>
  </si>
  <si>
    <t>1: 6 mix ratio</t>
  </si>
  <si>
    <t>thickness 12mm</t>
  </si>
  <si>
    <t>Area 100m2</t>
  </si>
  <si>
    <t>400/m2</t>
  </si>
  <si>
    <t>Total m3 to be rendered/platered</t>
  </si>
  <si>
    <t>pecentage of shrinkage/Compaction</t>
  </si>
  <si>
    <t>Volume of morter per 100 m2 of rendering</t>
  </si>
  <si>
    <t>Cement in bag</t>
  </si>
  <si>
    <t>Cost of cement</t>
  </si>
  <si>
    <t>Sand in m3</t>
  </si>
  <si>
    <t>Cost of sand</t>
  </si>
  <si>
    <t>Add 15% Waste</t>
  </si>
  <si>
    <t>Cost per 100 m2</t>
  </si>
  <si>
    <t>Add labour</t>
  </si>
  <si>
    <t>Add 25% profit and overhead</t>
  </si>
  <si>
    <t>BACKING AND LAYING OF WALL TILES</t>
  </si>
  <si>
    <t>1: 3.5 mix ratio</t>
  </si>
  <si>
    <t>thickness 10mm</t>
  </si>
  <si>
    <t>500/m2</t>
  </si>
  <si>
    <t>Add Spacer</t>
  </si>
  <si>
    <t>Add profile</t>
  </si>
  <si>
    <t>TILE GUM</t>
  </si>
  <si>
    <t>1 bag of Tile gum per 7m2 @N2600</t>
  </si>
  <si>
    <t>SCREEDING,BACKING &amp; FLOOR TILE LAYING</t>
  </si>
  <si>
    <t>thickness 38mm</t>
  </si>
  <si>
    <t>Labour per m2 of tiles laying</t>
  </si>
  <si>
    <t>Total m3 to be Screeded</t>
  </si>
  <si>
    <t>Volume of morter per 100 m2 of screeding</t>
  </si>
  <si>
    <t>1 bag of cement per 6m2 backing</t>
  </si>
  <si>
    <t>Add 5% Waste</t>
  </si>
  <si>
    <t>FILLING SAND</t>
  </si>
  <si>
    <t>Hiring of Vibrator with labour per day</t>
  </si>
  <si>
    <t>Output of compactor per day</t>
  </si>
  <si>
    <t>50m3</t>
  </si>
  <si>
    <t>Cost per trip 30 tonne lorry</t>
  </si>
  <si>
    <t>1 tonne of filling sand make 0.65m3</t>
  </si>
  <si>
    <t>cost per m3 of sand</t>
  </si>
  <si>
    <t>Add 15% increase in bulk/compaction</t>
  </si>
  <si>
    <t>Add Comapction cost</t>
  </si>
  <si>
    <t>Add Labour 6500/trip</t>
  </si>
  <si>
    <t>Labour per m3</t>
  </si>
  <si>
    <t>Unit rate per m3</t>
  </si>
  <si>
    <t>AGGREGATE</t>
  </si>
  <si>
    <t>1TONNE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</si>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</sst>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.000_);_(* \(#,##0.000\);_(* &quot;-&quot;???_);_(@_)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Comic Sans MS"/>
      <family val="4"/>
    </font>
    <font>
      <sz val="12"/>
      <name val="Comic Sans MS"/>
      <family val="4"/>
    </font>
    <font>
      <b/>
      <sz val="12"/>
      <name val="Comic Sans MS"/>
      <family val="4"/>
    </font>
    <font>
      <b/>
      <u/>
      <sz val="12"/>
      <color rgb="FF0070C0"/>
      <name val="Comic Sans MS"/>
      <family val="4"/>
    </font>
    <font>
      <sz val="12"/>
      <color rgb="FF002060"/>
      <name val="Comic Sans MS"/>
      <family val="4"/>
    </font>
    <font>
      <b/>
      <sz val="12"/>
      <color rgb="FF002060"/>
      <name val="Comic Sans MS"/>
      <family val="4"/>
    </font>
    <font>
      <b/>
      <sz val="12"/>
      <color rgb="FFC00000"/>
      <name val="Comic Sans MS"/>
      <family val="4"/>
    </font>
    <font>
      <sz val="12"/>
      <color theme="1"/>
      <name val="Comic Sans MS"/>
      <family val="4"/>
    </font>
    <font>
      <sz val="12"/>
      <color rgb="FF0070C0"/>
      <name val="Comic Sans MS"/>
      <family val="4"/>
    </font>
    <font>
      <sz val="12"/>
      <color rgb="FFC00000"/>
      <name val="Comic Sans MS"/>
      <family val="4"/>
    </font>
    <font>
      <b/>
      <u/>
      <sz val="12"/>
      <color theme="1"/>
      <name val="Comic Sans MS"/>
      <family val="4"/>
    </font>
    <font>
      <b/>
      <sz val="12"/>
      <color theme="1"/>
      <name val="Comic Sans MS"/>
      <family val="4"/>
    </font>
    <font>
      <u/>
      <sz val="12"/>
      <name val="Comic Sans MS"/>
      <family val="4"/>
    </font>
    <font>
      <b/>
      <sz val="12"/>
      <color rgb="FF0070C0"/>
      <name val="Comic Sans MS"/>
      <family val="4"/>
    </font>
    <font>
      <b/>
      <sz val="12"/>
      <color rgb="FFFF0000"/>
      <name val="Comic Sans MS"/>
      <family val="4"/>
    </font>
    <font>
      <b/>
      <sz val="11"/>
      <color theme="1"/>
      <name val="Comic Sans MS"/>
      <family val="4"/>
    </font>
    <font>
      <sz val="10"/>
      <name val="Comic Sans MS"/>
      <family val="4"/>
    </font>
    <font>
      <b/>
      <u/>
      <sz val="10"/>
      <name val="Comic Sans MS"/>
      <family val="4"/>
    </font>
    <font>
      <sz val="11"/>
      <color theme="1"/>
      <name val="Comic Sans MS"/>
      <family val="4"/>
    </font>
    <font>
      <b/>
      <sz val="11"/>
      <color rgb="FFFF0000"/>
      <name val="Comic Sans MS"/>
      <family val="4"/>
    </font>
    <font>
      <sz val="10"/>
      <color rgb="FFFF0000"/>
      <name val="Comic Sans MS"/>
      <family val="4"/>
    </font>
    <font>
      <b/>
      <sz val="10"/>
      <color rgb="FFFF0000"/>
      <name val="Comic Sans MS"/>
      <family val="4"/>
    </font>
    <font>
      <sz val="10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4" fillId="0" borderId="0" xfId="1" applyFont="1" applyFill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center"/>
    </xf>
    <xf numFmtId="164" fontId="7" fillId="0" borderId="0" xfId="1" applyFont="1" applyAlignment="1">
      <alignment horizontal="center" shrinkToFit="1"/>
    </xf>
    <xf numFmtId="164" fontId="7" fillId="0" borderId="0" xfId="0" applyNumberFormat="1" applyFont="1" applyAlignment="1">
      <alignment horizontal="center"/>
    </xf>
    <xf numFmtId="164" fontId="7" fillId="0" borderId="0" xfId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7" fillId="0" borderId="0" xfId="1" applyFont="1" applyBorder="1" applyAlignment="1">
      <alignment horizontal="center"/>
    </xf>
    <xf numFmtId="164" fontId="8" fillId="0" borderId="2" xfId="1" applyFont="1" applyBorder="1" applyAlignment="1">
      <alignment horizontal="center"/>
    </xf>
    <xf numFmtId="164" fontId="4" fillId="0" borderId="0" xfId="1" applyFont="1" applyBorder="1" applyAlignment="1">
      <alignment horizontal="center"/>
    </xf>
    <xf numFmtId="164" fontId="8" fillId="0" borderId="0" xfId="1" applyFont="1" applyBorder="1" applyAlignment="1">
      <alignment horizontal="center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164" fontId="9" fillId="0" borderId="3" xfId="0" applyNumberFormat="1" applyFont="1" applyBorder="1" applyAlignment="1">
      <alignment horizontal="center"/>
    </xf>
    <xf numFmtId="164" fontId="4" fillId="0" borderId="0" xfId="1" applyFont="1"/>
    <xf numFmtId="164" fontId="9" fillId="0" borderId="0" xfId="0" applyNumberFormat="1" applyFont="1" applyAlignment="1">
      <alignment horizontal="center"/>
    </xf>
    <xf numFmtId="0" fontId="10" fillId="0" borderId="0" xfId="3" applyFont="1" applyFill="1" applyBorder="1"/>
    <xf numFmtId="164" fontId="10" fillId="0" borderId="0" xfId="3" applyNumberFormat="1" applyFont="1" applyFill="1" applyBorder="1"/>
    <xf numFmtId="164" fontId="10" fillId="0" borderId="0" xfId="1" applyFont="1" applyFill="1" applyBorder="1"/>
    <xf numFmtId="0" fontId="10" fillId="0" borderId="0" xfId="3" applyFont="1" applyFill="1"/>
    <xf numFmtId="165" fontId="10" fillId="0" borderId="0" xfId="3" applyNumberFormat="1" applyFont="1" applyFill="1" applyBorder="1"/>
    <xf numFmtId="164" fontId="10" fillId="0" borderId="2" xfId="1" applyFont="1" applyFill="1" applyBorder="1"/>
    <xf numFmtId="165" fontId="11" fillId="0" borderId="0" xfId="3" applyNumberFormat="1" applyFont="1" applyFill="1" applyBorder="1"/>
    <xf numFmtId="0" fontId="10" fillId="0" borderId="0" xfId="3" applyFont="1" applyFill="1" applyBorder="1" applyAlignment="1">
      <alignment horizontal="right"/>
    </xf>
    <xf numFmtId="165" fontId="10" fillId="0" borderId="2" xfId="3" applyNumberFormat="1" applyFont="1" applyFill="1" applyBorder="1"/>
    <xf numFmtId="0" fontId="4" fillId="0" borderId="0" xfId="0" applyFont="1" applyAlignment="1">
      <alignment horizontal="right"/>
    </xf>
    <xf numFmtId="9" fontId="10" fillId="0" borderId="0" xfId="3" applyNumberFormat="1" applyFont="1" applyFill="1"/>
    <xf numFmtId="164" fontId="10" fillId="0" borderId="0" xfId="3" applyNumberFormat="1" applyFont="1" applyFill="1"/>
    <xf numFmtId="0" fontId="9" fillId="0" borderId="0" xfId="3" applyFont="1" applyFill="1" applyBorder="1" applyAlignment="1">
      <alignment horizontal="right"/>
    </xf>
    <xf numFmtId="0" fontId="12" fillId="0" borderId="0" xfId="3" applyFont="1" applyFill="1"/>
    <xf numFmtId="165" fontId="9" fillId="0" borderId="3" xfId="3" applyNumberFormat="1" applyFont="1" applyFill="1" applyBorder="1"/>
    <xf numFmtId="165" fontId="10" fillId="0" borderId="4" xfId="3" applyNumberFormat="1" applyFont="1" applyFill="1" applyBorder="1"/>
    <xf numFmtId="0" fontId="10" fillId="0" borderId="0" xfId="3" applyFont="1" applyFill="1" applyAlignment="1">
      <alignment horizontal="right"/>
    </xf>
    <xf numFmtId="9" fontId="10" fillId="0" borderId="0" xfId="3" applyNumberFormat="1" applyFont="1" applyFill="1" applyBorder="1"/>
    <xf numFmtId="10" fontId="4" fillId="0" borderId="0" xfId="1" applyNumberFormat="1" applyFont="1" applyFill="1" applyAlignment="1">
      <alignment horizontal="right"/>
    </xf>
    <xf numFmtId="9" fontId="4" fillId="0" borderId="0" xfId="1" applyNumberFormat="1" applyFont="1" applyFill="1" applyAlignment="1">
      <alignment horizontal="right"/>
    </xf>
    <xf numFmtId="164" fontId="10" fillId="0" borderId="1" xfId="3" applyNumberFormat="1" applyFont="1" applyFill="1" applyBorder="1"/>
    <xf numFmtId="0" fontId="10" fillId="0" borderId="2" xfId="3" applyFont="1" applyFill="1" applyBorder="1"/>
    <xf numFmtId="165" fontId="11" fillId="0" borderId="2" xfId="3" applyNumberFormat="1" applyFont="1" applyFill="1" applyBorder="1"/>
    <xf numFmtId="0" fontId="13" fillId="0" borderId="0" xfId="3" applyFont="1" applyFill="1" applyBorder="1"/>
    <xf numFmtId="164" fontId="11" fillId="0" borderId="0" xfId="3" applyNumberFormat="1" applyFont="1" applyFill="1"/>
    <xf numFmtId="0" fontId="14" fillId="0" borderId="0" xfId="3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15" fillId="0" borderId="0" xfId="0" applyFont="1"/>
    <xf numFmtId="164" fontId="4" fillId="0" borderId="2" xfId="1" applyFont="1" applyBorder="1" applyAlignment="1">
      <alignment horizontal="center"/>
    </xf>
    <xf numFmtId="164" fontId="16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0" xfId="1" applyFont="1" applyAlignment="1">
      <alignment horizontal="right"/>
    </xf>
    <xf numFmtId="0" fontId="17" fillId="0" borderId="0" xfId="0" applyFont="1" applyAlignment="1">
      <alignment horizontal="right"/>
    </xf>
    <xf numFmtId="164" fontId="17" fillId="0" borderId="3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18" fillId="0" borderId="0" xfId="0" applyFont="1"/>
    <xf numFmtId="164" fontId="17" fillId="0" borderId="0" xfId="0" applyNumberFormat="1" applyFont="1" applyAlignment="1">
      <alignment horizontal="center"/>
    </xf>
    <xf numFmtId="0" fontId="19" fillId="0" borderId="0" xfId="0" applyFont="1"/>
    <xf numFmtId="0" fontId="20" fillId="0" borderId="0" xfId="0" applyFont="1"/>
    <xf numFmtId="164" fontId="19" fillId="0" borderId="0" xfId="1" applyFont="1"/>
    <xf numFmtId="164" fontId="19" fillId="0" borderId="2" xfId="1" applyFont="1" applyBorder="1"/>
    <xf numFmtId="164" fontId="19" fillId="0" borderId="0" xfId="1" applyFont="1" applyBorder="1"/>
    <xf numFmtId="0" fontId="19" fillId="0" borderId="0" xfId="0" applyFont="1" applyAlignment="1">
      <alignment horizontal="right"/>
    </xf>
    <xf numFmtId="164" fontId="21" fillId="0" borderId="0" xfId="1" applyFont="1" applyBorder="1"/>
    <xf numFmtId="0" fontId="22" fillId="0" borderId="0" xfId="0" applyFont="1" applyAlignment="1">
      <alignment horizontal="right"/>
    </xf>
    <xf numFmtId="0" fontId="23" fillId="0" borderId="0" xfId="0" applyFont="1"/>
    <xf numFmtId="164" fontId="24" fillId="0" borderId="3" xfId="0" applyNumberFormat="1" applyFont="1" applyBorder="1"/>
    <xf numFmtId="164" fontId="19" fillId="0" borderId="0" xfId="1" applyFont="1" applyAlignment="1">
      <alignment horizontal="center"/>
    </xf>
    <xf numFmtId="9" fontId="19" fillId="0" borderId="0" xfId="2" applyFont="1" applyAlignment="1">
      <alignment horizontal="right"/>
    </xf>
    <xf numFmtId="43" fontId="19" fillId="0" borderId="0" xfId="0" applyNumberFormat="1" applyFont="1"/>
    <xf numFmtId="2" fontId="19" fillId="0" borderId="0" xfId="0" applyNumberFormat="1" applyFont="1"/>
    <xf numFmtId="164" fontId="25" fillId="0" borderId="0" xfId="1" applyFont="1" applyBorder="1"/>
    <xf numFmtId="0" fontId="24" fillId="0" borderId="0" xfId="0" applyFont="1"/>
    <xf numFmtId="0" fontId="17" fillId="0" borderId="0" xfId="0" applyFont="1" applyAlignment="1">
      <alignment horizontal="center"/>
    </xf>
    <xf numFmtId="4" fontId="17" fillId="0" borderId="3" xfId="0" applyNumberFormat="1" applyFont="1" applyBorder="1" applyAlignment="1">
      <alignment horizontal="right"/>
    </xf>
    <xf numFmtId="0" fontId="21" fillId="0" borderId="0" xfId="0" applyFont="1"/>
    <xf numFmtId="43" fontId="19" fillId="0" borderId="2" xfId="0" applyNumberFormat="1" applyFont="1" applyBorder="1"/>
    <xf numFmtId="43" fontId="24" fillId="0" borderId="3" xfId="0" applyNumberFormat="1" applyFont="1" applyBorder="1"/>
    <xf numFmtId="43" fontId="18" fillId="0" borderId="0" xfId="0" applyNumberFormat="1" applyFont="1"/>
    <xf numFmtId="2" fontId="4" fillId="0" borderId="0" xfId="0" applyNumberFormat="1" applyFont="1"/>
  </cellXfs>
  <cellStyles count="4">
    <cellStyle name="20% - Accent6" xfId="3" builtinId="50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3"/>
  <sheetViews>
    <sheetView tabSelected="1" view="pageBreakPreview" topLeftCell="A334" zoomScaleNormal="100" zoomScaleSheetLayoutView="100" workbookViewId="0">
      <selection activeCell="E343" sqref="E343"/>
    </sheetView>
  </sheetViews>
  <sheetFormatPr defaultRowHeight="19.5" x14ac:dyDescent="0.4"/>
  <cols>
    <col min="1" max="1" width="3.7109375" style="2" customWidth="1"/>
    <col min="2" max="2" width="50.42578125" style="2" customWidth="1"/>
    <col min="3" max="3" width="16" style="2" bestFit="1" customWidth="1"/>
    <col min="4" max="4" width="17.140625" style="2" bestFit="1" customWidth="1"/>
    <col min="5" max="5" width="18.140625" style="2" bestFit="1" customWidth="1"/>
    <col min="6" max="6" width="14.28515625" style="2" bestFit="1" customWidth="1"/>
    <col min="7" max="7" width="11.85546875" style="2" bestFit="1" customWidth="1"/>
    <col min="8" max="256" width="8.85546875" style="2"/>
    <col min="257" max="257" width="3.7109375" style="2" customWidth="1"/>
    <col min="258" max="258" width="50.42578125" style="2" customWidth="1"/>
    <col min="259" max="259" width="16" style="2" bestFit="1" customWidth="1"/>
    <col min="260" max="260" width="17.140625" style="2" bestFit="1" customWidth="1"/>
    <col min="261" max="261" width="18.140625" style="2" bestFit="1" customWidth="1"/>
    <col min="262" max="262" width="14.28515625" style="2" bestFit="1" customWidth="1"/>
    <col min="263" max="512" width="8.85546875" style="2"/>
    <col min="513" max="513" width="3.7109375" style="2" customWidth="1"/>
    <col min="514" max="514" width="50.42578125" style="2" customWidth="1"/>
    <col min="515" max="515" width="16" style="2" bestFit="1" customWidth="1"/>
    <col min="516" max="516" width="17.140625" style="2" bestFit="1" customWidth="1"/>
    <col min="517" max="517" width="18.140625" style="2" bestFit="1" customWidth="1"/>
    <col min="518" max="518" width="14.28515625" style="2" bestFit="1" customWidth="1"/>
    <col min="519" max="768" width="8.85546875" style="2"/>
    <col min="769" max="769" width="3.7109375" style="2" customWidth="1"/>
    <col min="770" max="770" width="50.42578125" style="2" customWidth="1"/>
    <col min="771" max="771" width="16" style="2" bestFit="1" customWidth="1"/>
    <col min="772" max="772" width="17.140625" style="2" bestFit="1" customWidth="1"/>
    <col min="773" max="773" width="18.140625" style="2" bestFit="1" customWidth="1"/>
    <col min="774" max="774" width="14.28515625" style="2" bestFit="1" customWidth="1"/>
    <col min="775" max="1024" width="8.85546875" style="2"/>
    <col min="1025" max="1025" width="3.7109375" style="2" customWidth="1"/>
    <col min="1026" max="1026" width="50.42578125" style="2" customWidth="1"/>
    <col min="1027" max="1027" width="16" style="2" bestFit="1" customWidth="1"/>
    <col min="1028" max="1028" width="17.140625" style="2" bestFit="1" customWidth="1"/>
    <col min="1029" max="1029" width="18.140625" style="2" bestFit="1" customWidth="1"/>
    <col min="1030" max="1030" width="14.28515625" style="2" bestFit="1" customWidth="1"/>
    <col min="1031" max="1280" width="8.85546875" style="2"/>
    <col min="1281" max="1281" width="3.7109375" style="2" customWidth="1"/>
    <col min="1282" max="1282" width="50.42578125" style="2" customWidth="1"/>
    <col min="1283" max="1283" width="16" style="2" bestFit="1" customWidth="1"/>
    <col min="1284" max="1284" width="17.140625" style="2" bestFit="1" customWidth="1"/>
    <col min="1285" max="1285" width="18.140625" style="2" bestFit="1" customWidth="1"/>
    <col min="1286" max="1286" width="14.28515625" style="2" bestFit="1" customWidth="1"/>
    <col min="1287" max="1536" width="8.85546875" style="2"/>
    <col min="1537" max="1537" width="3.7109375" style="2" customWidth="1"/>
    <col min="1538" max="1538" width="50.42578125" style="2" customWidth="1"/>
    <col min="1539" max="1539" width="16" style="2" bestFit="1" customWidth="1"/>
    <col min="1540" max="1540" width="17.140625" style="2" bestFit="1" customWidth="1"/>
    <col min="1541" max="1541" width="18.140625" style="2" bestFit="1" customWidth="1"/>
    <col min="1542" max="1542" width="14.28515625" style="2" bestFit="1" customWidth="1"/>
    <col min="1543" max="1792" width="8.85546875" style="2"/>
    <col min="1793" max="1793" width="3.7109375" style="2" customWidth="1"/>
    <col min="1794" max="1794" width="50.42578125" style="2" customWidth="1"/>
    <col min="1795" max="1795" width="16" style="2" bestFit="1" customWidth="1"/>
    <col min="1796" max="1796" width="17.140625" style="2" bestFit="1" customWidth="1"/>
    <col min="1797" max="1797" width="18.140625" style="2" bestFit="1" customWidth="1"/>
    <col min="1798" max="1798" width="14.28515625" style="2" bestFit="1" customWidth="1"/>
    <col min="1799" max="2048" width="8.85546875" style="2"/>
    <col min="2049" max="2049" width="3.7109375" style="2" customWidth="1"/>
    <col min="2050" max="2050" width="50.42578125" style="2" customWidth="1"/>
    <col min="2051" max="2051" width="16" style="2" bestFit="1" customWidth="1"/>
    <col min="2052" max="2052" width="17.140625" style="2" bestFit="1" customWidth="1"/>
    <col min="2053" max="2053" width="18.140625" style="2" bestFit="1" customWidth="1"/>
    <col min="2054" max="2054" width="14.28515625" style="2" bestFit="1" customWidth="1"/>
    <col min="2055" max="2304" width="8.85546875" style="2"/>
    <col min="2305" max="2305" width="3.7109375" style="2" customWidth="1"/>
    <col min="2306" max="2306" width="50.42578125" style="2" customWidth="1"/>
    <col min="2307" max="2307" width="16" style="2" bestFit="1" customWidth="1"/>
    <col min="2308" max="2308" width="17.140625" style="2" bestFit="1" customWidth="1"/>
    <col min="2309" max="2309" width="18.140625" style="2" bestFit="1" customWidth="1"/>
    <col min="2310" max="2310" width="14.28515625" style="2" bestFit="1" customWidth="1"/>
    <col min="2311" max="2560" width="8.85546875" style="2"/>
    <col min="2561" max="2561" width="3.7109375" style="2" customWidth="1"/>
    <col min="2562" max="2562" width="50.42578125" style="2" customWidth="1"/>
    <col min="2563" max="2563" width="16" style="2" bestFit="1" customWidth="1"/>
    <col min="2564" max="2564" width="17.140625" style="2" bestFit="1" customWidth="1"/>
    <col min="2565" max="2565" width="18.140625" style="2" bestFit="1" customWidth="1"/>
    <col min="2566" max="2566" width="14.28515625" style="2" bestFit="1" customWidth="1"/>
    <col min="2567" max="2816" width="8.85546875" style="2"/>
    <col min="2817" max="2817" width="3.7109375" style="2" customWidth="1"/>
    <col min="2818" max="2818" width="50.42578125" style="2" customWidth="1"/>
    <col min="2819" max="2819" width="16" style="2" bestFit="1" customWidth="1"/>
    <col min="2820" max="2820" width="17.140625" style="2" bestFit="1" customWidth="1"/>
    <col min="2821" max="2821" width="18.140625" style="2" bestFit="1" customWidth="1"/>
    <col min="2822" max="2822" width="14.28515625" style="2" bestFit="1" customWidth="1"/>
    <col min="2823" max="3072" width="8.85546875" style="2"/>
    <col min="3073" max="3073" width="3.7109375" style="2" customWidth="1"/>
    <col min="3074" max="3074" width="50.42578125" style="2" customWidth="1"/>
    <col min="3075" max="3075" width="16" style="2" bestFit="1" customWidth="1"/>
    <col min="3076" max="3076" width="17.140625" style="2" bestFit="1" customWidth="1"/>
    <col min="3077" max="3077" width="18.140625" style="2" bestFit="1" customWidth="1"/>
    <col min="3078" max="3078" width="14.28515625" style="2" bestFit="1" customWidth="1"/>
    <col min="3079" max="3328" width="8.85546875" style="2"/>
    <col min="3329" max="3329" width="3.7109375" style="2" customWidth="1"/>
    <col min="3330" max="3330" width="50.42578125" style="2" customWidth="1"/>
    <col min="3331" max="3331" width="16" style="2" bestFit="1" customWidth="1"/>
    <col min="3332" max="3332" width="17.140625" style="2" bestFit="1" customWidth="1"/>
    <col min="3333" max="3333" width="18.140625" style="2" bestFit="1" customWidth="1"/>
    <col min="3334" max="3334" width="14.28515625" style="2" bestFit="1" customWidth="1"/>
    <col min="3335" max="3584" width="8.85546875" style="2"/>
    <col min="3585" max="3585" width="3.7109375" style="2" customWidth="1"/>
    <col min="3586" max="3586" width="50.42578125" style="2" customWidth="1"/>
    <col min="3587" max="3587" width="16" style="2" bestFit="1" customWidth="1"/>
    <col min="3588" max="3588" width="17.140625" style="2" bestFit="1" customWidth="1"/>
    <col min="3589" max="3589" width="18.140625" style="2" bestFit="1" customWidth="1"/>
    <col min="3590" max="3590" width="14.28515625" style="2" bestFit="1" customWidth="1"/>
    <col min="3591" max="3840" width="8.85546875" style="2"/>
    <col min="3841" max="3841" width="3.7109375" style="2" customWidth="1"/>
    <col min="3842" max="3842" width="50.42578125" style="2" customWidth="1"/>
    <col min="3843" max="3843" width="16" style="2" bestFit="1" customWidth="1"/>
    <col min="3844" max="3844" width="17.140625" style="2" bestFit="1" customWidth="1"/>
    <col min="3845" max="3845" width="18.140625" style="2" bestFit="1" customWidth="1"/>
    <col min="3846" max="3846" width="14.28515625" style="2" bestFit="1" customWidth="1"/>
    <col min="3847" max="4096" width="8.85546875" style="2"/>
    <col min="4097" max="4097" width="3.7109375" style="2" customWidth="1"/>
    <col min="4098" max="4098" width="50.42578125" style="2" customWidth="1"/>
    <col min="4099" max="4099" width="16" style="2" bestFit="1" customWidth="1"/>
    <col min="4100" max="4100" width="17.140625" style="2" bestFit="1" customWidth="1"/>
    <col min="4101" max="4101" width="18.140625" style="2" bestFit="1" customWidth="1"/>
    <col min="4102" max="4102" width="14.28515625" style="2" bestFit="1" customWidth="1"/>
    <col min="4103" max="4352" width="8.85546875" style="2"/>
    <col min="4353" max="4353" width="3.7109375" style="2" customWidth="1"/>
    <col min="4354" max="4354" width="50.42578125" style="2" customWidth="1"/>
    <col min="4355" max="4355" width="16" style="2" bestFit="1" customWidth="1"/>
    <col min="4356" max="4356" width="17.140625" style="2" bestFit="1" customWidth="1"/>
    <col min="4357" max="4357" width="18.140625" style="2" bestFit="1" customWidth="1"/>
    <col min="4358" max="4358" width="14.28515625" style="2" bestFit="1" customWidth="1"/>
    <col min="4359" max="4608" width="8.85546875" style="2"/>
    <col min="4609" max="4609" width="3.7109375" style="2" customWidth="1"/>
    <col min="4610" max="4610" width="50.42578125" style="2" customWidth="1"/>
    <col min="4611" max="4611" width="16" style="2" bestFit="1" customWidth="1"/>
    <col min="4612" max="4612" width="17.140625" style="2" bestFit="1" customWidth="1"/>
    <col min="4613" max="4613" width="18.140625" style="2" bestFit="1" customWidth="1"/>
    <col min="4614" max="4614" width="14.28515625" style="2" bestFit="1" customWidth="1"/>
    <col min="4615" max="4864" width="8.85546875" style="2"/>
    <col min="4865" max="4865" width="3.7109375" style="2" customWidth="1"/>
    <col min="4866" max="4866" width="50.42578125" style="2" customWidth="1"/>
    <col min="4867" max="4867" width="16" style="2" bestFit="1" customWidth="1"/>
    <col min="4868" max="4868" width="17.140625" style="2" bestFit="1" customWidth="1"/>
    <col min="4869" max="4869" width="18.140625" style="2" bestFit="1" customWidth="1"/>
    <col min="4870" max="4870" width="14.28515625" style="2" bestFit="1" customWidth="1"/>
    <col min="4871" max="5120" width="8.85546875" style="2"/>
    <col min="5121" max="5121" width="3.7109375" style="2" customWidth="1"/>
    <col min="5122" max="5122" width="50.42578125" style="2" customWidth="1"/>
    <col min="5123" max="5123" width="16" style="2" bestFit="1" customWidth="1"/>
    <col min="5124" max="5124" width="17.140625" style="2" bestFit="1" customWidth="1"/>
    <col min="5125" max="5125" width="18.140625" style="2" bestFit="1" customWidth="1"/>
    <col min="5126" max="5126" width="14.28515625" style="2" bestFit="1" customWidth="1"/>
    <col min="5127" max="5376" width="8.85546875" style="2"/>
    <col min="5377" max="5377" width="3.7109375" style="2" customWidth="1"/>
    <col min="5378" max="5378" width="50.42578125" style="2" customWidth="1"/>
    <col min="5379" max="5379" width="16" style="2" bestFit="1" customWidth="1"/>
    <col min="5380" max="5380" width="17.140625" style="2" bestFit="1" customWidth="1"/>
    <col min="5381" max="5381" width="18.140625" style="2" bestFit="1" customWidth="1"/>
    <col min="5382" max="5382" width="14.28515625" style="2" bestFit="1" customWidth="1"/>
    <col min="5383" max="5632" width="8.85546875" style="2"/>
    <col min="5633" max="5633" width="3.7109375" style="2" customWidth="1"/>
    <col min="5634" max="5634" width="50.42578125" style="2" customWidth="1"/>
    <col min="5635" max="5635" width="16" style="2" bestFit="1" customWidth="1"/>
    <col min="5636" max="5636" width="17.140625" style="2" bestFit="1" customWidth="1"/>
    <col min="5637" max="5637" width="18.140625" style="2" bestFit="1" customWidth="1"/>
    <col min="5638" max="5638" width="14.28515625" style="2" bestFit="1" customWidth="1"/>
    <col min="5639" max="5888" width="8.85546875" style="2"/>
    <col min="5889" max="5889" width="3.7109375" style="2" customWidth="1"/>
    <col min="5890" max="5890" width="50.42578125" style="2" customWidth="1"/>
    <col min="5891" max="5891" width="16" style="2" bestFit="1" customWidth="1"/>
    <col min="5892" max="5892" width="17.140625" style="2" bestFit="1" customWidth="1"/>
    <col min="5893" max="5893" width="18.140625" style="2" bestFit="1" customWidth="1"/>
    <col min="5894" max="5894" width="14.28515625" style="2" bestFit="1" customWidth="1"/>
    <col min="5895" max="6144" width="8.85546875" style="2"/>
    <col min="6145" max="6145" width="3.7109375" style="2" customWidth="1"/>
    <col min="6146" max="6146" width="50.42578125" style="2" customWidth="1"/>
    <col min="6147" max="6147" width="16" style="2" bestFit="1" customWidth="1"/>
    <col min="6148" max="6148" width="17.140625" style="2" bestFit="1" customWidth="1"/>
    <col min="6149" max="6149" width="18.140625" style="2" bestFit="1" customWidth="1"/>
    <col min="6150" max="6150" width="14.28515625" style="2" bestFit="1" customWidth="1"/>
    <col min="6151" max="6400" width="8.85546875" style="2"/>
    <col min="6401" max="6401" width="3.7109375" style="2" customWidth="1"/>
    <col min="6402" max="6402" width="50.42578125" style="2" customWidth="1"/>
    <col min="6403" max="6403" width="16" style="2" bestFit="1" customWidth="1"/>
    <col min="6404" max="6404" width="17.140625" style="2" bestFit="1" customWidth="1"/>
    <col min="6405" max="6405" width="18.140625" style="2" bestFit="1" customWidth="1"/>
    <col min="6406" max="6406" width="14.28515625" style="2" bestFit="1" customWidth="1"/>
    <col min="6407" max="6656" width="8.85546875" style="2"/>
    <col min="6657" max="6657" width="3.7109375" style="2" customWidth="1"/>
    <col min="6658" max="6658" width="50.42578125" style="2" customWidth="1"/>
    <col min="6659" max="6659" width="16" style="2" bestFit="1" customWidth="1"/>
    <col min="6660" max="6660" width="17.140625" style="2" bestFit="1" customWidth="1"/>
    <col min="6661" max="6661" width="18.140625" style="2" bestFit="1" customWidth="1"/>
    <col min="6662" max="6662" width="14.28515625" style="2" bestFit="1" customWidth="1"/>
    <col min="6663" max="6912" width="8.85546875" style="2"/>
    <col min="6913" max="6913" width="3.7109375" style="2" customWidth="1"/>
    <col min="6914" max="6914" width="50.42578125" style="2" customWidth="1"/>
    <col min="6915" max="6915" width="16" style="2" bestFit="1" customWidth="1"/>
    <col min="6916" max="6916" width="17.140625" style="2" bestFit="1" customWidth="1"/>
    <col min="6917" max="6917" width="18.140625" style="2" bestFit="1" customWidth="1"/>
    <col min="6918" max="6918" width="14.28515625" style="2" bestFit="1" customWidth="1"/>
    <col min="6919" max="7168" width="8.85546875" style="2"/>
    <col min="7169" max="7169" width="3.7109375" style="2" customWidth="1"/>
    <col min="7170" max="7170" width="50.42578125" style="2" customWidth="1"/>
    <col min="7171" max="7171" width="16" style="2" bestFit="1" customWidth="1"/>
    <col min="7172" max="7172" width="17.140625" style="2" bestFit="1" customWidth="1"/>
    <col min="7173" max="7173" width="18.140625" style="2" bestFit="1" customWidth="1"/>
    <col min="7174" max="7174" width="14.28515625" style="2" bestFit="1" customWidth="1"/>
    <col min="7175" max="7424" width="8.85546875" style="2"/>
    <col min="7425" max="7425" width="3.7109375" style="2" customWidth="1"/>
    <col min="7426" max="7426" width="50.42578125" style="2" customWidth="1"/>
    <col min="7427" max="7427" width="16" style="2" bestFit="1" customWidth="1"/>
    <col min="7428" max="7428" width="17.140625" style="2" bestFit="1" customWidth="1"/>
    <col min="7429" max="7429" width="18.140625" style="2" bestFit="1" customWidth="1"/>
    <col min="7430" max="7430" width="14.28515625" style="2" bestFit="1" customWidth="1"/>
    <col min="7431" max="7680" width="8.85546875" style="2"/>
    <col min="7681" max="7681" width="3.7109375" style="2" customWidth="1"/>
    <col min="7682" max="7682" width="50.42578125" style="2" customWidth="1"/>
    <col min="7683" max="7683" width="16" style="2" bestFit="1" customWidth="1"/>
    <col min="7684" max="7684" width="17.140625" style="2" bestFit="1" customWidth="1"/>
    <col min="7685" max="7685" width="18.140625" style="2" bestFit="1" customWidth="1"/>
    <col min="7686" max="7686" width="14.28515625" style="2" bestFit="1" customWidth="1"/>
    <col min="7687" max="7936" width="8.85546875" style="2"/>
    <col min="7937" max="7937" width="3.7109375" style="2" customWidth="1"/>
    <col min="7938" max="7938" width="50.42578125" style="2" customWidth="1"/>
    <col min="7939" max="7939" width="16" style="2" bestFit="1" customWidth="1"/>
    <col min="7940" max="7940" width="17.140625" style="2" bestFit="1" customWidth="1"/>
    <col min="7941" max="7941" width="18.140625" style="2" bestFit="1" customWidth="1"/>
    <col min="7942" max="7942" width="14.28515625" style="2" bestFit="1" customWidth="1"/>
    <col min="7943" max="8192" width="8.85546875" style="2"/>
    <col min="8193" max="8193" width="3.7109375" style="2" customWidth="1"/>
    <col min="8194" max="8194" width="50.42578125" style="2" customWidth="1"/>
    <col min="8195" max="8195" width="16" style="2" bestFit="1" customWidth="1"/>
    <col min="8196" max="8196" width="17.140625" style="2" bestFit="1" customWidth="1"/>
    <col min="8197" max="8197" width="18.140625" style="2" bestFit="1" customWidth="1"/>
    <col min="8198" max="8198" width="14.28515625" style="2" bestFit="1" customWidth="1"/>
    <col min="8199" max="8448" width="8.85546875" style="2"/>
    <col min="8449" max="8449" width="3.7109375" style="2" customWidth="1"/>
    <col min="8450" max="8450" width="50.42578125" style="2" customWidth="1"/>
    <col min="8451" max="8451" width="16" style="2" bestFit="1" customWidth="1"/>
    <col min="8452" max="8452" width="17.140625" style="2" bestFit="1" customWidth="1"/>
    <col min="8453" max="8453" width="18.140625" style="2" bestFit="1" customWidth="1"/>
    <col min="8454" max="8454" width="14.28515625" style="2" bestFit="1" customWidth="1"/>
    <col min="8455" max="8704" width="8.85546875" style="2"/>
    <col min="8705" max="8705" width="3.7109375" style="2" customWidth="1"/>
    <col min="8706" max="8706" width="50.42578125" style="2" customWidth="1"/>
    <col min="8707" max="8707" width="16" style="2" bestFit="1" customWidth="1"/>
    <col min="8708" max="8708" width="17.140625" style="2" bestFit="1" customWidth="1"/>
    <col min="8709" max="8709" width="18.140625" style="2" bestFit="1" customWidth="1"/>
    <col min="8710" max="8710" width="14.28515625" style="2" bestFit="1" customWidth="1"/>
    <col min="8711" max="8960" width="8.85546875" style="2"/>
    <col min="8961" max="8961" width="3.7109375" style="2" customWidth="1"/>
    <col min="8962" max="8962" width="50.42578125" style="2" customWidth="1"/>
    <col min="8963" max="8963" width="16" style="2" bestFit="1" customWidth="1"/>
    <col min="8964" max="8964" width="17.140625" style="2" bestFit="1" customWidth="1"/>
    <col min="8965" max="8965" width="18.140625" style="2" bestFit="1" customWidth="1"/>
    <col min="8966" max="8966" width="14.28515625" style="2" bestFit="1" customWidth="1"/>
    <col min="8967" max="9216" width="8.85546875" style="2"/>
    <col min="9217" max="9217" width="3.7109375" style="2" customWidth="1"/>
    <col min="9218" max="9218" width="50.42578125" style="2" customWidth="1"/>
    <col min="9219" max="9219" width="16" style="2" bestFit="1" customWidth="1"/>
    <col min="9220" max="9220" width="17.140625" style="2" bestFit="1" customWidth="1"/>
    <col min="9221" max="9221" width="18.140625" style="2" bestFit="1" customWidth="1"/>
    <col min="9222" max="9222" width="14.28515625" style="2" bestFit="1" customWidth="1"/>
    <col min="9223" max="9472" width="8.85546875" style="2"/>
    <col min="9473" max="9473" width="3.7109375" style="2" customWidth="1"/>
    <col min="9474" max="9474" width="50.42578125" style="2" customWidth="1"/>
    <col min="9475" max="9475" width="16" style="2" bestFit="1" customWidth="1"/>
    <col min="9476" max="9476" width="17.140625" style="2" bestFit="1" customWidth="1"/>
    <col min="9477" max="9477" width="18.140625" style="2" bestFit="1" customWidth="1"/>
    <col min="9478" max="9478" width="14.28515625" style="2" bestFit="1" customWidth="1"/>
    <col min="9479" max="9728" width="8.85546875" style="2"/>
    <col min="9729" max="9729" width="3.7109375" style="2" customWidth="1"/>
    <col min="9730" max="9730" width="50.42578125" style="2" customWidth="1"/>
    <col min="9731" max="9731" width="16" style="2" bestFit="1" customWidth="1"/>
    <col min="9732" max="9732" width="17.140625" style="2" bestFit="1" customWidth="1"/>
    <col min="9733" max="9733" width="18.140625" style="2" bestFit="1" customWidth="1"/>
    <col min="9734" max="9734" width="14.28515625" style="2" bestFit="1" customWidth="1"/>
    <col min="9735" max="9984" width="8.85546875" style="2"/>
    <col min="9985" max="9985" width="3.7109375" style="2" customWidth="1"/>
    <col min="9986" max="9986" width="50.42578125" style="2" customWidth="1"/>
    <col min="9987" max="9987" width="16" style="2" bestFit="1" customWidth="1"/>
    <col min="9988" max="9988" width="17.140625" style="2" bestFit="1" customWidth="1"/>
    <col min="9989" max="9989" width="18.140625" style="2" bestFit="1" customWidth="1"/>
    <col min="9990" max="9990" width="14.28515625" style="2" bestFit="1" customWidth="1"/>
    <col min="9991" max="10240" width="8.85546875" style="2"/>
    <col min="10241" max="10241" width="3.7109375" style="2" customWidth="1"/>
    <col min="10242" max="10242" width="50.42578125" style="2" customWidth="1"/>
    <col min="10243" max="10243" width="16" style="2" bestFit="1" customWidth="1"/>
    <col min="10244" max="10244" width="17.140625" style="2" bestFit="1" customWidth="1"/>
    <col min="10245" max="10245" width="18.140625" style="2" bestFit="1" customWidth="1"/>
    <col min="10246" max="10246" width="14.28515625" style="2" bestFit="1" customWidth="1"/>
    <col min="10247" max="10496" width="8.85546875" style="2"/>
    <col min="10497" max="10497" width="3.7109375" style="2" customWidth="1"/>
    <col min="10498" max="10498" width="50.42578125" style="2" customWidth="1"/>
    <col min="10499" max="10499" width="16" style="2" bestFit="1" customWidth="1"/>
    <col min="10500" max="10500" width="17.140625" style="2" bestFit="1" customWidth="1"/>
    <col min="10501" max="10501" width="18.140625" style="2" bestFit="1" customWidth="1"/>
    <col min="10502" max="10502" width="14.28515625" style="2" bestFit="1" customWidth="1"/>
    <col min="10503" max="10752" width="8.85546875" style="2"/>
    <col min="10753" max="10753" width="3.7109375" style="2" customWidth="1"/>
    <col min="10754" max="10754" width="50.42578125" style="2" customWidth="1"/>
    <col min="10755" max="10755" width="16" style="2" bestFit="1" customWidth="1"/>
    <col min="10756" max="10756" width="17.140625" style="2" bestFit="1" customWidth="1"/>
    <col min="10757" max="10757" width="18.140625" style="2" bestFit="1" customWidth="1"/>
    <col min="10758" max="10758" width="14.28515625" style="2" bestFit="1" customWidth="1"/>
    <col min="10759" max="11008" width="8.85546875" style="2"/>
    <col min="11009" max="11009" width="3.7109375" style="2" customWidth="1"/>
    <col min="11010" max="11010" width="50.42578125" style="2" customWidth="1"/>
    <col min="11011" max="11011" width="16" style="2" bestFit="1" customWidth="1"/>
    <col min="11012" max="11012" width="17.140625" style="2" bestFit="1" customWidth="1"/>
    <col min="11013" max="11013" width="18.140625" style="2" bestFit="1" customWidth="1"/>
    <col min="11014" max="11014" width="14.28515625" style="2" bestFit="1" customWidth="1"/>
    <col min="11015" max="11264" width="8.85546875" style="2"/>
    <col min="11265" max="11265" width="3.7109375" style="2" customWidth="1"/>
    <col min="11266" max="11266" width="50.42578125" style="2" customWidth="1"/>
    <col min="11267" max="11267" width="16" style="2" bestFit="1" customWidth="1"/>
    <col min="11268" max="11268" width="17.140625" style="2" bestFit="1" customWidth="1"/>
    <col min="11269" max="11269" width="18.140625" style="2" bestFit="1" customWidth="1"/>
    <col min="11270" max="11270" width="14.28515625" style="2" bestFit="1" customWidth="1"/>
    <col min="11271" max="11520" width="8.85546875" style="2"/>
    <col min="11521" max="11521" width="3.7109375" style="2" customWidth="1"/>
    <col min="11522" max="11522" width="50.42578125" style="2" customWidth="1"/>
    <col min="11523" max="11523" width="16" style="2" bestFit="1" customWidth="1"/>
    <col min="11524" max="11524" width="17.140625" style="2" bestFit="1" customWidth="1"/>
    <col min="11525" max="11525" width="18.140625" style="2" bestFit="1" customWidth="1"/>
    <col min="11526" max="11526" width="14.28515625" style="2" bestFit="1" customWidth="1"/>
    <col min="11527" max="11776" width="8.85546875" style="2"/>
    <col min="11777" max="11777" width="3.7109375" style="2" customWidth="1"/>
    <col min="11778" max="11778" width="50.42578125" style="2" customWidth="1"/>
    <col min="11779" max="11779" width="16" style="2" bestFit="1" customWidth="1"/>
    <col min="11780" max="11780" width="17.140625" style="2" bestFit="1" customWidth="1"/>
    <col min="11781" max="11781" width="18.140625" style="2" bestFit="1" customWidth="1"/>
    <col min="11782" max="11782" width="14.28515625" style="2" bestFit="1" customWidth="1"/>
    <col min="11783" max="12032" width="8.85546875" style="2"/>
    <col min="12033" max="12033" width="3.7109375" style="2" customWidth="1"/>
    <col min="12034" max="12034" width="50.42578125" style="2" customWidth="1"/>
    <col min="12035" max="12035" width="16" style="2" bestFit="1" customWidth="1"/>
    <col min="12036" max="12036" width="17.140625" style="2" bestFit="1" customWidth="1"/>
    <col min="12037" max="12037" width="18.140625" style="2" bestFit="1" customWidth="1"/>
    <col min="12038" max="12038" width="14.28515625" style="2" bestFit="1" customWidth="1"/>
    <col min="12039" max="12288" width="8.85546875" style="2"/>
    <col min="12289" max="12289" width="3.7109375" style="2" customWidth="1"/>
    <col min="12290" max="12290" width="50.42578125" style="2" customWidth="1"/>
    <col min="12291" max="12291" width="16" style="2" bestFit="1" customWidth="1"/>
    <col min="12292" max="12292" width="17.140625" style="2" bestFit="1" customWidth="1"/>
    <col min="12293" max="12293" width="18.140625" style="2" bestFit="1" customWidth="1"/>
    <col min="12294" max="12294" width="14.28515625" style="2" bestFit="1" customWidth="1"/>
    <col min="12295" max="12544" width="8.85546875" style="2"/>
    <col min="12545" max="12545" width="3.7109375" style="2" customWidth="1"/>
    <col min="12546" max="12546" width="50.42578125" style="2" customWidth="1"/>
    <col min="12547" max="12547" width="16" style="2" bestFit="1" customWidth="1"/>
    <col min="12548" max="12548" width="17.140625" style="2" bestFit="1" customWidth="1"/>
    <col min="12549" max="12549" width="18.140625" style="2" bestFit="1" customWidth="1"/>
    <col min="12550" max="12550" width="14.28515625" style="2" bestFit="1" customWidth="1"/>
    <col min="12551" max="12800" width="8.85546875" style="2"/>
    <col min="12801" max="12801" width="3.7109375" style="2" customWidth="1"/>
    <col min="12802" max="12802" width="50.42578125" style="2" customWidth="1"/>
    <col min="12803" max="12803" width="16" style="2" bestFit="1" customWidth="1"/>
    <col min="12804" max="12804" width="17.140625" style="2" bestFit="1" customWidth="1"/>
    <col min="12805" max="12805" width="18.140625" style="2" bestFit="1" customWidth="1"/>
    <col min="12806" max="12806" width="14.28515625" style="2" bestFit="1" customWidth="1"/>
    <col min="12807" max="13056" width="8.85546875" style="2"/>
    <col min="13057" max="13057" width="3.7109375" style="2" customWidth="1"/>
    <col min="13058" max="13058" width="50.42578125" style="2" customWidth="1"/>
    <col min="13059" max="13059" width="16" style="2" bestFit="1" customWidth="1"/>
    <col min="13060" max="13060" width="17.140625" style="2" bestFit="1" customWidth="1"/>
    <col min="13061" max="13061" width="18.140625" style="2" bestFit="1" customWidth="1"/>
    <col min="13062" max="13062" width="14.28515625" style="2" bestFit="1" customWidth="1"/>
    <col min="13063" max="13312" width="8.85546875" style="2"/>
    <col min="13313" max="13313" width="3.7109375" style="2" customWidth="1"/>
    <col min="13314" max="13314" width="50.42578125" style="2" customWidth="1"/>
    <col min="13315" max="13315" width="16" style="2" bestFit="1" customWidth="1"/>
    <col min="13316" max="13316" width="17.140625" style="2" bestFit="1" customWidth="1"/>
    <col min="13317" max="13317" width="18.140625" style="2" bestFit="1" customWidth="1"/>
    <col min="13318" max="13318" width="14.28515625" style="2" bestFit="1" customWidth="1"/>
    <col min="13319" max="13568" width="8.85546875" style="2"/>
    <col min="13569" max="13569" width="3.7109375" style="2" customWidth="1"/>
    <col min="13570" max="13570" width="50.42578125" style="2" customWidth="1"/>
    <col min="13571" max="13571" width="16" style="2" bestFit="1" customWidth="1"/>
    <col min="13572" max="13572" width="17.140625" style="2" bestFit="1" customWidth="1"/>
    <col min="13573" max="13573" width="18.140625" style="2" bestFit="1" customWidth="1"/>
    <col min="13574" max="13574" width="14.28515625" style="2" bestFit="1" customWidth="1"/>
    <col min="13575" max="13824" width="8.85546875" style="2"/>
    <col min="13825" max="13825" width="3.7109375" style="2" customWidth="1"/>
    <col min="13826" max="13826" width="50.42578125" style="2" customWidth="1"/>
    <col min="13827" max="13827" width="16" style="2" bestFit="1" customWidth="1"/>
    <col min="13828" max="13828" width="17.140625" style="2" bestFit="1" customWidth="1"/>
    <col min="13829" max="13829" width="18.140625" style="2" bestFit="1" customWidth="1"/>
    <col min="13830" max="13830" width="14.28515625" style="2" bestFit="1" customWidth="1"/>
    <col min="13831" max="14080" width="8.85546875" style="2"/>
    <col min="14081" max="14081" width="3.7109375" style="2" customWidth="1"/>
    <col min="14082" max="14082" width="50.42578125" style="2" customWidth="1"/>
    <col min="14083" max="14083" width="16" style="2" bestFit="1" customWidth="1"/>
    <col min="14084" max="14084" width="17.140625" style="2" bestFit="1" customWidth="1"/>
    <col min="14085" max="14085" width="18.140625" style="2" bestFit="1" customWidth="1"/>
    <col min="14086" max="14086" width="14.28515625" style="2" bestFit="1" customWidth="1"/>
    <col min="14087" max="14336" width="8.85546875" style="2"/>
    <col min="14337" max="14337" width="3.7109375" style="2" customWidth="1"/>
    <col min="14338" max="14338" width="50.42578125" style="2" customWidth="1"/>
    <col min="14339" max="14339" width="16" style="2" bestFit="1" customWidth="1"/>
    <col min="14340" max="14340" width="17.140625" style="2" bestFit="1" customWidth="1"/>
    <col min="14341" max="14341" width="18.140625" style="2" bestFit="1" customWidth="1"/>
    <col min="14342" max="14342" width="14.28515625" style="2" bestFit="1" customWidth="1"/>
    <col min="14343" max="14592" width="8.85546875" style="2"/>
    <col min="14593" max="14593" width="3.7109375" style="2" customWidth="1"/>
    <col min="14594" max="14594" width="50.42578125" style="2" customWidth="1"/>
    <col min="14595" max="14595" width="16" style="2" bestFit="1" customWidth="1"/>
    <col min="14596" max="14596" width="17.140625" style="2" bestFit="1" customWidth="1"/>
    <col min="14597" max="14597" width="18.140625" style="2" bestFit="1" customWidth="1"/>
    <col min="14598" max="14598" width="14.28515625" style="2" bestFit="1" customWidth="1"/>
    <col min="14599" max="14848" width="8.85546875" style="2"/>
    <col min="14849" max="14849" width="3.7109375" style="2" customWidth="1"/>
    <col min="14850" max="14850" width="50.42578125" style="2" customWidth="1"/>
    <col min="14851" max="14851" width="16" style="2" bestFit="1" customWidth="1"/>
    <col min="14852" max="14852" width="17.140625" style="2" bestFit="1" customWidth="1"/>
    <col min="14853" max="14853" width="18.140625" style="2" bestFit="1" customWidth="1"/>
    <col min="14854" max="14854" width="14.28515625" style="2" bestFit="1" customWidth="1"/>
    <col min="14855" max="15104" width="8.85546875" style="2"/>
    <col min="15105" max="15105" width="3.7109375" style="2" customWidth="1"/>
    <col min="15106" max="15106" width="50.42578125" style="2" customWidth="1"/>
    <col min="15107" max="15107" width="16" style="2" bestFit="1" customWidth="1"/>
    <col min="15108" max="15108" width="17.140625" style="2" bestFit="1" customWidth="1"/>
    <col min="15109" max="15109" width="18.140625" style="2" bestFit="1" customWidth="1"/>
    <col min="15110" max="15110" width="14.28515625" style="2" bestFit="1" customWidth="1"/>
    <col min="15111" max="15360" width="8.85546875" style="2"/>
    <col min="15361" max="15361" width="3.7109375" style="2" customWidth="1"/>
    <col min="15362" max="15362" width="50.42578125" style="2" customWidth="1"/>
    <col min="15363" max="15363" width="16" style="2" bestFit="1" customWidth="1"/>
    <col min="15364" max="15364" width="17.140625" style="2" bestFit="1" customWidth="1"/>
    <col min="15365" max="15365" width="18.140625" style="2" bestFit="1" customWidth="1"/>
    <col min="15366" max="15366" width="14.28515625" style="2" bestFit="1" customWidth="1"/>
    <col min="15367" max="15616" width="8.85546875" style="2"/>
    <col min="15617" max="15617" width="3.7109375" style="2" customWidth="1"/>
    <col min="15618" max="15618" width="50.42578125" style="2" customWidth="1"/>
    <col min="15619" max="15619" width="16" style="2" bestFit="1" customWidth="1"/>
    <col min="15620" max="15620" width="17.140625" style="2" bestFit="1" customWidth="1"/>
    <col min="15621" max="15621" width="18.140625" style="2" bestFit="1" customWidth="1"/>
    <col min="15622" max="15622" width="14.28515625" style="2" bestFit="1" customWidth="1"/>
    <col min="15623" max="15872" width="8.85546875" style="2"/>
    <col min="15873" max="15873" width="3.7109375" style="2" customWidth="1"/>
    <col min="15874" max="15874" width="50.42578125" style="2" customWidth="1"/>
    <col min="15875" max="15875" width="16" style="2" bestFit="1" customWidth="1"/>
    <col min="15876" max="15876" width="17.140625" style="2" bestFit="1" customWidth="1"/>
    <col min="15877" max="15877" width="18.140625" style="2" bestFit="1" customWidth="1"/>
    <col min="15878" max="15878" width="14.28515625" style="2" bestFit="1" customWidth="1"/>
    <col min="15879" max="16128" width="8.85546875" style="2"/>
    <col min="16129" max="16129" width="3.7109375" style="2" customWidth="1"/>
    <col min="16130" max="16130" width="50.42578125" style="2" customWidth="1"/>
    <col min="16131" max="16131" width="16" style="2" bestFit="1" customWidth="1"/>
    <col min="16132" max="16132" width="17.140625" style="2" bestFit="1" customWidth="1"/>
    <col min="16133" max="16133" width="18.140625" style="2" bestFit="1" customWidth="1"/>
    <col min="16134" max="16134" width="14.28515625" style="2" bestFit="1" customWidth="1"/>
    <col min="16135" max="16384" width="8.85546875" style="2"/>
  </cols>
  <sheetData>
    <row r="1" spans="2:4" x14ac:dyDescent="0.4">
      <c r="B1" s="1" t="s">
        <v>0</v>
      </c>
    </row>
    <row r="2" spans="2:4" x14ac:dyDescent="0.4">
      <c r="B2" s="1" t="s">
        <v>1</v>
      </c>
    </row>
    <row r="3" spans="2:4" ht="17.45" customHeight="1" x14ac:dyDescent="0.4">
      <c r="B3" s="3" t="s">
        <v>2</v>
      </c>
      <c r="C3" s="4" t="s">
        <v>3</v>
      </c>
    </row>
    <row r="4" spans="2:4" x14ac:dyDescent="0.4">
      <c r="B4" s="2" t="s">
        <v>4</v>
      </c>
      <c r="C4" s="5">
        <v>4200</v>
      </c>
    </row>
    <row r="5" spans="2:4" x14ac:dyDescent="0.4">
      <c r="B5" s="2" t="s">
        <v>5</v>
      </c>
      <c r="C5" s="5">
        <v>125000</v>
      </c>
    </row>
    <row r="6" spans="2:4" x14ac:dyDescent="0.4">
      <c r="B6" s="2" t="s">
        <v>6</v>
      </c>
      <c r="C6" s="5">
        <v>70000</v>
      </c>
    </row>
    <row r="7" spans="2:4" x14ac:dyDescent="0.4">
      <c r="B7" s="2" t="s">
        <v>7</v>
      </c>
      <c r="C7" s="5">
        <v>235000</v>
      </c>
    </row>
    <row r="8" spans="2:4" x14ac:dyDescent="0.4">
      <c r="B8" s="2" t="s">
        <v>8</v>
      </c>
      <c r="C8" s="5">
        <v>235000</v>
      </c>
    </row>
    <row r="9" spans="2:4" x14ac:dyDescent="0.4">
      <c r="B9" s="2" t="s">
        <v>9</v>
      </c>
      <c r="C9" s="5">
        <v>19.8</v>
      </c>
      <c r="D9" s="2" t="s">
        <v>10</v>
      </c>
    </row>
    <row r="10" spans="2:4" x14ac:dyDescent="0.4">
      <c r="B10" s="2" t="s">
        <v>11</v>
      </c>
      <c r="C10" s="5">
        <v>20</v>
      </c>
      <c r="D10" s="2" t="s">
        <v>10</v>
      </c>
    </row>
    <row r="11" spans="2:4" x14ac:dyDescent="0.4">
      <c r="B11" s="2" t="s">
        <v>12</v>
      </c>
      <c r="C11" s="5">
        <f>30*0.57</f>
        <v>17.099999999999998</v>
      </c>
      <c r="D11" s="2" t="s">
        <v>10</v>
      </c>
    </row>
    <row r="12" spans="2:4" x14ac:dyDescent="0.4">
      <c r="B12" s="2" t="s">
        <v>13</v>
      </c>
      <c r="C12" s="5">
        <f>30*0.57</f>
        <v>17.099999999999998</v>
      </c>
      <c r="D12" s="2" t="s">
        <v>10</v>
      </c>
    </row>
    <row r="13" spans="2:4" x14ac:dyDescent="0.4">
      <c r="B13" s="2" t="s">
        <v>14</v>
      </c>
      <c r="C13" s="5">
        <f>C5/C9</f>
        <v>6313.1313131313127</v>
      </c>
    </row>
    <row r="14" spans="2:4" x14ac:dyDescent="0.4">
      <c r="B14" s="2" t="s">
        <v>15</v>
      </c>
      <c r="C14" s="5">
        <f>C6/C10</f>
        <v>3500</v>
      </c>
    </row>
    <row r="15" spans="2:4" x14ac:dyDescent="0.4">
      <c r="B15" s="2" t="s">
        <v>16</v>
      </c>
      <c r="C15" s="5">
        <f>C7/C11</f>
        <v>13742.690058479533</v>
      </c>
    </row>
    <row r="16" spans="2:4" x14ac:dyDescent="0.4">
      <c r="B16" s="2" t="s">
        <v>17</v>
      </c>
      <c r="C16" s="5">
        <f>C8/C12</f>
        <v>13742.690058479533</v>
      </c>
    </row>
    <row r="17" spans="2:9" x14ac:dyDescent="0.4">
      <c r="B17" s="2" t="s">
        <v>18</v>
      </c>
      <c r="C17" s="5">
        <v>250000</v>
      </c>
      <c r="D17" s="6"/>
      <c r="E17" s="7"/>
    </row>
    <row r="18" spans="2:9" x14ac:dyDescent="0.4">
      <c r="B18" s="2" t="s">
        <v>19</v>
      </c>
      <c r="C18" s="5">
        <v>150000</v>
      </c>
      <c r="D18" s="6"/>
      <c r="E18" s="7"/>
    </row>
    <row r="19" spans="2:9" x14ac:dyDescent="0.4">
      <c r="B19" s="2" t="s">
        <v>20</v>
      </c>
      <c r="C19" s="5">
        <v>170000</v>
      </c>
      <c r="D19" s="6"/>
      <c r="E19" s="7"/>
    </row>
    <row r="20" spans="2:9" x14ac:dyDescent="0.4">
      <c r="B20" s="2" t="s">
        <v>21</v>
      </c>
      <c r="C20" s="5">
        <v>120000</v>
      </c>
      <c r="D20" s="6"/>
      <c r="E20" s="7"/>
    </row>
    <row r="21" spans="2:9" x14ac:dyDescent="0.4">
      <c r="B21" s="2" t="s">
        <v>22</v>
      </c>
      <c r="C21" s="5">
        <v>18000</v>
      </c>
      <c r="D21" s="6"/>
      <c r="E21" s="7"/>
    </row>
    <row r="22" spans="2:9" x14ac:dyDescent="0.4">
      <c r="B22" s="2" t="s">
        <v>23</v>
      </c>
      <c r="C22" s="5"/>
      <c r="D22" s="6"/>
      <c r="E22" s="6"/>
    </row>
    <row r="23" spans="2:9" x14ac:dyDescent="0.4">
      <c r="B23" s="2" t="s">
        <v>24</v>
      </c>
      <c r="C23" s="5"/>
      <c r="D23" s="6"/>
      <c r="E23" s="6"/>
    </row>
    <row r="24" spans="2:9" x14ac:dyDescent="0.4">
      <c r="B24" s="2" t="s">
        <v>25</v>
      </c>
      <c r="C24" s="5"/>
      <c r="D24" s="6"/>
      <c r="E24" s="6"/>
    </row>
    <row r="25" spans="2:9" x14ac:dyDescent="0.4">
      <c r="B25" s="2" t="s">
        <v>26</v>
      </c>
      <c r="C25" s="5">
        <v>12000</v>
      </c>
      <c r="D25" s="6"/>
      <c r="E25" s="7"/>
    </row>
    <row r="26" spans="2:9" x14ac:dyDescent="0.4">
      <c r="B26" s="2" t="s">
        <v>27</v>
      </c>
      <c r="C26" s="5">
        <v>4000</v>
      </c>
      <c r="D26" s="6"/>
      <c r="E26" s="7"/>
    </row>
    <row r="27" spans="2:9" x14ac:dyDescent="0.4">
      <c r="B27" s="2" t="s">
        <v>28</v>
      </c>
      <c r="C27" s="5">
        <v>5000</v>
      </c>
      <c r="D27" s="6"/>
      <c r="E27" s="7"/>
    </row>
    <row r="28" spans="2:9" x14ac:dyDescent="0.4">
      <c r="B28" s="2" t="s">
        <v>29</v>
      </c>
      <c r="C28" s="8">
        <v>0.25</v>
      </c>
    </row>
    <row r="29" spans="2:9" x14ac:dyDescent="0.4">
      <c r="B29" s="9" t="s">
        <v>30</v>
      </c>
      <c r="C29" s="6"/>
      <c r="D29" s="6"/>
      <c r="E29" s="6"/>
      <c r="F29" s="2" t="s">
        <v>122</v>
      </c>
    </row>
    <row r="30" spans="2:9" ht="16.899999999999999" customHeight="1" x14ac:dyDescent="0.4">
      <c r="B30" s="1" t="s">
        <v>31</v>
      </c>
      <c r="C30" s="6"/>
      <c r="D30" s="6"/>
      <c r="E30" s="6"/>
      <c r="G30" s="2">
        <f>1/10</f>
        <v>0.1</v>
      </c>
    </row>
    <row r="31" spans="2:9" x14ac:dyDescent="0.4">
      <c r="B31" s="2" t="s">
        <v>32</v>
      </c>
      <c r="C31" s="6">
        <v>4.2</v>
      </c>
      <c r="D31" s="6"/>
      <c r="E31" s="7"/>
      <c r="I31" s="2">
        <f>G32*G30</f>
        <v>2.8800000000000003</v>
      </c>
    </row>
    <row r="32" spans="2:9" x14ac:dyDescent="0.4">
      <c r="B32" s="2" t="s">
        <v>33</v>
      </c>
      <c r="C32" s="10">
        <f>C31*0.025</f>
        <v>0.10500000000000001</v>
      </c>
      <c r="D32" s="10">
        <f>C31+C32</f>
        <v>4.3050000000000006</v>
      </c>
      <c r="E32" s="11">
        <f>D32*C4</f>
        <v>18081.000000000004</v>
      </c>
      <c r="G32" s="2">
        <f>1440/50</f>
        <v>28.8</v>
      </c>
      <c r="I32" s="2">
        <f>I31*45%</f>
        <v>1.2960000000000003</v>
      </c>
    </row>
    <row r="33" spans="2:12" ht="7.9" customHeight="1" x14ac:dyDescent="0.4">
      <c r="C33" s="6"/>
      <c r="D33" s="6"/>
      <c r="E33" s="6"/>
    </row>
    <row r="34" spans="2:12" x14ac:dyDescent="0.4">
      <c r="B34" s="1" t="s">
        <v>34</v>
      </c>
      <c r="C34" s="6"/>
      <c r="D34" s="6"/>
      <c r="E34" s="7"/>
      <c r="I34" s="2">
        <f>I31+I32</f>
        <v>4.1760000000000002</v>
      </c>
    </row>
    <row r="35" spans="2:12" x14ac:dyDescent="0.4">
      <c r="B35" s="2" t="s">
        <v>35</v>
      </c>
      <c r="C35" s="6">
        <v>0.44800000000000001</v>
      </c>
      <c r="D35" s="6"/>
      <c r="E35" s="7"/>
    </row>
    <row r="36" spans="2:12" x14ac:dyDescent="0.4">
      <c r="B36" s="2" t="s">
        <v>33</v>
      </c>
      <c r="C36" s="10">
        <f>C35*0.025</f>
        <v>1.1200000000000002E-2</v>
      </c>
      <c r="D36" s="10">
        <f>C35+C36</f>
        <v>0.4592</v>
      </c>
      <c r="E36" s="12">
        <f>D36*C13</f>
        <v>2898.9898989898988</v>
      </c>
      <c r="F36" s="2" t="s">
        <v>124</v>
      </c>
      <c r="I36" s="2">
        <f>20*G39</f>
        <v>8.6999999999999993</v>
      </c>
    </row>
    <row r="37" spans="2:12" x14ac:dyDescent="0.4">
      <c r="C37" s="6"/>
      <c r="D37" s="6"/>
      <c r="E37" s="12"/>
      <c r="G37" s="84">
        <f>3/10</f>
        <v>0.3</v>
      </c>
      <c r="I37" s="2">
        <f>I36/3.81</f>
        <v>2.2834645669291338</v>
      </c>
    </row>
    <row r="38" spans="2:12" x14ac:dyDescent="0.4">
      <c r="B38" s="1" t="s">
        <v>36</v>
      </c>
      <c r="C38" s="6"/>
      <c r="D38" s="6"/>
      <c r="E38" s="7"/>
      <c r="G38" s="2">
        <f>G37*45%</f>
        <v>0.13500000000000001</v>
      </c>
    </row>
    <row r="39" spans="2:12" x14ac:dyDescent="0.4">
      <c r="B39" s="2" t="s">
        <v>37</v>
      </c>
      <c r="C39" s="6">
        <v>0.89600000000000002</v>
      </c>
      <c r="D39" s="6"/>
      <c r="E39" s="7"/>
      <c r="G39" s="84">
        <f>G37+G38</f>
        <v>0.435</v>
      </c>
    </row>
    <row r="40" spans="2:12" x14ac:dyDescent="0.4">
      <c r="B40" s="2" t="s">
        <v>33</v>
      </c>
      <c r="C40" s="10">
        <f>C39*0.025</f>
        <v>2.2400000000000003E-2</v>
      </c>
      <c r="D40" s="10">
        <f>C39+C40</f>
        <v>0.91839999999999999</v>
      </c>
      <c r="E40" s="12">
        <f>D40*C15</f>
        <v>12621.286549707604</v>
      </c>
      <c r="F40" s="2" t="s">
        <v>177</v>
      </c>
      <c r="J40" s="2" t="s">
        <v>178</v>
      </c>
      <c r="K40" s="2">
        <v>0.56999999999999995</v>
      </c>
      <c r="L40" s="2" t="s">
        <v>179</v>
      </c>
    </row>
    <row r="41" spans="2:12" x14ac:dyDescent="0.4">
      <c r="C41" s="6"/>
      <c r="D41" s="6"/>
      <c r="E41" s="7"/>
      <c r="G41" s="84">
        <f>6/10</f>
        <v>0.6</v>
      </c>
    </row>
    <row r="42" spans="2:12" ht="19.149999999999999" customHeight="1" x14ac:dyDescent="0.4">
      <c r="B42" s="1" t="s">
        <v>38</v>
      </c>
      <c r="C42" s="6"/>
      <c r="D42" s="6"/>
      <c r="E42" s="7"/>
    </row>
    <row r="43" spans="2:12" x14ac:dyDescent="0.4">
      <c r="B43" s="2" t="s">
        <v>39</v>
      </c>
      <c r="C43" s="6">
        <v>18000</v>
      </c>
      <c r="D43" s="6"/>
      <c r="E43" s="6"/>
      <c r="G43" s="2">
        <f>G41*45%</f>
        <v>0.27</v>
      </c>
    </row>
    <row r="44" spans="2:12" x14ac:dyDescent="0.4">
      <c r="B44" s="2" t="s">
        <v>40</v>
      </c>
      <c r="C44" s="10">
        <v>4000</v>
      </c>
      <c r="D44" s="10">
        <f>C43+C44</f>
        <v>22000</v>
      </c>
      <c r="E44" s="6"/>
      <c r="G44" s="84">
        <f>G41+G43</f>
        <v>0.87</v>
      </c>
    </row>
    <row r="45" spans="2:12" x14ac:dyDescent="0.4">
      <c r="B45" s="2" t="s">
        <v>41</v>
      </c>
      <c r="C45" s="6"/>
      <c r="D45" s="6"/>
      <c r="E45" s="7"/>
    </row>
    <row r="46" spans="2:12" x14ac:dyDescent="0.4">
      <c r="B46" s="2" t="s">
        <v>42</v>
      </c>
      <c r="C46" s="6"/>
      <c r="D46" s="6"/>
      <c r="E46" s="13">
        <f>D44/23</f>
        <v>956.52173913043475</v>
      </c>
      <c r="I46" s="2">
        <f>G44/K40</f>
        <v>1.5263157894736843</v>
      </c>
    </row>
    <row r="47" spans="2:12" x14ac:dyDescent="0.4">
      <c r="C47" s="6"/>
      <c r="D47" s="6"/>
      <c r="E47" s="7"/>
    </row>
    <row r="48" spans="2:12" x14ac:dyDescent="0.4">
      <c r="B48" s="1" t="s">
        <v>43</v>
      </c>
      <c r="C48" s="6"/>
      <c r="D48" s="6"/>
      <c r="E48" s="7"/>
    </row>
    <row r="49" spans="2:5" x14ac:dyDescent="0.4">
      <c r="B49" s="2" t="s">
        <v>44</v>
      </c>
      <c r="C49" s="14">
        <f>C25</f>
        <v>12000</v>
      </c>
      <c r="D49" s="6"/>
      <c r="E49" s="7"/>
    </row>
    <row r="50" spans="2:5" x14ac:dyDescent="0.4">
      <c r="B50" s="2" t="s">
        <v>42</v>
      </c>
      <c r="C50" s="6"/>
      <c r="D50" s="6"/>
      <c r="E50" s="15">
        <f>C49/20</f>
        <v>600</v>
      </c>
    </row>
    <row r="51" spans="2:5" ht="18" customHeight="1" x14ac:dyDescent="0.4">
      <c r="C51" s="6"/>
      <c r="D51" s="6"/>
      <c r="E51" s="16">
        <f>SUM(E32:E50)</f>
        <v>35157.798187827939</v>
      </c>
    </row>
    <row r="52" spans="2:5" ht="17.45" customHeight="1" x14ac:dyDescent="0.4">
      <c r="B52" s="1" t="s">
        <v>45</v>
      </c>
      <c r="C52" s="6"/>
      <c r="D52" s="6"/>
      <c r="E52" s="17"/>
    </row>
    <row r="53" spans="2:5" x14ac:dyDescent="0.4">
      <c r="B53" s="2" t="s">
        <v>46</v>
      </c>
      <c r="C53" s="6"/>
      <c r="D53" s="6"/>
      <c r="E53" s="18">
        <f>C27</f>
        <v>5000</v>
      </c>
    </row>
    <row r="54" spans="2:5" ht="18" customHeight="1" x14ac:dyDescent="0.4">
      <c r="B54" s="19" t="s">
        <v>47</v>
      </c>
      <c r="C54" s="8"/>
      <c r="D54" s="6"/>
      <c r="E54" s="16">
        <f>SUM(E51:E53)</f>
        <v>40157.798187827939</v>
      </c>
    </row>
    <row r="55" spans="2:5" x14ac:dyDescent="0.4">
      <c r="B55" s="19" t="s">
        <v>48</v>
      </c>
      <c r="C55" s="6"/>
      <c r="D55" s="6"/>
      <c r="E55" s="17">
        <f>E54*0.25</f>
        <v>10039.449546956985</v>
      </c>
    </row>
    <row r="56" spans="2:5" x14ac:dyDescent="0.4">
      <c r="B56" s="20" t="s">
        <v>49</v>
      </c>
      <c r="C56" s="6"/>
      <c r="D56" s="6"/>
      <c r="E56" s="21">
        <f>SUM(E54:E55)</f>
        <v>50197.24773478492</v>
      </c>
    </row>
    <row r="57" spans="2:5" x14ac:dyDescent="0.4">
      <c r="C57" s="8"/>
    </row>
    <row r="58" spans="2:5" x14ac:dyDescent="0.4">
      <c r="B58" s="9" t="s">
        <v>50</v>
      </c>
      <c r="C58" s="6"/>
      <c r="D58" s="6"/>
      <c r="E58" s="6"/>
    </row>
    <row r="59" spans="2:5" x14ac:dyDescent="0.4">
      <c r="B59" s="1" t="s">
        <v>31</v>
      </c>
      <c r="C59" s="6"/>
      <c r="D59" s="6"/>
      <c r="E59" s="6"/>
    </row>
    <row r="60" spans="2:5" x14ac:dyDescent="0.4">
      <c r="B60" s="2" t="s">
        <v>51</v>
      </c>
      <c r="C60" s="6">
        <v>6.1</v>
      </c>
      <c r="D60" s="6"/>
      <c r="E60" s="7"/>
    </row>
    <row r="61" spans="2:5" x14ac:dyDescent="0.4">
      <c r="B61" s="2" t="s">
        <v>33</v>
      </c>
      <c r="C61" s="10">
        <f>C60*0.025</f>
        <v>0.1525</v>
      </c>
      <c r="D61" s="10">
        <f>C60+C61</f>
        <v>6.2524999999999995</v>
      </c>
      <c r="E61" s="11">
        <f>D61*C4</f>
        <v>26260.499999999996</v>
      </c>
    </row>
    <row r="62" spans="2:5" x14ac:dyDescent="0.4">
      <c r="C62" s="6"/>
      <c r="D62" s="6"/>
      <c r="E62" s="6"/>
    </row>
    <row r="63" spans="2:5" x14ac:dyDescent="0.4">
      <c r="B63" s="1" t="s">
        <v>34</v>
      </c>
      <c r="C63" s="6"/>
      <c r="D63" s="6"/>
      <c r="E63" s="7"/>
    </row>
    <row r="64" spans="2:5" x14ac:dyDescent="0.4">
      <c r="B64" s="2" t="s">
        <v>52</v>
      </c>
      <c r="C64" s="6">
        <v>0.42399999999999999</v>
      </c>
      <c r="D64" s="6"/>
      <c r="E64" s="7"/>
    </row>
    <row r="65" spans="2:5" x14ac:dyDescent="0.4">
      <c r="B65" s="2" t="s">
        <v>33</v>
      </c>
      <c r="C65" s="10">
        <f>C64*0.025</f>
        <v>1.06E-2</v>
      </c>
      <c r="D65" s="10">
        <f>C64+C65</f>
        <v>0.43459999999999999</v>
      </c>
      <c r="E65" s="12">
        <f>D65*C13</f>
        <v>2743.6868686868684</v>
      </c>
    </row>
    <row r="66" spans="2:5" x14ac:dyDescent="0.4">
      <c r="C66" s="6"/>
      <c r="D66" s="6"/>
      <c r="E66" s="12"/>
    </row>
    <row r="67" spans="2:5" x14ac:dyDescent="0.4">
      <c r="B67" s="1" t="s">
        <v>36</v>
      </c>
      <c r="C67" s="6"/>
      <c r="D67" s="6"/>
      <c r="E67" s="7"/>
    </row>
    <row r="68" spans="2:5" x14ac:dyDescent="0.4">
      <c r="B68" s="2" t="s">
        <v>53</v>
      </c>
      <c r="C68" s="6">
        <v>0.84799999999999998</v>
      </c>
      <c r="D68" s="6"/>
      <c r="E68" s="7"/>
    </row>
    <row r="69" spans="2:5" x14ac:dyDescent="0.4">
      <c r="B69" s="2" t="s">
        <v>33</v>
      </c>
      <c r="C69" s="10">
        <f>C68*0.025</f>
        <v>2.12E-2</v>
      </c>
      <c r="D69" s="10">
        <f>C68+C69</f>
        <v>0.86919999999999997</v>
      </c>
      <c r="E69" s="12">
        <f>D69*C15</f>
        <v>11945.146198830409</v>
      </c>
    </row>
    <row r="70" spans="2:5" x14ac:dyDescent="0.4">
      <c r="C70" s="6"/>
      <c r="D70" s="6"/>
      <c r="E70" s="7"/>
    </row>
    <row r="71" spans="2:5" x14ac:dyDescent="0.4">
      <c r="B71" s="1" t="s">
        <v>38</v>
      </c>
      <c r="C71" s="6"/>
      <c r="D71" s="6"/>
      <c r="E71" s="7"/>
    </row>
    <row r="72" spans="2:5" x14ac:dyDescent="0.4">
      <c r="B72" s="2" t="s">
        <v>39</v>
      </c>
      <c r="C72" s="6">
        <v>18000</v>
      </c>
      <c r="D72" s="6"/>
      <c r="E72" s="6"/>
    </row>
    <row r="73" spans="2:5" x14ac:dyDescent="0.4">
      <c r="B73" s="2" t="s">
        <v>40</v>
      </c>
      <c r="C73" s="10">
        <v>4000</v>
      </c>
      <c r="D73" s="10">
        <f>C72+C73</f>
        <v>22000</v>
      </c>
      <c r="E73" s="6"/>
    </row>
    <row r="74" spans="2:5" x14ac:dyDescent="0.4">
      <c r="B74" s="2" t="s">
        <v>41</v>
      </c>
      <c r="C74" s="6"/>
      <c r="D74" s="6"/>
      <c r="E74" s="7"/>
    </row>
    <row r="75" spans="2:5" x14ac:dyDescent="0.4">
      <c r="B75" s="2" t="s">
        <v>42</v>
      </c>
      <c r="C75" s="6"/>
      <c r="D75" s="6"/>
      <c r="E75" s="13">
        <f>D73/23</f>
        <v>956.52173913043475</v>
      </c>
    </row>
    <row r="76" spans="2:5" x14ac:dyDescent="0.4">
      <c r="C76" s="6"/>
      <c r="D76" s="6"/>
      <c r="E76" s="7"/>
    </row>
    <row r="77" spans="2:5" x14ac:dyDescent="0.4">
      <c r="B77" s="1" t="s">
        <v>43</v>
      </c>
      <c r="C77" s="6"/>
      <c r="D77" s="6"/>
      <c r="E77" s="7"/>
    </row>
    <row r="78" spans="2:5" x14ac:dyDescent="0.4">
      <c r="B78" s="2" t="s">
        <v>44</v>
      </c>
      <c r="C78" s="14">
        <f>C25</f>
        <v>12000</v>
      </c>
      <c r="D78" s="6"/>
      <c r="E78" s="7"/>
    </row>
    <row r="79" spans="2:5" x14ac:dyDescent="0.4">
      <c r="B79" s="2" t="s">
        <v>42</v>
      </c>
      <c r="C79" s="6"/>
      <c r="D79" s="6"/>
      <c r="E79" s="15">
        <f>C78/23</f>
        <v>521.73913043478262</v>
      </c>
    </row>
    <row r="80" spans="2:5" x14ac:dyDescent="0.4">
      <c r="C80" s="6"/>
      <c r="D80" s="6"/>
      <c r="E80" s="16">
        <f>SUM(E61:E79)</f>
        <v>42427.593937082493</v>
      </c>
    </row>
    <row r="81" spans="2:6" x14ac:dyDescent="0.4">
      <c r="B81" s="1" t="s">
        <v>45</v>
      </c>
      <c r="C81" s="6"/>
      <c r="D81" s="6"/>
      <c r="E81" s="17"/>
    </row>
    <row r="82" spans="2:6" x14ac:dyDescent="0.4">
      <c r="B82" s="2" t="s">
        <v>46</v>
      </c>
      <c r="C82" s="6"/>
      <c r="D82" s="6"/>
      <c r="E82" s="18">
        <v>5000</v>
      </c>
    </row>
    <row r="83" spans="2:6" x14ac:dyDescent="0.4">
      <c r="B83" s="19" t="s">
        <v>47</v>
      </c>
      <c r="C83" s="8"/>
      <c r="D83" s="6"/>
      <c r="E83" s="16">
        <f>SUM(E80:E82)</f>
        <v>47427.593937082493</v>
      </c>
    </row>
    <row r="84" spans="2:6" x14ac:dyDescent="0.4">
      <c r="B84" s="19" t="s">
        <v>48</v>
      </c>
      <c r="C84" s="6"/>
      <c r="D84" s="6"/>
      <c r="E84" s="17">
        <f>E83*0.25</f>
        <v>11856.898484270623</v>
      </c>
    </row>
    <row r="85" spans="2:6" x14ac:dyDescent="0.4">
      <c r="B85" s="20" t="s">
        <v>49</v>
      </c>
      <c r="C85" s="6"/>
      <c r="D85" s="6"/>
      <c r="E85" s="21">
        <f>SUM(E83:E84)</f>
        <v>59284.492421353119</v>
      </c>
      <c r="F85" s="22">
        <v>42000</v>
      </c>
    </row>
    <row r="86" spans="2:6" x14ac:dyDescent="0.4">
      <c r="C86" s="6"/>
      <c r="D86" s="6"/>
      <c r="E86" s="7"/>
    </row>
    <row r="87" spans="2:6" x14ac:dyDescent="0.4">
      <c r="B87" s="1" t="s">
        <v>54</v>
      </c>
      <c r="C87" s="6"/>
      <c r="D87" s="6"/>
      <c r="E87" s="6"/>
    </row>
    <row r="88" spans="2:6" x14ac:dyDescent="0.4">
      <c r="B88" s="1" t="s">
        <v>31</v>
      </c>
      <c r="C88" s="6"/>
      <c r="D88" s="6"/>
      <c r="E88" s="6"/>
    </row>
    <row r="89" spans="2:6" x14ac:dyDescent="0.4">
      <c r="B89" s="2" t="s">
        <v>55</v>
      </c>
      <c r="C89" s="6">
        <v>7.2</v>
      </c>
      <c r="D89" s="6"/>
      <c r="E89" s="7"/>
    </row>
    <row r="90" spans="2:6" x14ac:dyDescent="0.4">
      <c r="B90" s="2" t="s">
        <v>33</v>
      </c>
      <c r="C90" s="10">
        <f>C89*0.025</f>
        <v>0.18000000000000002</v>
      </c>
      <c r="D90" s="10">
        <f>C89+C90</f>
        <v>7.38</v>
      </c>
      <c r="E90" s="11">
        <f>D90*C4</f>
        <v>30996</v>
      </c>
    </row>
    <row r="91" spans="2:6" x14ac:dyDescent="0.4">
      <c r="C91" s="6"/>
      <c r="D91" s="6"/>
      <c r="E91" s="6"/>
    </row>
    <row r="92" spans="2:6" x14ac:dyDescent="0.4">
      <c r="B92" s="1" t="s">
        <v>34</v>
      </c>
      <c r="C92" s="6"/>
      <c r="D92" s="6"/>
      <c r="E92" s="7"/>
    </row>
    <row r="93" spans="2:6" x14ac:dyDescent="0.4">
      <c r="B93" s="2" t="s">
        <v>56</v>
      </c>
      <c r="C93" s="6">
        <v>0.4</v>
      </c>
      <c r="D93" s="6"/>
      <c r="E93" s="7"/>
    </row>
    <row r="94" spans="2:6" x14ac:dyDescent="0.4">
      <c r="B94" s="2" t="s">
        <v>33</v>
      </c>
      <c r="C94" s="10">
        <f>C93*0.025</f>
        <v>1.0000000000000002E-2</v>
      </c>
      <c r="D94" s="10">
        <f>C93+C94</f>
        <v>0.41000000000000003</v>
      </c>
      <c r="E94" s="12">
        <f>D94*C13</f>
        <v>2588.3838383838383</v>
      </c>
    </row>
    <row r="95" spans="2:6" x14ac:dyDescent="0.4">
      <c r="C95" s="6"/>
      <c r="D95" s="6"/>
      <c r="E95" s="12"/>
    </row>
    <row r="96" spans="2:6" x14ac:dyDescent="0.4">
      <c r="B96" s="1" t="s">
        <v>36</v>
      </c>
      <c r="C96" s="6"/>
      <c r="D96" s="6"/>
      <c r="E96" s="7"/>
    </row>
    <row r="97" spans="2:5" x14ac:dyDescent="0.4">
      <c r="B97" s="2" t="s">
        <v>57</v>
      </c>
      <c r="C97" s="6">
        <v>0.8</v>
      </c>
      <c r="D97" s="6"/>
      <c r="E97" s="7"/>
    </row>
    <row r="98" spans="2:5" x14ac:dyDescent="0.4">
      <c r="B98" s="2" t="s">
        <v>33</v>
      </c>
      <c r="C98" s="10">
        <f>C97*0.025</f>
        <v>2.0000000000000004E-2</v>
      </c>
      <c r="D98" s="10">
        <f>C97+C98</f>
        <v>0.82000000000000006</v>
      </c>
      <c r="E98" s="12">
        <f>D98*C15</f>
        <v>11269.005847953218</v>
      </c>
    </row>
    <row r="99" spans="2:5" x14ac:dyDescent="0.4">
      <c r="C99" s="6"/>
      <c r="D99" s="6"/>
      <c r="E99" s="7"/>
    </row>
    <row r="100" spans="2:5" x14ac:dyDescent="0.4">
      <c r="B100" s="1" t="s">
        <v>38</v>
      </c>
      <c r="C100" s="6"/>
      <c r="D100" s="6"/>
      <c r="E100" s="7"/>
    </row>
    <row r="101" spans="2:5" x14ac:dyDescent="0.4">
      <c r="B101" s="2" t="s">
        <v>39</v>
      </c>
      <c r="C101" s="6">
        <v>15000</v>
      </c>
      <c r="D101" s="6"/>
      <c r="E101" s="6"/>
    </row>
    <row r="102" spans="2:5" x14ac:dyDescent="0.4">
      <c r="B102" s="2" t="s">
        <v>40</v>
      </c>
      <c r="C102" s="10">
        <v>4000</v>
      </c>
      <c r="D102" s="10">
        <f>C101+C102</f>
        <v>19000</v>
      </c>
      <c r="E102" s="6"/>
    </row>
    <row r="103" spans="2:5" x14ac:dyDescent="0.4">
      <c r="B103" s="2" t="s">
        <v>41</v>
      </c>
      <c r="C103" s="6"/>
      <c r="D103" s="6"/>
      <c r="E103" s="7"/>
    </row>
    <row r="104" spans="2:5" x14ac:dyDescent="0.4">
      <c r="B104" s="2" t="s">
        <v>42</v>
      </c>
      <c r="C104" s="6"/>
      <c r="D104" s="6"/>
      <c r="E104" s="13">
        <f>D102/23</f>
        <v>826.08695652173913</v>
      </c>
    </row>
    <row r="105" spans="2:5" x14ac:dyDescent="0.4">
      <c r="C105" s="6"/>
      <c r="D105" s="6"/>
      <c r="E105" s="7"/>
    </row>
    <row r="106" spans="2:5" x14ac:dyDescent="0.4">
      <c r="B106" s="1" t="s">
        <v>43</v>
      </c>
      <c r="C106" s="6"/>
      <c r="D106" s="6"/>
      <c r="E106" s="7"/>
    </row>
    <row r="107" spans="2:5" x14ac:dyDescent="0.4">
      <c r="B107" s="2" t="s">
        <v>44</v>
      </c>
      <c r="C107" s="14">
        <f>C25</f>
        <v>12000</v>
      </c>
      <c r="D107" s="6"/>
      <c r="E107" s="7"/>
    </row>
    <row r="108" spans="2:5" x14ac:dyDescent="0.4">
      <c r="B108" s="2" t="s">
        <v>42</v>
      </c>
      <c r="C108" s="6"/>
      <c r="D108" s="6"/>
      <c r="E108" s="15">
        <f>C107/23</f>
        <v>521.73913043478262</v>
      </c>
    </row>
    <row r="109" spans="2:5" x14ac:dyDescent="0.4">
      <c r="C109" s="6"/>
      <c r="D109" s="6"/>
      <c r="E109" s="16">
        <f>SUM(E90:E108)</f>
        <v>46201.215773293574</v>
      </c>
    </row>
    <row r="110" spans="2:5" x14ac:dyDescent="0.4">
      <c r="B110" s="1" t="s">
        <v>45</v>
      </c>
      <c r="C110" s="6"/>
      <c r="D110" s="6"/>
      <c r="E110" s="17"/>
    </row>
    <row r="111" spans="2:5" x14ac:dyDescent="0.4">
      <c r="B111" s="2" t="s">
        <v>46</v>
      </c>
      <c r="C111" s="6"/>
      <c r="D111" s="6"/>
      <c r="E111" s="18">
        <v>5000</v>
      </c>
    </row>
    <row r="112" spans="2:5" x14ac:dyDescent="0.4">
      <c r="B112" s="19" t="s">
        <v>47</v>
      </c>
      <c r="C112" s="8"/>
      <c r="D112" s="6"/>
      <c r="E112" s="16">
        <f>SUM(E109:E111)</f>
        <v>51201.215773293574</v>
      </c>
    </row>
    <row r="113" spans="2:9" x14ac:dyDescent="0.4">
      <c r="B113" s="19" t="s">
        <v>48</v>
      </c>
      <c r="C113" s="6"/>
      <c r="D113" s="6"/>
      <c r="E113" s="17">
        <f>E112*0.25</f>
        <v>12800.303943323393</v>
      </c>
    </row>
    <row r="114" spans="2:9" x14ac:dyDescent="0.4">
      <c r="B114" s="20" t="s">
        <v>49</v>
      </c>
      <c r="C114" s="6"/>
      <c r="D114" s="6"/>
      <c r="E114" s="21">
        <f>SUM(E112:E113)</f>
        <v>64001.519716616967</v>
      </c>
    </row>
    <row r="115" spans="2:9" x14ac:dyDescent="0.4">
      <c r="B115" s="20"/>
      <c r="C115" s="6"/>
      <c r="D115" s="6"/>
      <c r="E115" s="23"/>
    </row>
    <row r="116" spans="2:9" x14ac:dyDescent="0.4">
      <c r="B116" s="1" t="s">
        <v>58</v>
      </c>
    </row>
    <row r="117" spans="2:9" x14ac:dyDescent="0.4">
      <c r="B117" s="3" t="s">
        <v>59</v>
      </c>
      <c r="C117" s="6"/>
      <c r="D117" s="6"/>
      <c r="E117" s="23"/>
    </row>
    <row r="118" spans="2:9" x14ac:dyDescent="0.4">
      <c r="B118" s="24" t="s">
        <v>60</v>
      </c>
      <c r="C118" s="25"/>
      <c r="D118" s="24"/>
      <c r="E118" s="26">
        <f>C8/C11</f>
        <v>13742.690058479533</v>
      </c>
      <c r="F118" s="24"/>
      <c r="G118" s="24"/>
      <c r="H118" s="24"/>
    </row>
    <row r="119" spans="2:9" x14ac:dyDescent="0.4">
      <c r="B119" s="27" t="s">
        <v>61</v>
      </c>
      <c r="C119" s="25"/>
      <c r="D119" s="25">
        <f>C118+C119</f>
        <v>0</v>
      </c>
      <c r="E119" s="26">
        <f>E118*0.25</f>
        <v>3435.6725146198833</v>
      </c>
      <c r="F119" s="24"/>
      <c r="G119" s="24"/>
      <c r="H119" s="24"/>
    </row>
    <row r="120" spans="2:9" x14ac:dyDescent="0.4">
      <c r="B120" s="27"/>
      <c r="C120" s="24"/>
      <c r="D120" s="28"/>
      <c r="E120" s="29">
        <f>SUM(E118:E119)</f>
        <v>17178.362573099417</v>
      </c>
      <c r="F120" s="24"/>
      <c r="G120" s="24"/>
      <c r="H120" s="24"/>
    </row>
    <row r="121" spans="2:9" x14ac:dyDescent="0.4">
      <c r="B121" s="27" t="s">
        <v>62</v>
      </c>
      <c r="C121" s="24"/>
      <c r="D121" s="24"/>
      <c r="E121" s="30"/>
      <c r="F121" s="24"/>
      <c r="G121" s="24"/>
      <c r="H121" s="24"/>
    </row>
    <row r="122" spans="2:9" x14ac:dyDescent="0.4">
      <c r="B122" s="24" t="s">
        <v>63</v>
      </c>
      <c r="C122" s="27">
        <v>170000</v>
      </c>
      <c r="D122" s="24"/>
      <c r="E122" s="27"/>
      <c r="F122" s="24"/>
      <c r="G122" s="24"/>
      <c r="H122" s="24"/>
    </row>
    <row r="123" spans="2:9" x14ac:dyDescent="0.4">
      <c r="B123" s="24" t="s">
        <v>64</v>
      </c>
      <c r="C123" s="27">
        <v>120000</v>
      </c>
      <c r="D123" s="24">
        <f>C122+C123</f>
        <v>290000</v>
      </c>
      <c r="E123" s="27"/>
      <c r="F123" s="24"/>
      <c r="G123" s="24"/>
      <c r="H123" s="24"/>
    </row>
    <row r="124" spans="2:9" x14ac:dyDescent="0.4">
      <c r="B124" s="24"/>
      <c r="C124" s="27"/>
      <c r="D124" s="24"/>
      <c r="E124" s="27"/>
      <c r="F124" s="24"/>
      <c r="G124" s="24"/>
      <c r="H124" s="24"/>
    </row>
    <row r="125" spans="2:9" x14ac:dyDescent="0.4">
      <c r="B125" s="31" t="s">
        <v>65</v>
      </c>
      <c r="C125" s="27"/>
      <c r="D125" s="27"/>
      <c r="E125" s="32"/>
      <c r="F125" s="24"/>
      <c r="G125" s="24"/>
      <c r="H125" s="24"/>
    </row>
    <row r="126" spans="2:9" x14ac:dyDescent="0.4">
      <c r="B126" s="33" t="s">
        <v>42</v>
      </c>
      <c r="C126" s="27"/>
      <c r="D126" s="34"/>
      <c r="E126" s="35">
        <f>D123/H128</f>
        <v>322.22222222222223</v>
      </c>
      <c r="F126" s="24">
        <v>250000</v>
      </c>
      <c r="G126" s="24" t="s">
        <v>66</v>
      </c>
      <c r="H126" s="24"/>
      <c r="I126" s="2" t="s">
        <v>67</v>
      </c>
    </row>
    <row r="127" spans="2:9" x14ac:dyDescent="0.4">
      <c r="B127" s="36"/>
      <c r="C127" s="37"/>
      <c r="D127" s="37"/>
      <c r="E127" s="38"/>
      <c r="F127" s="24">
        <v>170000</v>
      </c>
      <c r="G127" s="24" t="s">
        <v>68</v>
      </c>
      <c r="H127" s="24"/>
      <c r="I127" s="2" t="s">
        <v>69</v>
      </c>
    </row>
    <row r="128" spans="2:9" x14ac:dyDescent="0.4">
      <c r="B128" s="27"/>
      <c r="C128" s="27"/>
      <c r="D128" s="27"/>
      <c r="E128" s="27"/>
      <c r="F128" s="24" t="s">
        <v>70</v>
      </c>
      <c r="G128" s="24"/>
      <c r="H128" s="24">
        <f>1000*6*0.15</f>
        <v>900</v>
      </c>
    </row>
    <row r="129" spans="2:8" x14ac:dyDescent="0.4">
      <c r="B129" s="27" t="s">
        <v>71</v>
      </c>
      <c r="C129" s="24"/>
      <c r="D129" s="24"/>
      <c r="E129" s="30"/>
      <c r="F129" s="24"/>
      <c r="G129" s="24"/>
      <c r="H129" s="24"/>
    </row>
    <row r="130" spans="2:8" x14ac:dyDescent="0.4">
      <c r="B130" s="24" t="s">
        <v>72</v>
      </c>
      <c r="C130" s="27">
        <v>250000</v>
      </c>
      <c r="D130" s="24"/>
      <c r="E130" s="27"/>
      <c r="F130" s="24"/>
      <c r="G130" s="24"/>
      <c r="H130" s="24"/>
    </row>
    <row r="131" spans="2:8" x14ac:dyDescent="0.4">
      <c r="B131" s="24" t="s">
        <v>64</v>
      </c>
      <c r="C131" s="27">
        <v>150000</v>
      </c>
      <c r="D131" s="24">
        <f>C130+C131</f>
        <v>400000</v>
      </c>
      <c r="E131" s="27"/>
      <c r="F131" s="24"/>
      <c r="G131" s="24"/>
      <c r="H131" s="24"/>
    </row>
    <row r="132" spans="2:8" x14ac:dyDescent="0.4">
      <c r="B132" s="24"/>
      <c r="C132" s="27"/>
      <c r="D132" s="24"/>
      <c r="E132" s="27"/>
      <c r="F132" s="24"/>
      <c r="G132" s="24"/>
      <c r="H132" s="24"/>
    </row>
    <row r="133" spans="2:8" x14ac:dyDescent="0.4">
      <c r="B133" s="31" t="s">
        <v>65</v>
      </c>
      <c r="C133" s="27"/>
      <c r="D133" s="27"/>
      <c r="E133" s="39"/>
      <c r="F133" s="24"/>
      <c r="G133" s="24"/>
      <c r="H133" s="24"/>
    </row>
    <row r="134" spans="2:8" x14ac:dyDescent="0.4">
      <c r="B134" s="33" t="s">
        <v>42</v>
      </c>
      <c r="C134" s="27"/>
      <c r="D134" s="34"/>
      <c r="E134" s="35">
        <f>D131/H128</f>
        <v>444.44444444444446</v>
      </c>
      <c r="F134" s="24"/>
      <c r="G134" s="24"/>
      <c r="H134" s="24"/>
    </row>
    <row r="135" spans="2:8" x14ac:dyDescent="0.4">
      <c r="B135" s="33"/>
      <c r="C135" s="27"/>
      <c r="D135" s="34"/>
      <c r="E135" s="35"/>
      <c r="F135" s="24"/>
      <c r="G135" s="24"/>
      <c r="H135" s="24"/>
    </row>
    <row r="136" spans="2:8" x14ac:dyDescent="0.4">
      <c r="B136" s="33"/>
      <c r="C136" s="27"/>
      <c r="D136" s="34"/>
      <c r="E136" s="35">
        <f>E134+E126+E120</f>
        <v>17945.029239766085</v>
      </c>
      <c r="F136" s="24"/>
      <c r="G136" s="24"/>
      <c r="H136" s="24"/>
    </row>
    <row r="137" spans="2:8" x14ac:dyDescent="0.4">
      <c r="B137" s="33" t="s">
        <v>48</v>
      </c>
      <c r="C137" s="27"/>
      <c r="D137" s="34"/>
      <c r="E137" s="35">
        <f>E136*25%</f>
        <v>4486.2573099415213</v>
      </c>
      <c r="F137" s="24"/>
      <c r="G137" s="24"/>
      <c r="H137" s="24"/>
    </row>
    <row r="138" spans="2:8" x14ac:dyDescent="0.4">
      <c r="B138" s="40" t="s">
        <v>49</v>
      </c>
      <c r="C138" s="27"/>
      <c r="D138" s="27"/>
      <c r="E138" s="35">
        <f>SUM(E136:E137)</f>
        <v>22431.286549707605</v>
      </c>
      <c r="F138" s="24"/>
      <c r="G138" s="24"/>
      <c r="H138" s="24"/>
    </row>
    <row r="139" spans="2:8" x14ac:dyDescent="0.4">
      <c r="B139" s="27"/>
      <c r="C139" s="27"/>
      <c r="D139" s="27"/>
      <c r="E139" s="27"/>
      <c r="F139" s="24"/>
      <c r="G139" s="24"/>
      <c r="H139" s="24"/>
    </row>
    <row r="140" spans="2:8" ht="15" customHeight="1" x14ac:dyDescent="0.4">
      <c r="B140" s="27"/>
      <c r="C140" s="27"/>
      <c r="D140" s="41"/>
      <c r="E140" s="27"/>
    </row>
    <row r="141" spans="2:8" x14ac:dyDescent="0.4">
      <c r="B141" s="1" t="s">
        <v>73</v>
      </c>
    </row>
    <row r="142" spans="2:8" x14ac:dyDescent="0.4">
      <c r="B142" s="1" t="s">
        <v>1</v>
      </c>
    </row>
    <row r="143" spans="2:8" x14ac:dyDescent="0.4">
      <c r="B143" s="3" t="s">
        <v>2</v>
      </c>
      <c r="C143" s="4" t="s">
        <v>3</v>
      </c>
    </row>
    <row r="144" spans="2:8" x14ac:dyDescent="0.4">
      <c r="B144" s="2" t="s">
        <v>74</v>
      </c>
      <c r="C144" s="5">
        <v>440000</v>
      </c>
    </row>
    <row r="145" spans="2:8" x14ac:dyDescent="0.4">
      <c r="B145" s="2" t="s">
        <v>75</v>
      </c>
      <c r="C145" s="5">
        <v>6000</v>
      </c>
    </row>
    <row r="146" spans="2:8" x14ac:dyDescent="0.4">
      <c r="B146" s="2" t="s">
        <v>76</v>
      </c>
      <c r="C146" s="5">
        <v>20000</v>
      </c>
    </row>
    <row r="147" spans="2:8" x14ac:dyDescent="0.4">
      <c r="B147" s="2" t="s">
        <v>77</v>
      </c>
      <c r="C147" s="42">
        <v>0.05</v>
      </c>
    </row>
    <row r="148" spans="2:8" x14ac:dyDescent="0.4">
      <c r="B148" s="2" t="s">
        <v>78</v>
      </c>
      <c r="C148" s="42" t="s">
        <v>79</v>
      </c>
    </row>
    <row r="149" spans="2:8" x14ac:dyDescent="0.4">
      <c r="B149" s="2" t="s">
        <v>29</v>
      </c>
      <c r="C149" s="43">
        <v>0.2</v>
      </c>
    </row>
    <row r="150" spans="2:8" x14ac:dyDescent="0.4">
      <c r="B150" s="3" t="s">
        <v>73</v>
      </c>
      <c r="C150" s="6"/>
      <c r="D150" s="6"/>
      <c r="E150" s="23"/>
    </row>
    <row r="151" spans="2:8" x14ac:dyDescent="0.4">
      <c r="B151" s="24" t="s">
        <v>80</v>
      </c>
      <c r="C151" s="25">
        <f>C144</f>
        <v>440000</v>
      </c>
      <c r="D151" s="24"/>
      <c r="E151" s="24"/>
      <c r="F151" s="24"/>
      <c r="G151" s="24"/>
      <c r="H151" s="24"/>
    </row>
    <row r="152" spans="2:8" x14ac:dyDescent="0.4">
      <c r="B152" s="27" t="s">
        <v>81</v>
      </c>
      <c r="C152" s="44">
        <f>C145</f>
        <v>6000</v>
      </c>
      <c r="D152" s="25">
        <f>C151+C152</f>
        <v>446000</v>
      </c>
      <c r="E152" s="27"/>
      <c r="F152" s="24"/>
      <c r="G152" s="24"/>
      <c r="H152" s="24"/>
    </row>
    <row r="153" spans="2:8" x14ac:dyDescent="0.4">
      <c r="B153" s="27" t="s">
        <v>82</v>
      </c>
      <c r="C153" s="27"/>
      <c r="D153" s="28">
        <f>D152*0.025</f>
        <v>11150</v>
      </c>
      <c r="E153" s="27"/>
      <c r="F153" s="24"/>
      <c r="G153" s="24"/>
      <c r="H153" s="24"/>
    </row>
    <row r="154" spans="2:8" x14ac:dyDescent="0.4">
      <c r="B154" s="27"/>
      <c r="C154" s="24"/>
      <c r="D154" s="45"/>
      <c r="E154" s="46">
        <f>D152+D153</f>
        <v>457150</v>
      </c>
      <c r="F154" s="24"/>
      <c r="G154" s="24"/>
      <c r="H154" s="24"/>
    </row>
    <row r="155" spans="2:8" x14ac:dyDescent="0.4">
      <c r="B155" s="47" t="s">
        <v>45</v>
      </c>
      <c r="C155" s="27"/>
      <c r="D155" s="24"/>
      <c r="E155" s="27"/>
      <c r="F155" s="24"/>
      <c r="G155" s="24"/>
      <c r="H155" s="24"/>
    </row>
    <row r="156" spans="2:8" x14ac:dyDescent="0.4">
      <c r="B156" s="24" t="s">
        <v>83</v>
      </c>
      <c r="C156" s="27"/>
      <c r="D156" s="24"/>
      <c r="E156" s="48">
        <f>C146</f>
        <v>20000</v>
      </c>
      <c r="F156" s="24"/>
      <c r="G156" s="24"/>
      <c r="H156" s="24"/>
    </row>
    <row r="157" spans="2:8" x14ac:dyDescent="0.4">
      <c r="B157" s="49" t="s">
        <v>84</v>
      </c>
      <c r="C157" s="27"/>
      <c r="D157" s="27"/>
      <c r="E157" s="32">
        <f>SUM(E154:E156)</f>
        <v>477150</v>
      </c>
      <c r="F157" s="24"/>
      <c r="G157" s="24"/>
      <c r="H157" s="24"/>
    </row>
    <row r="158" spans="2:8" x14ac:dyDescent="0.4">
      <c r="B158" s="19" t="s">
        <v>85</v>
      </c>
      <c r="C158" s="27"/>
      <c r="D158" s="34"/>
      <c r="E158" s="35">
        <f>E157*0.25</f>
        <v>119287.5</v>
      </c>
      <c r="F158" s="24"/>
      <c r="G158" s="24"/>
      <c r="H158" s="24"/>
    </row>
    <row r="159" spans="2:8" x14ac:dyDescent="0.4">
      <c r="B159" s="36" t="s">
        <v>86</v>
      </c>
      <c r="C159" s="37"/>
      <c r="D159" s="37"/>
      <c r="E159" s="38">
        <f>SUM(E157:E158)</f>
        <v>596437.5</v>
      </c>
      <c r="F159" s="24">
        <v>550</v>
      </c>
      <c r="G159" s="24"/>
      <c r="H159" s="24"/>
    </row>
    <row r="160" spans="2:8" x14ac:dyDescent="0.4">
      <c r="B160" s="27"/>
      <c r="C160" s="27"/>
      <c r="D160" s="27"/>
      <c r="E160" s="27"/>
      <c r="F160" s="24"/>
      <c r="G160" s="24"/>
      <c r="H160" s="24"/>
    </row>
    <row r="161" spans="2:8" ht="15" customHeight="1" x14ac:dyDescent="0.4">
      <c r="B161" s="27"/>
      <c r="C161" s="27"/>
      <c r="D161" s="41"/>
      <c r="E161" s="27"/>
      <c r="F161" s="24"/>
      <c r="G161" s="24"/>
      <c r="H161" s="24"/>
    </row>
    <row r="162" spans="2:8" x14ac:dyDescent="0.4">
      <c r="B162" s="1" t="s">
        <v>87</v>
      </c>
      <c r="C162" s="6"/>
      <c r="D162" s="6"/>
      <c r="E162" s="6"/>
    </row>
    <row r="163" spans="2:8" x14ac:dyDescent="0.4">
      <c r="B163" s="1" t="s">
        <v>88</v>
      </c>
      <c r="C163" s="50"/>
      <c r="D163" s="50"/>
      <c r="E163" s="6"/>
    </row>
    <row r="164" spans="2:8" x14ac:dyDescent="0.4">
      <c r="B164" s="1" t="s">
        <v>89</v>
      </c>
      <c r="C164" s="6"/>
      <c r="D164" s="6"/>
      <c r="E164" s="6"/>
    </row>
    <row r="165" spans="2:8" x14ac:dyDescent="0.4">
      <c r="B165" s="51"/>
      <c r="C165" s="6"/>
      <c r="D165" s="6"/>
      <c r="E165" s="6"/>
    </row>
    <row r="166" spans="2:8" x14ac:dyDescent="0.4">
      <c r="B166" s="2" t="s">
        <v>90</v>
      </c>
      <c r="C166" s="6" t="s">
        <v>91</v>
      </c>
      <c r="D166" s="6"/>
      <c r="E166" s="7"/>
    </row>
    <row r="167" spans="2:8" x14ac:dyDescent="0.4">
      <c r="B167" s="2" t="s">
        <v>92</v>
      </c>
      <c r="D167" s="6">
        <f>18500/2.88</f>
        <v>6423.6111111111113</v>
      </c>
      <c r="E167" s="7"/>
    </row>
    <row r="168" spans="2:8" x14ac:dyDescent="0.4">
      <c r="B168" s="2" t="s">
        <v>93</v>
      </c>
      <c r="C168" s="6" t="s">
        <v>94</v>
      </c>
      <c r="D168" s="6"/>
      <c r="E168" s="7"/>
    </row>
    <row r="169" spans="2:8" x14ac:dyDescent="0.4">
      <c r="B169" s="2" t="s">
        <v>95</v>
      </c>
      <c r="C169" s="6"/>
      <c r="D169" s="6">
        <f>400*1</f>
        <v>400</v>
      </c>
      <c r="E169" s="7"/>
    </row>
    <row r="170" spans="2:8" x14ac:dyDescent="0.4">
      <c r="B170" s="2" t="s">
        <v>96</v>
      </c>
      <c r="C170" s="6" t="s">
        <v>97</v>
      </c>
      <c r="D170" s="6"/>
      <c r="E170" s="7"/>
    </row>
    <row r="171" spans="2:8" x14ac:dyDescent="0.4">
      <c r="B171" s="2" t="s">
        <v>98</v>
      </c>
      <c r="C171" s="6"/>
      <c r="D171" s="6">
        <f>400*2.51</f>
        <v>1003.9999999999999</v>
      </c>
      <c r="E171" s="7"/>
    </row>
    <row r="172" spans="2:8" x14ac:dyDescent="0.4">
      <c r="C172" s="6"/>
      <c r="D172" s="6"/>
      <c r="E172" s="52">
        <f>SUM(D167:D171)</f>
        <v>7827.6111111111113</v>
      </c>
    </row>
    <row r="173" spans="2:8" x14ac:dyDescent="0.4">
      <c r="B173" s="2" t="s">
        <v>99</v>
      </c>
      <c r="C173" s="8">
        <v>0.15</v>
      </c>
      <c r="D173" s="6"/>
      <c r="E173" s="14">
        <f>E172*0.15</f>
        <v>1174.1416666666667</v>
      </c>
    </row>
    <row r="174" spans="2:8" x14ac:dyDescent="0.4">
      <c r="C174" s="6"/>
      <c r="D174" s="6"/>
      <c r="E174" s="53">
        <f>SUM(E172:E173)</f>
        <v>9001.7527777777777</v>
      </c>
    </row>
    <row r="175" spans="2:8" x14ac:dyDescent="0.4">
      <c r="B175" s="33" t="s">
        <v>100</v>
      </c>
      <c r="C175" s="8"/>
      <c r="D175" s="6"/>
      <c r="E175" s="14">
        <f>E174/3</f>
        <v>3000.5842592592594</v>
      </c>
    </row>
    <row r="176" spans="2:8" x14ac:dyDescent="0.4">
      <c r="B176" s="33" t="s">
        <v>101</v>
      </c>
      <c r="C176" s="6"/>
      <c r="D176" s="6"/>
      <c r="E176" s="14">
        <v>300</v>
      </c>
    </row>
    <row r="177" spans="2:6" x14ac:dyDescent="0.4">
      <c r="B177" s="33" t="s">
        <v>102</v>
      </c>
      <c r="C177" s="6"/>
      <c r="D177" s="6"/>
      <c r="E177" s="14">
        <f>200*0.2</f>
        <v>40</v>
      </c>
    </row>
    <row r="178" spans="2:6" x14ac:dyDescent="0.4">
      <c r="C178" s="6"/>
      <c r="D178" s="6"/>
      <c r="E178" s="54">
        <f>SUM(E175:E177)</f>
        <v>3340.5842592592594</v>
      </c>
    </row>
    <row r="179" spans="2:6" x14ac:dyDescent="0.4">
      <c r="B179" s="19" t="s">
        <v>45</v>
      </c>
      <c r="C179" s="6"/>
      <c r="D179" s="6"/>
      <c r="E179" s="55">
        <v>650</v>
      </c>
    </row>
    <row r="180" spans="2:6" x14ac:dyDescent="0.4">
      <c r="B180" s="19" t="s">
        <v>103</v>
      </c>
      <c r="C180" s="6"/>
      <c r="D180" s="6"/>
      <c r="E180" s="54">
        <f>SUM(E178:E179)</f>
        <v>3990.5842592592594</v>
      </c>
    </row>
    <row r="181" spans="2:6" x14ac:dyDescent="0.4">
      <c r="B181" s="33" t="s">
        <v>48</v>
      </c>
      <c r="C181" s="6"/>
      <c r="D181" s="6"/>
      <c r="E181" s="14">
        <f>E180*0.25</f>
        <v>997.64606481481485</v>
      </c>
      <c r="F181" s="2">
        <v>4000</v>
      </c>
    </row>
    <row r="182" spans="2:6" x14ac:dyDescent="0.4">
      <c r="B182" s="56" t="s">
        <v>104</v>
      </c>
      <c r="C182" s="4"/>
      <c r="D182" s="4"/>
      <c r="E182" s="57">
        <f>SUM(E180:E181)</f>
        <v>4988.2303240740739</v>
      </c>
      <c r="F182" s="2">
        <v>4500</v>
      </c>
    </row>
    <row r="183" spans="2:6" x14ac:dyDescent="0.4">
      <c r="C183" s="6"/>
      <c r="D183" s="6"/>
      <c r="E183" s="58"/>
    </row>
    <row r="184" spans="2:6" x14ac:dyDescent="0.4">
      <c r="B184" s="1" t="s">
        <v>105</v>
      </c>
      <c r="C184" s="50"/>
      <c r="D184" s="50"/>
      <c r="E184" s="6"/>
    </row>
    <row r="185" spans="2:6" x14ac:dyDescent="0.4">
      <c r="B185" s="1" t="s">
        <v>89</v>
      </c>
      <c r="C185" s="6"/>
      <c r="D185" s="6"/>
      <c r="E185" s="6"/>
    </row>
    <row r="186" spans="2:6" x14ac:dyDescent="0.4">
      <c r="B186" s="51"/>
      <c r="C186" s="6"/>
      <c r="D186" s="6"/>
      <c r="E186" s="6"/>
    </row>
    <row r="187" spans="2:6" x14ac:dyDescent="0.4">
      <c r="B187" s="2" t="s">
        <v>90</v>
      </c>
      <c r="C187" s="6" t="s">
        <v>91</v>
      </c>
      <c r="D187" s="6"/>
      <c r="E187" s="7"/>
    </row>
    <row r="188" spans="2:6" x14ac:dyDescent="0.4">
      <c r="B188" s="2" t="s">
        <v>92</v>
      </c>
      <c r="D188" s="6">
        <f>16000/2.88</f>
        <v>5555.5555555555557</v>
      </c>
      <c r="E188" s="7"/>
    </row>
    <row r="189" spans="2:6" x14ac:dyDescent="0.4">
      <c r="B189" s="2" t="s">
        <v>106</v>
      </c>
      <c r="C189" s="6" t="s">
        <v>107</v>
      </c>
      <c r="D189" s="6"/>
      <c r="E189" s="7"/>
    </row>
    <row r="190" spans="2:6" x14ac:dyDescent="0.4">
      <c r="B190" s="2" t="s">
        <v>108</v>
      </c>
      <c r="C190" s="6"/>
      <c r="D190" s="6">
        <f>600*1.2</f>
        <v>720</v>
      </c>
      <c r="E190" s="7"/>
    </row>
    <row r="191" spans="2:6" ht="39" x14ac:dyDescent="0.4">
      <c r="B191" s="59" t="s">
        <v>109</v>
      </c>
      <c r="C191" s="6" t="s">
        <v>110</v>
      </c>
      <c r="D191" s="6"/>
      <c r="E191" s="7"/>
    </row>
    <row r="192" spans="2:6" x14ac:dyDescent="0.4">
      <c r="B192" s="2" t="s">
        <v>111</v>
      </c>
      <c r="C192" s="6"/>
      <c r="D192" s="6">
        <f>400*7</f>
        <v>2800</v>
      </c>
      <c r="E192" s="7"/>
    </row>
    <row r="193" spans="2:7" x14ac:dyDescent="0.4">
      <c r="C193" s="6"/>
      <c r="D193" s="6"/>
      <c r="E193" s="52">
        <f>SUM(D188:D192)</f>
        <v>9075.5555555555547</v>
      </c>
    </row>
    <row r="194" spans="2:7" x14ac:dyDescent="0.4">
      <c r="B194" s="2" t="s">
        <v>112</v>
      </c>
      <c r="C194" s="8">
        <v>0.15</v>
      </c>
      <c r="D194" s="6"/>
      <c r="E194" s="14">
        <f>E193*0.15</f>
        <v>1361.3333333333333</v>
      </c>
    </row>
    <row r="195" spans="2:7" x14ac:dyDescent="0.4">
      <c r="C195" s="6"/>
      <c r="D195" s="6"/>
      <c r="E195" s="53">
        <f>SUM(E193:E194)</f>
        <v>10436.888888888889</v>
      </c>
    </row>
    <row r="196" spans="2:7" x14ac:dyDescent="0.4">
      <c r="B196" s="33" t="s">
        <v>100</v>
      </c>
      <c r="C196" s="8"/>
      <c r="D196" s="6"/>
      <c r="E196" s="14">
        <f>E195/3</f>
        <v>3478.962962962963</v>
      </c>
    </row>
    <row r="197" spans="2:7" x14ac:dyDescent="0.4">
      <c r="B197" s="33" t="s">
        <v>101</v>
      </c>
      <c r="C197" s="6"/>
      <c r="D197" s="6"/>
      <c r="E197" s="14">
        <v>300</v>
      </c>
    </row>
    <row r="198" spans="2:7" x14ac:dyDescent="0.4">
      <c r="B198" s="33" t="s">
        <v>102</v>
      </c>
      <c r="C198" s="6"/>
      <c r="D198" s="6"/>
      <c r="E198" s="14">
        <f>200*0.2</f>
        <v>40</v>
      </c>
    </row>
    <row r="199" spans="2:7" x14ac:dyDescent="0.4">
      <c r="C199" s="6"/>
      <c r="D199" s="6"/>
      <c r="E199" s="54">
        <f>SUM(E196:E198)</f>
        <v>3818.962962962963</v>
      </c>
    </row>
    <row r="200" spans="2:7" x14ac:dyDescent="0.4">
      <c r="B200" s="19" t="s">
        <v>45</v>
      </c>
      <c r="C200" s="6"/>
      <c r="D200" s="6"/>
      <c r="E200" s="55">
        <v>700</v>
      </c>
    </row>
    <row r="201" spans="2:7" x14ac:dyDescent="0.4">
      <c r="B201" s="19" t="s">
        <v>103</v>
      </c>
      <c r="C201" s="6"/>
      <c r="D201" s="6"/>
      <c r="E201" s="54">
        <f>SUM(E199:E200)</f>
        <v>4518.9629629629635</v>
      </c>
    </row>
    <row r="202" spans="2:7" x14ac:dyDescent="0.4">
      <c r="B202" s="33" t="s">
        <v>48</v>
      </c>
      <c r="C202" s="6"/>
      <c r="D202" s="6"/>
      <c r="E202" s="14">
        <f>E201*0.25</f>
        <v>1129.7407407407409</v>
      </c>
    </row>
    <row r="203" spans="2:7" x14ac:dyDescent="0.4">
      <c r="B203" s="56" t="s">
        <v>104</v>
      </c>
      <c r="C203" s="4"/>
      <c r="D203" s="4"/>
      <c r="E203" s="57">
        <f>SUM(E201:E202)</f>
        <v>5648.7037037037044</v>
      </c>
    </row>
    <row r="204" spans="2:7" x14ac:dyDescent="0.4">
      <c r="B204" s="60" t="s">
        <v>113</v>
      </c>
      <c r="C204" s="4"/>
      <c r="D204" s="4"/>
      <c r="E204" s="61"/>
    </row>
    <row r="205" spans="2:7" x14ac:dyDescent="0.4">
      <c r="B205" s="3" t="s">
        <v>2</v>
      </c>
      <c r="C205" s="4" t="s">
        <v>3</v>
      </c>
      <c r="D205" s="62"/>
      <c r="E205" s="62"/>
      <c r="F205" s="62"/>
      <c r="G205" s="62"/>
    </row>
    <row r="206" spans="2:7" x14ac:dyDescent="0.4">
      <c r="B206" s="62" t="s">
        <v>114</v>
      </c>
      <c r="D206" s="62"/>
      <c r="E206" s="62"/>
      <c r="F206" s="62"/>
      <c r="G206" s="62"/>
    </row>
    <row r="207" spans="2:7" x14ac:dyDescent="0.4">
      <c r="B207" s="62" t="s">
        <v>115</v>
      </c>
      <c r="D207" s="62"/>
      <c r="E207" s="62"/>
      <c r="F207" s="62"/>
      <c r="G207" s="62"/>
    </row>
    <row r="208" spans="2:7" x14ac:dyDescent="0.4">
      <c r="B208" s="62" t="s">
        <v>116</v>
      </c>
      <c r="D208" s="62"/>
      <c r="E208" s="62"/>
      <c r="F208" s="62"/>
      <c r="G208" s="62"/>
    </row>
    <row r="209" spans="2:7" x14ac:dyDescent="0.4">
      <c r="B209" s="62" t="s">
        <v>117</v>
      </c>
      <c r="C209" s="62">
        <v>300</v>
      </c>
      <c r="D209" s="62"/>
      <c r="E209" s="62"/>
      <c r="F209" s="62"/>
      <c r="G209" s="62"/>
    </row>
    <row r="210" spans="2:7" x14ac:dyDescent="0.4">
      <c r="B210" s="62" t="s">
        <v>118</v>
      </c>
      <c r="C210" s="62">
        <v>50</v>
      </c>
      <c r="D210" s="62"/>
      <c r="E210" s="62"/>
      <c r="F210" s="62"/>
      <c r="G210" s="62"/>
    </row>
    <row r="211" spans="2:7" x14ac:dyDescent="0.4">
      <c r="B211" s="62" t="s">
        <v>115</v>
      </c>
      <c r="C211" s="62"/>
      <c r="D211" s="62"/>
      <c r="E211" s="62"/>
      <c r="F211" s="62"/>
      <c r="G211" s="62"/>
    </row>
    <row r="212" spans="2:7" x14ac:dyDescent="0.4">
      <c r="B212" s="63" t="s">
        <v>119</v>
      </c>
      <c r="C212" s="62"/>
      <c r="D212" s="62"/>
      <c r="E212" s="62"/>
      <c r="F212" s="62"/>
      <c r="G212" s="62"/>
    </row>
    <row r="213" spans="2:7" x14ac:dyDescent="0.4">
      <c r="B213" s="62" t="s">
        <v>120</v>
      </c>
      <c r="C213" s="62"/>
      <c r="D213" s="62"/>
      <c r="E213" s="64">
        <f>C209*10</f>
        <v>3000</v>
      </c>
      <c r="F213" s="62"/>
      <c r="G213" s="62"/>
    </row>
    <row r="214" spans="2:7" x14ac:dyDescent="0.4">
      <c r="B214" s="62" t="s">
        <v>121</v>
      </c>
      <c r="C214" s="62"/>
      <c r="D214" s="62"/>
      <c r="E214" s="64">
        <f>E213*2.5%</f>
        <v>75</v>
      </c>
      <c r="F214" s="62"/>
      <c r="G214" s="62"/>
    </row>
    <row r="215" spans="2:7" x14ac:dyDescent="0.4">
      <c r="B215" s="62"/>
      <c r="C215" s="62"/>
      <c r="D215" s="62"/>
      <c r="E215" s="65">
        <f>SUM(E213:E214)</f>
        <v>3075</v>
      </c>
      <c r="F215" s="62"/>
      <c r="G215" s="62"/>
    </row>
    <row r="216" spans="2:7" x14ac:dyDescent="0.4">
      <c r="B216" s="63" t="s">
        <v>122</v>
      </c>
      <c r="C216" s="62"/>
      <c r="D216" s="62"/>
      <c r="E216" s="66"/>
      <c r="F216" s="62"/>
      <c r="G216" s="62"/>
    </row>
    <row r="217" spans="2:7" x14ac:dyDescent="0.4">
      <c r="B217" s="62" t="s">
        <v>123</v>
      </c>
      <c r="C217" s="62"/>
      <c r="D217" s="62"/>
      <c r="E217" s="64">
        <f>((1/5*1.35*28.8)*0.003*10)*C4</f>
        <v>979.77600000000007</v>
      </c>
      <c r="F217" s="62"/>
      <c r="G217" s="62"/>
    </row>
    <row r="218" spans="2:7" x14ac:dyDescent="0.4">
      <c r="B218" s="62"/>
      <c r="C218" s="62"/>
      <c r="D218" s="62"/>
      <c r="E218" s="64"/>
      <c r="F218" s="62"/>
      <c r="G218" s="62"/>
    </row>
    <row r="219" spans="2:7" x14ac:dyDescent="0.4">
      <c r="B219" s="63" t="s">
        <v>124</v>
      </c>
      <c r="C219" s="62"/>
      <c r="D219" s="62"/>
      <c r="E219" s="64"/>
      <c r="F219" s="62"/>
      <c r="G219" s="62"/>
    </row>
    <row r="220" spans="2:7" x14ac:dyDescent="0.4">
      <c r="B220" s="62" t="s">
        <v>125</v>
      </c>
      <c r="C220" s="62"/>
      <c r="D220" s="62"/>
      <c r="E220" s="64">
        <f>(0.003*1.35)*10*C13</f>
        <v>255.68181818181822</v>
      </c>
      <c r="F220" s="62"/>
      <c r="G220" s="62"/>
    </row>
    <row r="221" spans="2:7" x14ac:dyDescent="0.4">
      <c r="C221" s="62"/>
      <c r="D221" s="62"/>
      <c r="E221" s="66"/>
      <c r="F221" s="62"/>
      <c r="G221" s="62"/>
    </row>
    <row r="222" spans="2:7" x14ac:dyDescent="0.4">
      <c r="B222" s="63" t="s">
        <v>126</v>
      </c>
      <c r="C222" s="62"/>
      <c r="D222" s="62"/>
      <c r="E222" s="64"/>
      <c r="F222" s="62"/>
      <c r="G222" s="62"/>
    </row>
    <row r="223" spans="2:7" x14ac:dyDescent="0.4">
      <c r="B223" s="62" t="s">
        <v>127</v>
      </c>
      <c r="C223" s="62"/>
      <c r="D223" s="62"/>
      <c r="E223" s="66">
        <f>C210*10</f>
        <v>500</v>
      </c>
      <c r="F223" s="62"/>
      <c r="G223" s="62"/>
    </row>
    <row r="224" spans="2:7" x14ac:dyDescent="0.4">
      <c r="B224" s="67" t="s">
        <v>128</v>
      </c>
      <c r="C224" s="62"/>
      <c r="D224" s="62"/>
      <c r="E224" s="65">
        <f>SUM(E215:E223)</f>
        <v>4810.4578181818179</v>
      </c>
      <c r="F224" s="62"/>
      <c r="G224" s="62"/>
    </row>
    <row r="225" spans="2:7" x14ac:dyDescent="0.4">
      <c r="B225" s="67" t="s">
        <v>129</v>
      </c>
      <c r="C225" s="62"/>
      <c r="D225" s="62"/>
      <c r="E225" s="68">
        <f>E224*25%</f>
        <v>1202.6144545454545</v>
      </c>
      <c r="F225" s="62"/>
      <c r="G225" s="62"/>
    </row>
    <row r="226" spans="2:7" x14ac:dyDescent="0.4">
      <c r="B226" s="69" t="s">
        <v>130</v>
      </c>
      <c r="C226" s="70"/>
      <c r="D226" s="70"/>
      <c r="E226" s="71">
        <f>SUM(E224:E225)</f>
        <v>6013.0722727272723</v>
      </c>
      <c r="F226" s="62"/>
      <c r="G226" s="62"/>
    </row>
    <row r="227" spans="2:7" x14ac:dyDescent="0.4">
      <c r="B227" s="62"/>
      <c r="C227" s="62"/>
      <c r="D227" s="62"/>
      <c r="E227" s="62"/>
      <c r="F227" s="62"/>
      <c r="G227" s="62"/>
    </row>
    <row r="228" spans="2:7" x14ac:dyDescent="0.4">
      <c r="B228" s="60" t="s">
        <v>131</v>
      </c>
      <c r="C228" s="4"/>
      <c r="D228" s="4"/>
      <c r="E228" s="61"/>
    </row>
    <row r="229" spans="2:7" x14ac:dyDescent="0.4">
      <c r="B229" s="3" t="s">
        <v>2</v>
      </c>
      <c r="C229" s="4" t="s">
        <v>3</v>
      </c>
      <c r="D229" s="62"/>
      <c r="E229" s="62"/>
      <c r="F229" s="62"/>
      <c r="G229" s="62"/>
    </row>
    <row r="230" spans="2:7" x14ac:dyDescent="0.4">
      <c r="B230" s="62" t="s">
        <v>114</v>
      </c>
      <c r="D230" s="62"/>
      <c r="E230" s="62"/>
      <c r="F230" s="62"/>
      <c r="G230" s="62"/>
    </row>
    <row r="231" spans="2:7" x14ac:dyDescent="0.4">
      <c r="B231" s="62" t="s">
        <v>115</v>
      </c>
      <c r="D231" s="62"/>
      <c r="E231" s="62"/>
      <c r="F231" s="62"/>
      <c r="G231" s="62"/>
    </row>
    <row r="232" spans="2:7" x14ac:dyDescent="0.4">
      <c r="B232" s="62" t="s">
        <v>132</v>
      </c>
      <c r="D232" s="62"/>
      <c r="E232" s="62"/>
      <c r="F232" s="62"/>
      <c r="G232" s="62"/>
    </row>
    <row r="233" spans="2:7" x14ac:dyDescent="0.4">
      <c r="B233" s="62" t="s">
        <v>117</v>
      </c>
      <c r="C233" s="62">
        <v>280</v>
      </c>
      <c r="D233" s="62"/>
      <c r="E233" s="62"/>
      <c r="F233" s="62"/>
      <c r="G233" s="62"/>
    </row>
    <row r="234" spans="2:7" x14ac:dyDescent="0.4">
      <c r="B234" s="62" t="s">
        <v>118</v>
      </c>
      <c r="C234" s="62">
        <v>50</v>
      </c>
      <c r="D234" s="62"/>
      <c r="E234" s="62"/>
      <c r="F234" s="62"/>
      <c r="G234" s="62"/>
    </row>
    <row r="235" spans="2:7" x14ac:dyDescent="0.4">
      <c r="B235" s="62" t="s">
        <v>115</v>
      </c>
      <c r="C235" s="62"/>
      <c r="D235" s="62"/>
      <c r="E235" s="62"/>
      <c r="F235" s="62"/>
      <c r="G235" s="62"/>
    </row>
    <row r="236" spans="2:7" x14ac:dyDescent="0.4">
      <c r="B236" s="63" t="s">
        <v>119</v>
      </c>
      <c r="C236" s="62"/>
      <c r="D236" s="62"/>
      <c r="E236" s="62"/>
      <c r="F236" s="62"/>
      <c r="G236" s="62"/>
    </row>
    <row r="237" spans="2:7" x14ac:dyDescent="0.4">
      <c r="B237" s="62" t="s">
        <v>120</v>
      </c>
      <c r="C237" s="62"/>
      <c r="D237" s="62"/>
      <c r="E237" s="64">
        <f>C233*10</f>
        <v>2800</v>
      </c>
      <c r="F237" s="62"/>
      <c r="G237" s="62"/>
    </row>
    <row r="238" spans="2:7" x14ac:dyDescent="0.4">
      <c r="B238" s="62" t="s">
        <v>133</v>
      </c>
      <c r="C238" s="62"/>
      <c r="D238" s="62"/>
      <c r="E238" s="64">
        <f>E237*5%</f>
        <v>140</v>
      </c>
      <c r="F238" s="62"/>
      <c r="G238" s="62"/>
    </row>
    <row r="239" spans="2:7" x14ac:dyDescent="0.4">
      <c r="B239" s="62"/>
      <c r="C239" s="62"/>
      <c r="D239" s="62"/>
      <c r="E239" s="65">
        <f>SUM(E237:E238)</f>
        <v>2940</v>
      </c>
      <c r="F239" s="62"/>
      <c r="G239" s="62"/>
    </row>
    <row r="240" spans="2:7" x14ac:dyDescent="0.4">
      <c r="B240" s="63" t="s">
        <v>122</v>
      </c>
      <c r="C240" s="62"/>
      <c r="D240" s="62"/>
      <c r="E240" s="66"/>
      <c r="F240" s="62"/>
      <c r="G240" s="62"/>
    </row>
    <row r="241" spans="2:7" x14ac:dyDescent="0.4">
      <c r="B241" s="62" t="s">
        <v>123</v>
      </c>
      <c r="C241" s="62"/>
      <c r="D241" s="62"/>
      <c r="E241" s="64">
        <f>((1/5*1.35*28.8)*0.0025*10)*C4</f>
        <v>816.48</v>
      </c>
      <c r="F241" s="62"/>
      <c r="G241" s="62"/>
    </row>
    <row r="242" spans="2:7" ht="16.149999999999999" customHeight="1" x14ac:dyDescent="0.4">
      <c r="B242" s="62"/>
      <c r="C242" s="62"/>
      <c r="D242" s="62"/>
      <c r="E242" s="64"/>
      <c r="F242" s="62"/>
      <c r="G242" s="62"/>
    </row>
    <row r="243" spans="2:7" x14ac:dyDescent="0.4">
      <c r="B243" s="63" t="s">
        <v>124</v>
      </c>
      <c r="C243" s="62"/>
      <c r="D243" s="62"/>
      <c r="E243" s="64"/>
      <c r="F243" s="62"/>
      <c r="G243" s="62"/>
    </row>
    <row r="244" spans="2:7" x14ac:dyDescent="0.4">
      <c r="B244" s="62" t="s">
        <v>125</v>
      </c>
      <c r="C244" s="62"/>
      <c r="D244" s="62"/>
      <c r="E244" s="64">
        <f>(0.0025*1.35)*10*C13</f>
        <v>213.06818181818181</v>
      </c>
      <c r="F244" s="62"/>
      <c r="G244" s="62"/>
    </row>
    <row r="245" spans="2:7" ht="15" customHeight="1" x14ac:dyDescent="0.4">
      <c r="C245" s="62"/>
      <c r="D245" s="62"/>
      <c r="E245" s="66"/>
      <c r="F245" s="62"/>
      <c r="G245" s="62"/>
    </row>
    <row r="246" spans="2:7" x14ac:dyDescent="0.4">
      <c r="B246" s="63" t="s">
        <v>126</v>
      </c>
      <c r="C246" s="62"/>
      <c r="D246" s="62"/>
      <c r="E246" s="64"/>
      <c r="F246" s="62"/>
      <c r="G246" s="62"/>
    </row>
    <row r="247" spans="2:7" x14ac:dyDescent="0.4">
      <c r="B247" s="62" t="s">
        <v>127</v>
      </c>
      <c r="C247" s="62"/>
      <c r="D247" s="62"/>
      <c r="E247" s="66">
        <f>C234*10</f>
        <v>500</v>
      </c>
      <c r="F247" s="62"/>
      <c r="G247" s="62"/>
    </row>
    <row r="248" spans="2:7" x14ac:dyDescent="0.4">
      <c r="B248" s="67" t="s">
        <v>128</v>
      </c>
      <c r="C248" s="62"/>
      <c r="D248" s="62"/>
      <c r="E248" s="65">
        <f>SUM(E239:E247)</f>
        <v>4469.5481818181815</v>
      </c>
      <c r="F248" s="62"/>
      <c r="G248" s="62"/>
    </row>
    <row r="249" spans="2:7" x14ac:dyDescent="0.4">
      <c r="B249" s="67" t="s">
        <v>129</v>
      </c>
      <c r="C249" s="62"/>
      <c r="D249" s="62"/>
      <c r="E249" s="68">
        <f>E248*25%</f>
        <v>1117.3870454545454</v>
      </c>
      <c r="F249" s="62"/>
      <c r="G249" s="62"/>
    </row>
    <row r="250" spans="2:7" x14ac:dyDescent="0.4">
      <c r="B250" s="69" t="s">
        <v>130</v>
      </c>
      <c r="C250" s="70"/>
      <c r="D250" s="70"/>
      <c r="E250" s="71">
        <f>SUM(E248:E249)</f>
        <v>5586.9352272727265</v>
      </c>
      <c r="F250" s="62"/>
      <c r="G250" s="62"/>
    </row>
    <row r="251" spans="2:7" x14ac:dyDescent="0.4">
      <c r="B251" s="60"/>
      <c r="C251" s="62"/>
      <c r="D251" s="62"/>
      <c r="E251" s="62"/>
      <c r="F251" s="62"/>
      <c r="G251" s="62"/>
    </row>
    <row r="252" spans="2:7" x14ac:dyDescent="0.4">
      <c r="B252" s="60" t="s">
        <v>134</v>
      </c>
      <c r="C252" s="62"/>
      <c r="D252" s="62"/>
      <c r="E252" s="62"/>
      <c r="F252" s="62"/>
      <c r="G252" s="62"/>
    </row>
    <row r="253" spans="2:7" x14ac:dyDescent="0.4">
      <c r="B253" s="62" t="s">
        <v>135</v>
      </c>
      <c r="C253" s="62"/>
      <c r="D253" s="62"/>
      <c r="E253" s="62"/>
      <c r="F253" s="62"/>
      <c r="G253" s="62"/>
    </row>
    <row r="254" spans="2:7" x14ac:dyDescent="0.4">
      <c r="B254" s="62" t="s">
        <v>136</v>
      </c>
      <c r="C254" s="62"/>
      <c r="D254" s="62"/>
      <c r="E254" s="62"/>
      <c r="F254" s="62"/>
      <c r="G254" s="62"/>
    </row>
    <row r="255" spans="2:7" x14ac:dyDescent="0.4">
      <c r="B255" s="62" t="s">
        <v>137</v>
      </c>
      <c r="C255" s="62"/>
      <c r="D255" s="62"/>
      <c r="E255" s="62"/>
      <c r="F255" s="62"/>
      <c r="G255" s="62"/>
    </row>
    <row r="256" spans="2:7" x14ac:dyDescent="0.4">
      <c r="B256" s="62" t="s">
        <v>127</v>
      </c>
      <c r="C256" s="67" t="s">
        <v>138</v>
      </c>
      <c r="D256" s="62"/>
      <c r="E256" s="62"/>
      <c r="F256" s="62"/>
      <c r="G256" s="62"/>
    </row>
    <row r="257" spans="2:7" x14ac:dyDescent="0.4">
      <c r="B257" s="62" t="s">
        <v>139</v>
      </c>
      <c r="C257" s="72">
        <f>100*0.012</f>
        <v>1.2</v>
      </c>
      <c r="D257" s="62"/>
      <c r="E257" s="62"/>
      <c r="F257" s="62"/>
      <c r="G257" s="62"/>
    </row>
    <row r="258" spans="2:7" x14ac:dyDescent="0.4">
      <c r="B258" s="62" t="s">
        <v>140</v>
      </c>
      <c r="C258" s="73">
        <v>0.65</v>
      </c>
      <c r="D258" s="62"/>
      <c r="E258" s="62"/>
      <c r="F258" s="62"/>
      <c r="G258" s="62"/>
    </row>
    <row r="259" spans="2:7" x14ac:dyDescent="0.4">
      <c r="B259" s="62" t="s">
        <v>141</v>
      </c>
      <c r="C259" s="74">
        <f>C257*1.65</f>
        <v>1.9799999999999998</v>
      </c>
      <c r="D259" s="62"/>
      <c r="E259" s="62"/>
      <c r="F259" s="62"/>
      <c r="G259" s="62"/>
    </row>
    <row r="260" spans="2:7" x14ac:dyDescent="0.4">
      <c r="C260" s="74"/>
      <c r="D260" s="62"/>
      <c r="E260" s="62"/>
      <c r="F260" s="62"/>
      <c r="G260" s="62"/>
    </row>
    <row r="261" spans="2:7" x14ac:dyDescent="0.4">
      <c r="B261" s="63" t="s">
        <v>122</v>
      </c>
      <c r="C261" s="74"/>
      <c r="D261" s="62"/>
      <c r="E261" s="62"/>
      <c r="F261" s="62"/>
      <c r="G261" s="62"/>
    </row>
    <row r="262" spans="2:7" x14ac:dyDescent="0.4">
      <c r="B262" s="62" t="s">
        <v>142</v>
      </c>
      <c r="C262" s="62"/>
      <c r="D262" s="75">
        <f>1/7*1.98*28.8</f>
        <v>8.1462857142857139</v>
      </c>
      <c r="F262" s="62"/>
      <c r="G262" s="62"/>
    </row>
    <row r="263" spans="2:7" x14ac:dyDescent="0.4">
      <c r="B263" s="2" t="s">
        <v>143</v>
      </c>
      <c r="C263" s="62"/>
      <c r="D263" s="62"/>
      <c r="E263" s="64">
        <f>D262*C4</f>
        <v>34214.400000000001</v>
      </c>
      <c r="F263" s="62"/>
      <c r="G263" s="62"/>
    </row>
    <row r="264" spans="2:7" x14ac:dyDescent="0.4">
      <c r="C264" s="62"/>
      <c r="D264" s="62"/>
      <c r="E264" s="64"/>
      <c r="F264" s="62"/>
      <c r="G264" s="62"/>
    </row>
    <row r="265" spans="2:7" x14ac:dyDescent="0.4">
      <c r="B265" s="1" t="s">
        <v>124</v>
      </c>
      <c r="C265" s="62"/>
      <c r="D265" s="62"/>
      <c r="E265" s="75"/>
      <c r="F265" s="62"/>
      <c r="G265" s="62"/>
    </row>
    <row r="266" spans="2:7" x14ac:dyDescent="0.4">
      <c r="B266" s="62" t="s">
        <v>144</v>
      </c>
      <c r="C266" s="62"/>
      <c r="D266" s="74">
        <f>C259*6/7</f>
        <v>1.6971428571428571</v>
      </c>
      <c r="E266" s="75"/>
      <c r="F266" s="62"/>
      <c r="G266" s="62"/>
    </row>
    <row r="267" spans="2:7" x14ac:dyDescent="0.4">
      <c r="B267" s="2" t="s">
        <v>145</v>
      </c>
      <c r="C267" s="62"/>
      <c r="D267" s="62"/>
      <c r="E267" s="64">
        <f>D266*C14</f>
        <v>5940</v>
      </c>
      <c r="F267" s="62"/>
      <c r="G267" s="62"/>
    </row>
    <row r="268" spans="2:7" x14ac:dyDescent="0.4">
      <c r="B268" s="62"/>
      <c r="C268" s="62"/>
      <c r="D268" s="62"/>
      <c r="E268" s="65">
        <f>SUM(E263:E267)</f>
        <v>40154.400000000001</v>
      </c>
      <c r="F268" s="62"/>
      <c r="G268" s="62"/>
    </row>
    <row r="269" spans="2:7" x14ac:dyDescent="0.4">
      <c r="B269" s="62" t="s">
        <v>146</v>
      </c>
      <c r="C269" s="62"/>
      <c r="D269" s="62"/>
      <c r="E269" s="64">
        <f>E268*15%</f>
        <v>6023.16</v>
      </c>
      <c r="F269" s="62"/>
      <c r="G269" s="62"/>
    </row>
    <row r="270" spans="2:7" x14ac:dyDescent="0.4">
      <c r="B270" s="67" t="s">
        <v>147</v>
      </c>
      <c r="C270" s="62"/>
      <c r="D270" s="62"/>
      <c r="E270" s="65">
        <f>SUM(E268:E269)</f>
        <v>46177.56</v>
      </c>
      <c r="F270" s="62"/>
      <c r="G270" s="62"/>
    </row>
    <row r="271" spans="2:7" x14ac:dyDescent="0.4">
      <c r="B271" s="67" t="s">
        <v>120</v>
      </c>
      <c r="C271" s="62"/>
      <c r="D271" s="62"/>
      <c r="E271" s="64">
        <f>E270/100</f>
        <v>461.7756</v>
      </c>
      <c r="F271" s="62"/>
      <c r="G271" s="62"/>
    </row>
    <row r="272" spans="2:7" x14ac:dyDescent="0.4">
      <c r="B272" s="67" t="s">
        <v>148</v>
      </c>
      <c r="C272" s="62"/>
      <c r="D272" s="62"/>
      <c r="E272" s="64">
        <v>550</v>
      </c>
      <c r="F272" s="62"/>
      <c r="G272" s="62"/>
    </row>
    <row r="273" spans="2:7" x14ac:dyDescent="0.4">
      <c r="B273" s="67" t="s">
        <v>128</v>
      </c>
      <c r="C273" s="62"/>
      <c r="D273" s="62"/>
      <c r="E273" s="65">
        <f>SUM(E271:E272)</f>
        <v>1011.7755999999999</v>
      </c>
      <c r="F273" s="62"/>
      <c r="G273" s="62"/>
    </row>
    <row r="274" spans="2:7" x14ac:dyDescent="0.4">
      <c r="B274" s="67" t="s">
        <v>149</v>
      </c>
      <c r="C274" s="62"/>
      <c r="D274" s="62"/>
      <c r="E274" s="76">
        <f>E273*25%</f>
        <v>252.94389999999999</v>
      </c>
      <c r="F274" s="62"/>
      <c r="G274" s="62"/>
    </row>
    <row r="275" spans="2:7" x14ac:dyDescent="0.4">
      <c r="B275" s="69" t="s">
        <v>130</v>
      </c>
      <c r="C275" s="77"/>
      <c r="D275" s="78"/>
      <c r="E275" s="79">
        <f>SUM(E273:E274)</f>
        <v>1264.7194999999999</v>
      </c>
      <c r="F275" s="2">
        <v>13000</v>
      </c>
    </row>
    <row r="276" spans="2:7" x14ac:dyDescent="0.4">
      <c r="B276" s="60" t="s">
        <v>150</v>
      </c>
      <c r="C276" s="62"/>
      <c r="D276" s="62"/>
      <c r="E276" s="62"/>
      <c r="F276" s="62"/>
      <c r="G276" s="62"/>
    </row>
    <row r="277" spans="2:7" x14ac:dyDescent="0.4">
      <c r="B277" s="62" t="s">
        <v>151</v>
      </c>
      <c r="C277" s="62"/>
      <c r="D277" s="62"/>
      <c r="E277" s="62"/>
      <c r="F277" s="62"/>
      <c r="G277" s="62"/>
    </row>
    <row r="278" spans="2:7" x14ac:dyDescent="0.4">
      <c r="B278" s="62" t="s">
        <v>152</v>
      </c>
      <c r="C278" s="62"/>
      <c r="D278" s="62"/>
      <c r="E278" s="62"/>
      <c r="F278" s="62"/>
      <c r="G278" s="62"/>
    </row>
    <row r="279" spans="2:7" x14ac:dyDescent="0.4">
      <c r="B279" s="62" t="s">
        <v>137</v>
      </c>
      <c r="C279" s="62"/>
      <c r="D279" s="62"/>
      <c r="E279" s="62"/>
      <c r="F279" s="62"/>
      <c r="G279" s="62"/>
    </row>
    <row r="280" spans="2:7" x14ac:dyDescent="0.4">
      <c r="B280" s="62" t="s">
        <v>127</v>
      </c>
      <c r="C280" s="67" t="s">
        <v>153</v>
      </c>
      <c r="D280" s="62"/>
      <c r="E280" s="62"/>
      <c r="F280" s="62"/>
      <c r="G280" s="62"/>
    </row>
    <row r="281" spans="2:7" x14ac:dyDescent="0.4">
      <c r="B281" s="62" t="s">
        <v>139</v>
      </c>
      <c r="C281" s="72">
        <f>100*0.01</f>
        <v>1</v>
      </c>
      <c r="D281" s="62"/>
      <c r="E281" s="62"/>
      <c r="F281" s="62"/>
      <c r="G281" s="62"/>
    </row>
    <row r="282" spans="2:7" x14ac:dyDescent="0.4">
      <c r="B282" s="62" t="s">
        <v>140</v>
      </c>
      <c r="C282" s="73">
        <v>0.65</v>
      </c>
      <c r="D282" s="62"/>
      <c r="E282" s="62"/>
      <c r="F282" s="62"/>
      <c r="G282" s="62"/>
    </row>
    <row r="283" spans="2:7" x14ac:dyDescent="0.4">
      <c r="B283" s="62" t="s">
        <v>141</v>
      </c>
      <c r="C283" s="74">
        <f>C281*1.65</f>
        <v>1.65</v>
      </c>
      <c r="D283" s="62"/>
      <c r="E283" s="62"/>
      <c r="F283" s="62"/>
      <c r="G283" s="62"/>
    </row>
    <row r="284" spans="2:7" x14ac:dyDescent="0.4">
      <c r="C284" s="74"/>
      <c r="D284" s="62"/>
      <c r="E284" s="62"/>
      <c r="F284" s="62"/>
      <c r="G284" s="62"/>
    </row>
    <row r="285" spans="2:7" x14ac:dyDescent="0.4">
      <c r="B285" s="63" t="s">
        <v>122</v>
      </c>
      <c r="C285" s="74"/>
      <c r="D285" s="62"/>
      <c r="E285" s="62"/>
      <c r="F285" s="62"/>
      <c r="G285" s="62"/>
    </row>
    <row r="286" spans="2:7" x14ac:dyDescent="0.4">
      <c r="B286" s="62" t="s">
        <v>142</v>
      </c>
      <c r="C286" s="62"/>
      <c r="D286" s="75">
        <f>1/4.5*C283*28.8</f>
        <v>10.559999999999999</v>
      </c>
      <c r="F286" s="62"/>
      <c r="G286" s="62"/>
    </row>
    <row r="287" spans="2:7" x14ac:dyDescent="0.4">
      <c r="B287" s="2" t="s">
        <v>143</v>
      </c>
      <c r="C287" s="62"/>
      <c r="D287" s="62"/>
      <c r="E287" s="64">
        <f>D286*C4</f>
        <v>44351.999999999993</v>
      </c>
      <c r="F287" s="62"/>
      <c r="G287" s="62"/>
    </row>
    <row r="288" spans="2:7" x14ac:dyDescent="0.4">
      <c r="C288" s="62"/>
      <c r="D288" s="62"/>
      <c r="E288" s="64"/>
      <c r="F288" s="62"/>
      <c r="G288" s="62"/>
    </row>
    <row r="289" spans="2:7" x14ac:dyDescent="0.4">
      <c r="B289" s="62"/>
      <c r="C289" s="62"/>
      <c r="D289" s="62"/>
      <c r="E289" s="65">
        <f>SUM(E287:E288)</f>
        <v>44351.999999999993</v>
      </c>
      <c r="F289" s="62"/>
      <c r="G289" s="62"/>
    </row>
    <row r="290" spans="2:7" x14ac:dyDescent="0.4">
      <c r="B290" s="62" t="s">
        <v>146</v>
      </c>
      <c r="C290" s="62"/>
      <c r="D290" s="62"/>
      <c r="E290" s="64">
        <f>E289*15%</f>
        <v>6652.7999999999984</v>
      </c>
      <c r="F290" s="62"/>
      <c r="G290" s="62"/>
    </row>
    <row r="291" spans="2:7" x14ac:dyDescent="0.4">
      <c r="B291" s="67" t="s">
        <v>147</v>
      </c>
      <c r="C291" s="62"/>
      <c r="D291" s="62"/>
      <c r="E291" s="65">
        <f>SUM(E289:E290)</f>
        <v>51004.799999999988</v>
      </c>
      <c r="F291" s="62"/>
      <c r="G291" s="62"/>
    </row>
    <row r="292" spans="2:7" x14ac:dyDescent="0.4">
      <c r="B292" s="67" t="s">
        <v>120</v>
      </c>
      <c r="C292" s="62"/>
      <c r="D292" s="62"/>
      <c r="E292" s="64">
        <f>E291/100</f>
        <v>510.04799999999989</v>
      </c>
      <c r="F292" s="62"/>
      <c r="G292" s="62"/>
    </row>
    <row r="293" spans="2:7" x14ac:dyDescent="0.4">
      <c r="B293" s="67" t="s">
        <v>148</v>
      </c>
      <c r="C293" s="62"/>
      <c r="D293" s="62"/>
      <c r="E293" s="64">
        <f>500</f>
        <v>500</v>
      </c>
      <c r="F293" s="62"/>
      <c r="G293" s="62"/>
    </row>
    <row r="294" spans="2:7" x14ac:dyDescent="0.4">
      <c r="B294" s="67" t="s">
        <v>154</v>
      </c>
      <c r="C294" s="62"/>
      <c r="D294" s="62"/>
      <c r="E294" s="64">
        <v>100</v>
      </c>
      <c r="F294" s="62"/>
      <c r="G294" s="62"/>
    </row>
    <row r="295" spans="2:7" x14ac:dyDescent="0.4">
      <c r="B295" s="67" t="s">
        <v>155</v>
      </c>
      <c r="C295" s="62"/>
      <c r="D295" s="62"/>
      <c r="E295" s="64">
        <v>350</v>
      </c>
      <c r="F295" s="62"/>
      <c r="G295" s="62"/>
    </row>
    <row r="296" spans="2:7" x14ac:dyDescent="0.4">
      <c r="B296" s="67" t="s">
        <v>128</v>
      </c>
      <c r="C296" s="62"/>
      <c r="D296" s="62"/>
      <c r="E296" s="65">
        <f>SUM(E292:E295)</f>
        <v>1460.0479999999998</v>
      </c>
      <c r="F296" s="62"/>
      <c r="G296" s="62"/>
    </row>
    <row r="297" spans="2:7" x14ac:dyDescent="0.4">
      <c r="B297" s="1" t="s">
        <v>156</v>
      </c>
      <c r="C297" s="62"/>
      <c r="D297" s="62"/>
      <c r="E297" s="64"/>
      <c r="F297" s="62"/>
      <c r="G297" s="62"/>
    </row>
    <row r="298" spans="2:7" x14ac:dyDescent="0.4">
      <c r="B298" s="2" t="s">
        <v>157</v>
      </c>
      <c r="C298" s="62"/>
      <c r="D298" s="62"/>
      <c r="E298" s="64">
        <f>2600/7</f>
        <v>371.42857142857144</v>
      </c>
      <c r="F298" s="62"/>
      <c r="G298" s="62"/>
    </row>
    <row r="299" spans="2:7" x14ac:dyDescent="0.4">
      <c r="C299" s="62"/>
      <c r="D299" s="62"/>
      <c r="E299" s="65">
        <f>SUM(E296:E298)</f>
        <v>1831.4765714285713</v>
      </c>
      <c r="F299" s="62"/>
      <c r="G299" s="62"/>
    </row>
    <row r="300" spans="2:7" x14ac:dyDescent="0.4">
      <c r="B300" s="67" t="s">
        <v>149</v>
      </c>
      <c r="C300" s="62"/>
      <c r="D300" s="62"/>
      <c r="E300" s="76">
        <f>E299*0.25</f>
        <v>457.86914285714283</v>
      </c>
      <c r="F300" s="62"/>
      <c r="G300" s="62"/>
    </row>
    <row r="301" spans="2:7" x14ac:dyDescent="0.4">
      <c r="B301" s="69" t="s">
        <v>130</v>
      </c>
      <c r="C301" s="77"/>
      <c r="D301" s="78"/>
      <c r="E301" s="79">
        <f>SUM(E299:E300)</f>
        <v>2289.3457142857142</v>
      </c>
      <c r="F301" s="2">
        <v>13000</v>
      </c>
    </row>
    <row r="302" spans="2:7" x14ac:dyDescent="0.4">
      <c r="B302" s="60" t="s">
        <v>158</v>
      </c>
      <c r="C302" s="62"/>
      <c r="D302" s="62"/>
      <c r="E302" s="62"/>
      <c r="F302" s="62"/>
      <c r="G302" s="62"/>
    </row>
    <row r="303" spans="2:7" x14ac:dyDescent="0.4">
      <c r="B303" s="62" t="s">
        <v>135</v>
      </c>
      <c r="C303" s="62"/>
      <c r="D303" s="62"/>
      <c r="E303" s="62"/>
      <c r="F303" s="62"/>
      <c r="G303" s="62"/>
    </row>
    <row r="304" spans="2:7" x14ac:dyDescent="0.4">
      <c r="B304" s="62" t="s">
        <v>159</v>
      </c>
      <c r="C304" s="62"/>
      <c r="D304" s="62"/>
      <c r="E304" s="62"/>
      <c r="F304" s="62"/>
      <c r="G304" s="62"/>
    </row>
    <row r="305" spans="2:7" x14ac:dyDescent="0.4">
      <c r="B305" s="62" t="s">
        <v>137</v>
      </c>
      <c r="C305" s="62"/>
      <c r="D305" s="62"/>
      <c r="E305" s="62"/>
      <c r="F305" s="62"/>
      <c r="G305" s="62"/>
    </row>
    <row r="306" spans="2:7" x14ac:dyDescent="0.4">
      <c r="B306" s="62" t="s">
        <v>160</v>
      </c>
      <c r="C306" s="67" t="s">
        <v>153</v>
      </c>
      <c r="D306" s="62"/>
      <c r="E306" s="62"/>
      <c r="F306" s="62"/>
      <c r="G306" s="62"/>
    </row>
    <row r="307" spans="2:7" x14ac:dyDescent="0.4">
      <c r="B307" s="62" t="s">
        <v>161</v>
      </c>
      <c r="C307" s="72">
        <f>100*0.038</f>
        <v>3.8</v>
      </c>
      <c r="D307" s="62"/>
      <c r="E307" s="62"/>
      <c r="F307" s="62"/>
      <c r="G307" s="62"/>
    </row>
    <row r="308" spans="2:7" x14ac:dyDescent="0.4">
      <c r="B308" s="62" t="s">
        <v>140</v>
      </c>
      <c r="C308" s="73">
        <v>0.15</v>
      </c>
      <c r="D308" s="62"/>
      <c r="E308" s="62"/>
      <c r="F308" s="62"/>
      <c r="G308" s="62"/>
    </row>
    <row r="309" spans="2:7" x14ac:dyDescent="0.4">
      <c r="B309" s="62" t="s">
        <v>162</v>
      </c>
      <c r="C309" s="74">
        <f>C307*1.15</f>
        <v>4.3699999999999992</v>
      </c>
      <c r="D309" s="62"/>
      <c r="E309" s="62"/>
      <c r="F309" s="62"/>
      <c r="G309" s="62"/>
    </row>
    <row r="310" spans="2:7" x14ac:dyDescent="0.4">
      <c r="B310" s="2" t="s">
        <v>163</v>
      </c>
      <c r="C310" s="74"/>
      <c r="D310" s="62"/>
      <c r="E310" s="62"/>
      <c r="F310" s="62"/>
      <c r="G310" s="62"/>
    </row>
    <row r="311" spans="2:7" x14ac:dyDescent="0.4">
      <c r="B311" s="63" t="s">
        <v>122</v>
      </c>
      <c r="C311" s="74"/>
      <c r="D311" s="62"/>
      <c r="E311" s="62"/>
      <c r="F311" s="62"/>
      <c r="G311" s="62"/>
    </row>
    <row r="312" spans="2:7" x14ac:dyDescent="0.4">
      <c r="B312" s="62" t="s">
        <v>142</v>
      </c>
      <c r="C312" s="62"/>
      <c r="D312" s="75">
        <f>C309*9.17</f>
        <v>40.07289999999999</v>
      </c>
      <c r="F312" s="62"/>
      <c r="G312" s="62"/>
    </row>
    <row r="313" spans="2:7" x14ac:dyDescent="0.4">
      <c r="B313" s="2" t="s">
        <v>143</v>
      </c>
      <c r="C313" s="62"/>
      <c r="D313" s="62"/>
      <c r="E313" s="64">
        <f>D312*C4</f>
        <v>168306.17999999996</v>
      </c>
      <c r="F313" s="62"/>
      <c r="G313" s="62"/>
    </row>
    <row r="314" spans="2:7" x14ac:dyDescent="0.4">
      <c r="C314" s="62"/>
      <c r="D314" s="62"/>
      <c r="E314" s="64"/>
      <c r="F314" s="62"/>
      <c r="G314" s="62"/>
    </row>
    <row r="315" spans="2:7" x14ac:dyDescent="0.4">
      <c r="B315" s="1" t="s">
        <v>124</v>
      </c>
      <c r="C315" s="62"/>
      <c r="D315" s="62"/>
      <c r="E315" s="75"/>
      <c r="F315" s="62"/>
      <c r="G315" s="62"/>
    </row>
    <row r="316" spans="2:7" x14ac:dyDescent="0.4">
      <c r="B316" s="62" t="s">
        <v>144</v>
      </c>
      <c r="C316" s="62"/>
      <c r="D316" s="74">
        <f>C309*6/7</f>
        <v>3.7457142857142851</v>
      </c>
      <c r="E316" s="75"/>
      <c r="F316" s="62"/>
      <c r="G316" s="62"/>
    </row>
    <row r="317" spans="2:7" x14ac:dyDescent="0.4">
      <c r="B317" s="2" t="s">
        <v>145</v>
      </c>
      <c r="C317" s="62"/>
      <c r="D317" s="62"/>
      <c r="E317" s="64">
        <f>D316*C14</f>
        <v>13109.999999999998</v>
      </c>
      <c r="F317" s="62"/>
      <c r="G317" s="62"/>
    </row>
    <row r="318" spans="2:7" x14ac:dyDescent="0.4">
      <c r="B318" s="62"/>
      <c r="C318" s="62"/>
      <c r="D318" s="62"/>
      <c r="E318" s="65">
        <f>SUM(E313:E317)</f>
        <v>181416.17999999996</v>
      </c>
      <c r="F318" s="62"/>
      <c r="G318" s="62"/>
    </row>
    <row r="319" spans="2:7" x14ac:dyDescent="0.4">
      <c r="B319" s="62" t="s">
        <v>164</v>
      </c>
      <c r="C319" s="62"/>
      <c r="D319" s="62"/>
      <c r="E319" s="64">
        <f>E318*5%</f>
        <v>9070.8089999999993</v>
      </c>
      <c r="F319" s="62"/>
      <c r="G319" s="62"/>
    </row>
    <row r="320" spans="2:7" x14ac:dyDescent="0.4">
      <c r="B320" s="67" t="s">
        <v>147</v>
      </c>
      <c r="C320" s="62"/>
      <c r="D320" s="62"/>
      <c r="E320" s="65">
        <f>SUM(E318:E319)</f>
        <v>190486.98899999997</v>
      </c>
      <c r="F320" s="62"/>
      <c r="G320" s="62"/>
    </row>
    <row r="321" spans="1:7" x14ac:dyDescent="0.4">
      <c r="B321" s="67" t="s">
        <v>120</v>
      </c>
      <c r="C321" s="62"/>
      <c r="D321" s="62"/>
      <c r="E321" s="64">
        <f>E320/100</f>
        <v>1904.8698899999997</v>
      </c>
      <c r="F321" s="62"/>
      <c r="G321" s="62"/>
    </row>
    <row r="322" spans="1:7" x14ac:dyDescent="0.4">
      <c r="B322" s="67" t="s">
        <v>148</v>
      </c>
      <c r="C322" s="62"/>
      <c r="D322" s="62"/>
      <c r="E322" s="64">
        <v>500</v>
      </c>
      <c r="F322" s="62"/>
      <c r="G322" s="62"/>
    </row>
    <row r="323" spans="1:7" x14ac:dyDescent="0.4">
      <c r="B323" s="67" t="s">
        <v>154</v>
      </c>
      <c r="C323" s="62"/>
      <c r="D323" s="62"/>
      <c r="E323" s="64">
        <v>60</v>
      </c>
      <c r="F323" s="62"/>
      <c r="G323" s="62"/>
    </row>
    <row r="324" spans="1:7" x14ac:dyDescent="0.4">
      <c r="B324" s="67" t="s">
        <v>128</v>
      </c>
      <c r="C324" s="62"/>
      <c r="D324" s="62"/>
      <c r="E324" s="65">
        <f>SUM(E321:E323)</f>
        <v>2464.8698899999999</v>
      </c>
      <c r="F324" s="62"/>
      <c r="G324" s="62"/>
    </row>
    <row r="325" spans="1:7" x14ac:dyDescent="0.4">
      <c r="B325" s="1" t="s">
        <v>156</v>
      </c>
      <c r="C325" s="62"/>
      <c r="D325" s="62"/>
      <c r="E325" s="64"/>
      <c r="F325" s="62"/>
      <c r="G325" s="62"/>
    </row>
    <row r="326" spans="1:7" x14ac:dyDescent="0.4">
      <c r="B326" s="2" t="s">
        <v>157</v>
      </c>
      <c r="C326" s="62"/>
      <c r="D326" s="62"/>
      <c r="E326" s="64">
        <f>2600/7</f>
        <v>371.42857142857144</v>
      </c>
      <c r="F326" s="62"/>
      <c r="G326" s="62"/>
    </row>
    <row r="327" spans="1:7" x14ac:dyDescent="0.4">
      <c r="C327" s="62"/>
      <c r="D327" s="62"/>
      <c r="E327" s="65">
        <f>SUM(E324:E326)</f>
        <v>2836.2984614285715</v>
      </c>
      <c r="F327" s="62"/>
      <c r="G327" s="62"/>
    </row>
    <row r="328" spans="1:7" x14ac:dyDescent="0.4">
      <c r="B328" s="67" t="s">
        <v>149</v>
      </c>
      <c r="C328" s="62"/>
      <c r="D328" s="62"/>
      <c r="E328" s="76">
        <f>E327*25%</f>
        <v>709.07461535714287</v>
      </c>
      <c r="F328" s="62"/>
      <c r="G328" s="62"/>
    </row>
    <row r="329" spans="1:7" x14ac:dyDescent="0.4">
      <c r="B329" s="69" t="s">
        <v>130</v>
      </c>
      <c r="C329" s="77"/>
      <c r="D329" s="78"/>
      <c r="E329" s="79">
        <f>SUM(E327:E328)</f>
        <v>3545.3730767857141</v>
      </c>
    </row>
    <row r="330" spans="1:7" x14ac:dyDescent="0.4">
      <c r="C330" s="62"/>
      <c r="D330" s="62"/>
      <c r="E330" s="62"/>
      <c r="F330" s="62"/>
    </row>
    <row r="331" spans="1:7" x14ac:dyDescent="0.4">
      <c r="A331" s="62"/>
      <c r="B331" s="60" t="s">
        <v>165</v>
      </c>
      <c r="C331" s="62"/>
      <c r="D331" s="62"/>
      <c r="E331" s="62"/>
      <c r="F331" s="62"/>
    </row>
    <row r="332" spans="1:7" x14ac:dyDescent="0.4">
      <c r="A332" s="62"/>
      <c r="B332" s="80" t="s">
        <v>166</v>
      </c>
      <c r="C332" s="64">
        <v>15000</v>
      </c>
      <c r="D332" s="62"/>
      <c r="E332" s="62"/>
      <c r="F332" s="62"/>
    </row>
    <row r="333" spans="1:7" x14ac:dyDescent="0.4">
      <c r="A333" s="62"/>
      <c r="B333" s="80" t="s">
        <v>167</v>
      </c>
      <c r="C333" s="67" t="s">
        <v>168</v>
      </c>
      <c r="D333" s="62"/>
      <c r="E333" s="62"/>
      <c r="F333" s="62"/>
    </row>
    <row r="334" spans="1:7" x14ac:dyDescent="0.4">
      <c r="B334" s="62" t="s">
        <v>169</v>
      </c>
      <c r="C334" s="62"/>
      <c r="D334" s="62"/>
      <c r="E334" s="64">
        <v>87000</v>
      </c>
      <c r="F334" s="62"/>
    </row>
    <row r="335" spans="1:7" x14ac:dyDescent="0.4">
      <c r="B335" s="62" t="s">
        <v>170</v>
      </c>
      <c r="C335" s="62"/>
      <c r="D335" s="62"/>
      <c r="E335" s="62"/>
      <c r="F335" s="62"/>
    </row>
    <row r="336" spans="1:7" x14ac:dyDescent="0.4">
      <c r="B336" s="62" t="s">
        <v>171</v>
      </c>
      <c r="C336" s="62"/>
      <c r="D336" s="62"/>
      <c r="E336" s="74">
        <f>E334/30/0.65</f>
        <v>4461.538461538461</v>
      </c>
      <c r="F336" s="62"/>
    </row>
    <row r="337" spans="1:6" x14ac:dyDescent="0.4">
      <c r="B337" s="62" t="s">
        <v>172</v>
      </c>
      <c r="C337" s="62"/>
      <c r="D337" s="62"/>
      <c r="E337" s="74">
        <f>E336*15%</f>
        <v>669.23076923076917</v>
      </c>
      <c r="F337" s="62"/>
    </row>
    <row r="338" spans="1:6" x14ac:dyDescent="0.4">
      <c r="A338" s="62"/>
      <c r="C338" s="62"/>
      <c r="D338" s="62"/>
      <c r="E338" s="81">
        <f>SUM(E336:E337)</f>
        <v>5130.7692307692305</v>
      </c>
      <c r="F338" s="62"/>
    </row>
    <row r="339" spans="1:6" x14ac:dyDescent="0.4">
      <c r="B339" s="62" t="s">
        <v>133</v>
      </c>
      <c r="C339" s="62"/>
      <c r="D339" s="62"/>
      <c r="E339" s="74">
        <f>E338*5%</f>
        <v>256.53846153846155</v>
      </c>
      <c r="F339" s="62"/>
    </row>
    <row r="340" spans="1:6" x14ac:dyDescent="0.4">
      <c r="A340" s="62"/>
      <c r="B340" s="62"/>
      <c r="C340" s="62"/>
      <c r="D340" s="62"/>
      <c r="E340" s="81">
        <f>SUM(E338:E339)</f>
        <v>5387.3076923076924</v>
      </c>
      <c r="F340" s="62"/>
    </row>
    <row r="341" spans="1:6" x14ac:dyDescent="0.4">
      <c r="A341" s="62"/>
      <c r="B341" s="2" t="s">
        <v>173</v>
      </c>
      <c r="C341" s="62"/>
      <c r="D341" s="62"/>
      <c r="E341" s="74">
        <v>250</v>
      </c>
      <c r="F341" s="62"/>
    </row>
    <row r="342" spans="1:6" x14ac:dyDescent="0.4">
      <c r="B342" s="62" t="s">
        <v>174</v>
      </c>
      <c r="C342" s="62"/>
      <c r="D342" s="62"/>
      <c r="E342" s="62"/>
      <c r="F342" s="62"/>
    </row>
    <row r="343" spans="1:6" x14ac:dyDescent="0.4">
      <c r="B343" s="67" t="s">
        <v>175</v>
      </c>
      <c r="C343" s="62"/>
      <c r="D343" s="62"/>
      <c r="E343" s="62">
        <v>350</v>
      </c>
      <c r="F343" s="62"/>
    </row>
    <row r="344" spans="1:6" x14ac:dyDescent="0.4">
      <c r="A344" s="62"/>
      <c r="B344" s="67" t="s">
        <v>128</v>
      </c>
      <c r="C344" s="62"/>
      <c r="D344" s="62"/>
      <c r="E344" s="81">
        <f>SUM(E340:E343)</f>
        <v>5987.3076923076924</v>
      </c>
      <c r="F344" s="62"/>
    </row>
    <row r="345" spans="1:6" x14ac:dyDescent="0.4">
      <c r="B345" s="67" t="s">
        <v>48</v>
      </c>
      <c r="C345" s="62"/>
      <c r="D345" s="62"/>
      <c r="E345" s="74">
        <f>E344*25%</f>
        <v>1496.8269230769231</v>
      </c>
      <c r="F345" s="62"/>
    </row>
    <row r="346" spans="1:6" x14ac:dyDescent="0.4">
      <c r="A346" s="62"/>
      <c r="B346" s="69" t="s">
        <v>176</v>
      </c>
      <c r="C346" s="70"/>
      <c r="D346" s="70"/>
      <c r="E346" s="82">
        <f>SUM(E344:E345)</f>
        <v>7484.1346153846152</v>
      </c>
      <c r="F346" s="62"/>
    </row>
    <row r="347" spans="1:6" x14ac:dyDescent="0.4">
      <c r="C347" s="62"/>
      <c r="D347" s="62"/>
      <c r="E347" s="83"/>
      <c r="F347" s="62"/>
    </row>
    <row r="348" spans="1:6" x14ac:dyDescent="0.4">
      <c r="C348" s="6"/>
      <c r="D348" s="6"/>
      <c r="E348" s="58"/>
    </row>
    <row r="349" spans="1:6" x14ac:dyDescent="0.4">
      <c r="C349" s="6"/>
      <c r="D349" s="6"/>
      <c r="E349" s="58"/>
    </row>
    <row r="350" spans="1:6" x14ac:dyDescent="0.4">
      <c r="C350" s="6"/>
      <c r="D350" s="6"/>
      <c r="E350" s="58"/>
    </row>
    <row r="351" spans="1:6" x14ac:dyDescent="0.4">
      <c r="C351" s="6"/>
      <c r="D351" s="6"/>
      <c r="E351" s="58"/>
    </row>
    <row r="352" spans="1:6" x14ac:dyDescent="0.4">
      <c r="C352" s="6"/>
      <c r="D352" s="6"/>
      <c r="E352" s="58"/>
    </row>
    <row r="353" spans="3:5" x14ac:dyDescent="0.4">
      <c r="C353" s="6"/>
      <c r="D353" s="6"/>
      <c r="E353" s="58"/>
    </row>
    <row r="354" spans="3:5" x14ac:dyDescent="0.4">
      <c r="C354" s="6"/>
      <c r="D354" s="6"/>
      <c r="E354" s="58"/>
    </row>
    <row r="355" spans="3:5" x14ac:dyDescent="0.4">
      <c r="C355" s="6"/>
      <c r="D355" s="6"/>
      <c r="E355" s="58"/>
    </row>
    <row r="356" spans="3:5" x14ac:dyDescent="0.4">
      <c r="C356" s="6"/>
      <c r="D356" s="6"/>
      <c r="E356" s="58"/>
    </row>
    <row r="357" spans="3:5" x14ac:dyDescent="0.4">
      <c r="C357" s="6"/>
      <c r="D357" s="6"/>
      <c r="E357" s="58"/>
    </row>
    <row r="358" spans="3:5" x14ac:dyDescent="0.4">
      <c r="C358" s="6"/>
      <c r="D358" s="6"/>
      <c r="E358" s="58"/>
    </row>
    <row r="359" spans="3:5" x14ac:dyDescent="0.4">
      <c r="C359" s="6"/>
      <c r="D359" s="6"/>
      <c r="E359" s="58"/>
    </row>
    <row r="360" spans="3:5" x14ac:dyDescent="0.4">
      <c r="C360" s="6"/>
      <c r="D360" s="6"/>
      <c r="E360" s="58"/>
    </row>
    <row r="361" spans="3:5" x14ac:dyDescent="0.4">
      <c r="C361" s="6"/>
      <c r="D361" s="6"/>
      <c r="E361" s="58"/>
    </row>
    <row r="362" spans="3:5" x14ac:dyDescent="0.4">
      <c r="C362" s="6"/>
      <c r="D362" s="6"/>
      <c r="E362" s="58"/>
    </row>
    <row r="363" spans="3:5" x14ac:dyDescent="0.4">
      <c r="C363" s="6"/>
      <c r="D363" s="6"/>
      <c r="E363" s="58"/>
    </row>
    <row r="364" spans="3:5" x14ac:dyDescent="0.4">
      <c r="C364" s="6"/>
      <c r="D364" s="6"/>
      <c r="E364" s="58"/>
    </row>
    <row r="365" spans="3:5" x14ac:dyDescent="0.4">
      <c r="C365" s="6"/>
      <c r="D365" s="6"/>
      <c r="E365" s="58"/>
    </row>
    <row r="366" spans="3:5" x14ac:dyDescent="0.4">
      <c r="C366" s="6"/>
      <c r="D366" s="6"/>
      <c r="E366" s="58"/>
    </row>
    <row r="367" spans="3:5" x14ac:dyDescent="0.4">
      <c r="C367" s="6"/>
      <c r="D367" s="6"/>
      <c r="E367" s="58"/>
    </row>
    <row r="368" spans="3:5" x14ac:dyDescent="0.4">
      <c r="C368" s="6"/>
      <c r="D368" s="6"/>
      <c r="E368" s="58"/>
    </row>
    <row r="369" spans="3:5" x14ac:dyDescent="0.4">
      <c r="C369" s="6"/>
      <c r="D369" s="6"/>
      <c r="E369" s="58"/>
    </row>
    <row r="370" spans="3:5" x14ac:dyDescent="0.4">
      <c r="C370" s="6"/>
      <c r="D370" s="6"/>
      <c r="E370" s="58"/>
    </row>
    <row r="371" spans="3:5" x14ac:dyDescent="0.4">
      <c r="C371" s="6"/>
      <c r="D371" s="6"/>
      <c r="E371" s="58"/>
    </row>
    <row r="372" spans="3:5" x14ac:dyDescent="0.4">
      <c r="C372" s="6"/>
      <c r="D372" s="6"/>
      <c r="E372" s="58"/>
    </row>
    <row r="373" spans="3:5" x14ac:dyDescent="0.4">
      <c r="C373" s="6"/>
      <c r="D373" s="6"/>
      <c r="E373" s="58"/>
    </row>
    <row r="374" spans="3:5" x14ac:dyDescent="0.4">
      <c r="C374" s="6"/>
      <c r="D374" s="6"/>
      <c r="E374" s="58"/>
    </row>
    <row r="375" spans="3:5" x14ac:dyDescent="0.4">
      <c r="C375" s="6"/>
      <c r="D375" s="6"/>
      <c r="E375" s="58"/>
    </row>
    <row r="376" spans="3:5" x14ac:dyDescent="0.4">
      <c r="C376" s="6"/>
      <c r="D376" s="6"/>
      <c r="E376" s="58"/>
    </row>
    <row r="377" spans="3:5" x14ac:dyDescent="0.4">
      <c r="C377" s="6"/>
      <c r="D377" s="6"/>
      <c r="E377" s="58"/>
    </row>
    <row r="378" spans="3:5" x14ac:dyDescent="0.4">
      <c r="C378" s="6"/>
      <c r="D378" s="6"/>
      <c r="E378" s="58"/>
    </row>
    <row r="379" spans="3:5" x14ac:dyDescent="0.4">
      <c r="C379" s="6"/>
      <c r="D379" s="6"/>
      <c r="E379" s="58"/>
    </row>
    <row r="380" spans="3:5" x14ac:dyDescent="0.4">
      <c r="C380" s="6"/>
      <c r="D380" s="6"/>
      <c r="E380" s="58"/>
    </row>
    <row r="381" spans="3:5" x14ac:dyDescent="0.4">
      <c r="C381" s="6"/>
      <c r="D381" s="6"/>
      <c r="E381" s="58"/>
    </row>
    <row r="382" spans="3:5" x14ac:dyDescent="0.4">
      <c r="C382" s="6"/>
      <c r="D382" s="6"/>
      <c r="E382" s="58"/>
    </row>
    <row r="383" spans="3:5" x14ac:dyDescent="0.4">
      <c r="C383" s="6"/>
      <c r="D383" s="6"/>
      <c r="E383" s="58"/>
    </row>
    <row r="384" spans="3:5" x14ac:dyDescent="0.4">
      <c r="C384" s="6"/>
      <c r="D384" s="6"/>
      <c r="E384" s="58"/>
    </row>
    <row r="385" spans="3:5" x14ac:dyDescent="0.4">
      <c r="C385" s="6"/>
      <c r="D385" s="6"/>
      <c r="E385" s="58"/>
    </row>
    <row r="386" spans="3:5" x14ac:dyDescent="0.4">
      <c r="C386" s="6"/>
      <c r="D386" s="6"/>
      <c r="E386" s="58"/>
    </row>
    <row r="387" spans="3:5" x14ac:dyDescent="0.4">
      <c r="C387" s="6"/>
      <c r="D387" s="6"/>
      <c r="E387" s="58"/>
    </row>
    <row r="388" spans="3:5" x14ac:dyDescent="0.4">
      <c r="C388" s="6"/>
      <c r="D388" s="6"/>
      <c r="E388" s="58"/>
    </row>
    <row r="389" spans="3:5" x14ac:dyDescent="0.4">
      <c r="C389" s="6"/>
      <c r="D389" s="6"/>
      <c r="E389" s="58"/>
    </row>
    <row r="390" spans="3:5" x14ac:dyDescent="0.4">
      <c r="C390" s="6"/>
      <c r="D390" s="6"/>
      <c r="E390" s="58"/>
    </row>
    <row r="391" spans="3:5" x14ac:dyDescent="0.4">
      <c r="C391" s="6"/>
      <c r="D391" s="6"/>
      <c r="E391" s="58"/>
    </row>
    <row r="392" spans="3:5" x14ac:dyDescent="0.4">
      <c r="C392" s="6"/>
      <c r="D392" s="6"/>
      <c r="E392" s="58"/>
    </row>
    <row r="393" spans="3:5" x14ac:dyDescent="0.4">
      <c r="C393" s="6"/>
      <c r="D393" s="6"/>
      <c r="E393" s="58"/>
    </row>
    <row r="394" spans="3:5" x14ac:dyDescent="0.4">
      <c r="C394" s="6"/>
      <c r="D394" s="6"/>
      <c r="E394" s="58"/>
    </row>
    <row r="395" spans="3:5" x14ac:dyDescent="0.4">
      <c r="C395" s="6"/>
      <c r="D395" s="6"/>
      <c r="E395" s="58"/>
    </row>
    <row r="396" spans="3:5" x14ac:dyDescent="0.4">
      <c r="C396" s="6"/>
      <c r="D396" s="6"/>
      <c r="E396" s="58"/>
    </row>
    <row r="397" spans="3:5" x14ac:dyDescent="0.4">
      <c r="C397" s="6"/>
      <c r="D397" s="6"/>
      <c r="E397" s="58"/>
    </row>
    <row r="398" spans="3:5" x14ac:dyDescent="0.4">
      <c r="C398" s="6"/>
      <c r="D398" s="6"/>
      <c r="E398" s="58"/>
    </row>
    <row r="399" spans="3:5" x14ac:dyDescent="0.4">
      <c r="C399" s="6"/>
      <c r="D399" s="6"/>
      <c r="E399" s="58"/>
    </row>
    <row r="400" spans="3:5" x14ac:dyDescent="0.4">
      <c r="C400" s="6"/>
      <c r="D400" s="6"/>
      <c r="E400" s="58"/>
    </row>
    <row r="401" spans="3:5" x14ac:dyDescent="0.4">
      <c r="C401" s="6"/>
      <c r="D401" s="6"/>
      <c r="E401" s="58"/>
    </row>
    <row r="402" spans="3:5" x14ac:dyDescent="0.4">
      <c r="C402" s="6"/>
      <c r="D402" s="6"/>
      <c r="E402" s="58"/>
    </row>
    <row r="403" spans="3:5" x14ac:dyDescent="0.4">
      <c r="C403" s="6"/>
      <c r="D403" s="6"/>
      <c r="E403" s="58"/>
    </row>
    <row r="404" spans="3:5" x14ac:dyDescent="0.4">
      <c r="C404" s="6"/>
      <c r="D404" s="6"/>
      <c r="E404" s="58"/>
    </row>
    <row r="405" spans="3:5" x14ac:dyDescent="0.4">
      <c r="C405" s="6"/>
      <c r="D405" s="6"/>
      <c r="E405" s="58"/>
    </row>
    <row r="406" spans="3:5" x14ac:dyDescent="0.4">
      <c r="C406" s="6"/>
      <c r="D406" s="6"/>
      <c r="E406" s="58"/>
    </row>
    <row r="407" spans="3:5" x14ac:dyDescent="0.4">
      <c r="C407" s="6"/>
      <c r="D407" s="6"/>
      <c r="E407" s="58"/>
    </row>
    <row r="408" spans="3:5" x14ac:dyDescent="0.4">
      <c r="C408" s="6"/>
      <c r="D408" s="6"/>
      <c r="E408" s="58"/>
    </row>
    <row r="409" spans="3:5" x14ac:dyDescent="0.4">
      <c r="C409" s="6"/>
      <c r="D409" s="6"/>
      <c r="E409" s="58"/>
    </row>
    <row r="410" spans="3:5" x14ac:dyDescent="0.4">
      <c r="C410" s="6"/>
      <c r="D410" s="6"/>
      <c r="E410" s="58"/>
    </row>
    <row r="411" spans="3:5" x14ac:dyDescent="0.4">
      <c r="C411" s="6"/>
      <c r="D411" s="6"/>
      <c r="E411" s="58"/>
    </row>
    <row r="412" spans="3:5" x14ac:dyDescent="0.4">
      <c r="C412" s="6"/>
      <c r="D412" s="6"/>
      <c r="E412" s="58"/>
    </row>
    <row r="413" spans="3:5" x14ac:dyDescent="0.4">
      <c r="C413" s="6"/>
      <c r="D413" s="6"/>
      <c r="E413" s="58"/>
    </row>
    <row r="414" spans="3:5" x14ac:dyDescent="0.4">
      <c r="C414" s="6"/>
      <c r="D414" s="6"/>
      <c r="E414" s="58"/>
    </row>
    <row r="415" spans="3:5" x14ac:dyDescent="0.4">
      <c r="C415" s="6"/>
      <c r="D415" s="6"/>
      <c r="E415" s="58"/>
    </row>
    <row r="416" spans="3:5" x14ac:dyDescent="0.4">
      <c r="C416" s="6"/>
      <c r="D416" s="6"/>
      <c r="E416" s="58"/>
    </row>
    <row r="417" spans="3:5" x14ac:dyDescent="0.4">
      <c r="C417" s="6"/>
      <c r="D417" s="6"/>
      <c r="E417" s="58"/>
    </row>
    <row r="418" spans="3:5" x14ac:dyDescent="0.4">
      <c r="C418" s="6"/>
      <c r="D418" s="6"/>
      <c r="E418" s="58"/>
    </row>
    <row r="419" spans="3:5" x14ac:dyDescent="0.4">
      <c r="C419" s="6"/>
      <c r="D419" s="6"/>
      <c r="E419" s="58"/>
    </row>
    <row r="420" spans="3:5" x14ac:dyDescent="0.4">
      <c r="C420" s="6"/>
      <c r="D420" s="6"/>
      <c r="E420" s="58"/>
    </row>
    <row r="421" spans="3:5" x14ac:dyDescent="0.4">
      <c r="C421" s="6"/>
      <c r="D421" s="6"/>
      <c r="E421" s="58"/>
    </row>
    <row r="422" spans="3:5" x14ac:dyDescent="0.4">
      <c r="C422" s="6"/>
      <c r="D422" s="6"/>
      <c r="E422" s="58"/>
    </row>
    <row r="423" spans="3:5" x14ac:dyDescent="0.4">
      <c r="C423" s="6"/>
      <c r="D423" s="6"/>
      <c r="E423" s="58"/>
    </row>
    <row r="424" spans="3:5" x14ac:dyDescent="0.4">
      <c r="C424" s="6"/>
      <c r="D424" s="6"/>
      <c r="E424" s="58"/>
    </row>
    <row r="425" spans="3:5" x14ac:dyDescent="0.4">
      <c r="C425" s="6"/>
      <c r="D425" s="6"/>
      <c r="E425" s="58"/>
    </row>
    <row r="426" spans="3:5" x14ac:dyDescent="0.4">
      <c r="C426" s="6"/>
      <c r="D426" s="6"/>
      <c r="E426" s="58"/>
    </row>
    <row r="427" spans="3:5" x14ac:dyDescent="0.4">
      <c r="C427" s="6"/>
      <c r="D427" s="6"/>
      <c r="E427" s="58"/>
    </row>
    <row r="428" spans="3:5" x14ac:dyDescent="0.4">
      <c r="C428" s="6"/>
      <c r="D428" s="6"/>
      <c r="E428" s="58"/>
    </row>
    <row r="429" spans="3:5" x14ac:dyDescent="0.4">
      <c r="C429" s="6"/>
      <c r="D429" s="6"/>
      <c r="E429" s="58"/>
    </row>
    <row r="430" spans="3:5" x14ac:dyDescent="0.4">
      <c r="C430" s="6"/>
      <c r="D430" s="6"/>
      <c r="E430" s="58"/>
    </row>
    <row r="431" spans="3:5" x14ac:dyDescent="0.4">
      <c r="C431" s="6"/>
      <c r="D431" s="6"/>
      <c r="E431" s="58"/>
    </row>
    <row r="432" spans="3:5" x14ac:dyDescent="0.4">
      <c r="C432" s="6"/>
      <c r="D432" s="6"/>
      <c r="E432" s="58"/>
    </row>
    <row r="433" spans="3:5" x14ac:dyDescent="0.4">
      <c r="C433" s="6"/>
      <c r="D433" s="6"/>
      <c r="E433" s="58"/>
    </row>
    <row r="434" spans="3:5" x14ac:dyDescent="0.4">
      <c r="C434" s="6"/>
      <c r="D434" s="6"/>
      <c r="E434" s="58"/>
    </row>
    <row r="435" spans="3:5" x14ac:dyDescent="0.4">
      <c r="C435" s="6"/>
      <c r="D435" s="6"/>
      <c r="E435" s="58"/>
    </row>
    <row r="436" spans="3:5" x14ac:dyDescent="0.4">
      <c r="C436" s="6"/>
      <c r="D436" s="6"/>
      <c r="E436" s="58"/>
    </row>
    <row r="437" spans="3:5" x14ac:dyDescent="0.4">
      <c r="C437" s="6"/>
      <c r="D437" s="6"/>
      <c r="E437" s="58"/>
    </row>
    <row r="438" spans="3:5" x14ac:dyDescent="0.4">
      <c r="C438" s="6"/>
      <c r="D438" s="6"/>
      <c r="E438" s="58"/>
    </row>
    <row r="439" spans="3:5" x14ac:dyDescent="0.4">
      <c r="C439" s="6"/>
      <c r="D439" s="6"/>
      <c r="E439" s="58"/>
    </row>
    <row r="440" spans="3:5" x14ac:dyDescent="0.4">
      <c r="C440" s="6"/>
      <c r="D440" s="6"/>
      <c r="E440" s="58"/>
    </row>
    <row r="441" spans="3:5" x14ac:dyDescent="0.4">
      <c r="C441" s="6"/>
      <c r="D441" s="6"/>
      <c r="E441" s="58"/>
    </row>
    <row r="442" spans="3:5" x14ac:dyDescent="0.4">
      <c r="C442" s="6"/>
      <c r="D442" s="6"/>
      <c r="E442" s="58"/>
    </row>
    <row r="443" spans="3:5" x14ac:dyDescent="0.4">
      <c r="C443" s="6"/>
      <c r="D443" s="6"/>
      <c r="E443" s="58"/>
    </row>
    <row r="444" spans="3:5" x14ac:dyDescent="0.4">
      <c r="C444" s="6"/>
      <c r="D444" s="6"/>
      <c r="E444" s="58"/>
    </row>
    <row r="445" spans="3:5" x14ac:dyDescent="0.4">
      <c r="C445" s="6"/>
      <c r="D445" s="6"/>
      <c r="E445" s="58"/>
    </row>
    <row r="446" spans="3:5" x14ac:dyDescent="0.4">
      <c r="C446" s="6"/>
      <c r="D446" s="6"/>
      <c r="E446" s="58"/>
    </row>
    <row r="447" spans="3:5" x14ac:dyDescent="0.4">
      <c r="C447" s="6"/>
      <c r="D447" s="6"/>
      <c r="E447" s="58"/>
    </row>
    <row r="448" spans="3:5" x14ac:dyDescent="0.4">
      <c r="C448" s="6"/>
      <c r="D448" s="6"/>
      <c r="E448" s="58"/>
    </row>
    <row r="449" spans="3:5" x14ac:dyDescent="0.4">
      <c r="C449" s="6"/>
      <c r="D449" s="6"/>
      <c r="E449" s="58"/>
    </row>
    <row r="450" spans="3:5" x14ac:dyDescent="0.4">
      <c r="C450" s="6"/>
      <c r="D450" s="6"/>
      <c r="E450" s="58"/>
    </row>
    <row r="451" spans="3:5" x14ac:dyDescent="0.4">
      <c r="C451" s="6"/>
      <c r="D451" s="6"/>
      <c r="E451" s="58"/>
    </row>
    <row r="452" spans="3:5" x14ac:dyDescent="0.4">
      <c r="C452" s="6"/>
      <c r="D452" s="6"/>
      <c r="E452" s="58"/>
    </row>
    <row r="453" spans="3:5" x14ac:dyDescent="0.4">
      <c r="C453" s="6"/>
      <c r="D453" s="6"/>
      <c r="E453" s="58"/>
    </row>
    <row r="454" spans="3:5" x14ac:dyDescent="0.4">
      <c r="C454" s="6"/>
      <c r="D454" s="6"/>
      <c r="E454" s="58"/>
    </row>
    <row r="455" spans="3:5" x14ac:dyDescent="0.4">
      <c r="C455" s="6"/>
      <c r="D455" s="6"/>
      <c r="E455" s="58"/>
    </row>
    <row r="456" spans="3:5" x14ac:dyDescent="0.4">
      <c r="C456" s="6"/>
      <c r="D456" s="6"/>
      <c r="E456" s="58"/>
    </row>
    <row r="457" spans="3:5" x14ac:dyDescent="0.4">
      <c r="C457" s="6"/>
      <c r="D457" s="6"/>
      <c r="E457" s="58"/>
    </row>
    <row r="458" spans="3:5" x14ac:dyDescent="0.4">
      <c r="C458" s="6"/>
      <c r="D458" s="6"/>
      <c r="E458" s="58"/>
    </row>
    <row r="459" spans="3:5" x14ac:dyDescent="0.4">
      <c r="C459" s="6"/>
      <c r="D459" s="6"/>
      <c r="E459" s="58"/>
    </row>
    <row r="460" spans="3:5" x14ac:dyDescent="0.4">
      <c r="C460" s="6"/>
      <c r="D460" s="6"/>
      <c r="E460" s="58"/>
    </row>
    <row r="461" spans="3:5" x14ac:dyDescent="0.4">
      <c r="C461" s="6"/>
      <c r="D461" s="6"/>
      <c r="E461" s="58"/>
    </row>
    <row r="462" spans="3:5" x14ac:dyDescent="0.4">
      <c r="C462" s="6"/>
      <c r="D462" s="6"/>
      <c r="E462" s="58"/>
    </row>
    <row r="463" spans="3:5" x14ac:dyDescent="0.4">
      <c r="C463" s="6"/>
      <c r="D463" s="6"/>
      <c r="E463" s="58"/>
    </row>
    <row r="464" spans="3:5" x14ac:dyDescent="0.4">
      <c r="C464" s="6"/>
      <c r="D464" s="6"/>
      <c r="E464" s="58"/>
    </row>
    <row r="465" spans="3:5" x14ac:dyDescent="0.4">
      <c r="C465" s="6"/>
      <c r="D465" s="6"/>
      <c r="E465" s="58"/>
    </row>
    <row r="466" spans="3:5" x14ac:dyDescent="0.4">
      <c r="C466" s="6"/>
      <c r="D466" s="6"/>
      <c r="E466" s="58"/>
    </row>
    <row r="467" spans="3:5" x14ac:dyDescent="0.4">
      <c r="C467" s="6"/>
      <c r="D467" s="6"/>
      <c r="E467" s="58"/>
    </row>
    <row r="468" spans="3:5" x14ac:dyDescent="0.4">
      <c r="C468" s="6"/>
      <c r="D468" s="6"/>
      <c r="E468" s="58"/>
    </row>
    <row r="469" spans="3:5" x14ac:dyDescent="0.4">
      <c r="C469" s="6"/>
      <c r="D469" s="6"/>
      <c r="E469" s="58"/>
    </row>
    <row r="470" spans="3:5" x14ac:dyDescent="0.4">
      <c r="C470" s="6"/>
      <c r="D470" s="6"/>
      <c r="E470" s="58"/>
    </row>
    <row r="471" spans="3:5" x14ac:dyDescent="0.4">
      <c r="C471" s="6"/>
      <c r="D471" s="6"/>
      <c r="E471" s="58"/>
    </row>
    <row r="472" spans="3:5" x14ac:dyDescent="0.4">
      <c r="C472" s="6"/>
      <c r="D472" s="6"/>
      <c r="E472" s="58"/>
    </row>
    <row r="473" spans="3:5" x14ac:dyDescent="0.4">
      <c r="C473" s="6"/>
      <c r="D473" s="6"/>
      <c r="E473" s="58"/>
    </row>
    <row r="474" spans="3:5" x14ac:dyDescent="0.4">
      <c r="C474" s="6"/>
      <c r="D474" s="6"/>
      <c r="E474" s="58"/>
    </row>
    <row r="475" spans="3:5" x14ac:dyDescent="0.4">
      <c r="C475" s="6"/>
      <c r="D475" s="6"/>
      <c r="E475" s="58"/>
    </row>
    <row r="476" spans="3:5" x14ac:dyDescent="0.4">
      <c r="C476" s="6"/>
      <c r="D476" s="6"/>
      <c r="E476" s="58"/>
    </row>
    <row r="477" spans="3:5" x14ac:dyDescent="0.4">
      <c r="C477" s="6"/>
      <c r="D477" s="6"/>
      <c r="E477" s="58"/>
    </row>
    <row r="478" spans="3:5" x14ac:dyDescent="0.4">
      <c r="C478" s="6"/>
      <c r="D478" s="6"/>
      <c r="E478" s="58"/>
    </row>
    <row r="479" spans="3:5" x14ac:dyDescent="0.4">
      <c r="C479" s="6"/>
      <c r="D479" s="6"/>
      <c r="E479" s="58"/>
    </row>
    <row r="480" spans="3:5" x14ac:dyDescent="0.4">
      <c r="C480" s="6"/>
      <c r="D480" s="6"/>
      <c r="E480" s="58"/>
    </row>
    <row r="481" spans="3:5" x14ac:dyDescent="0.4">
      <c r="C481" s="6"/>
      <c r="D481" s="6"/>
      <c r="E481" s="58"/>
    </row>
    <row r="482" spans="3:5" x14ac:dyDescent="0.4">
      <c r="C482" s="6"/>
      <c r="D482" s="6"/>
      <c r="E482" s="58"/>
    </row>
    <row r="483" spans="3:5" x14ac:dyDescent="0.4">
      <c r="C483" s="6"/>
      <c r="D483" s="6"/>
      <c r="E483" s="58"/>
    </row>
    <row r="484" spans="3:5" x14ac:dyDescent="0.4">
      <c r="C484" s="6"/>
      <c r="D484" s="6"/>
      <c r="E484" s="58"/>
    </row>
    <row r="485" spans="3:5" x14ac:dyDescent="0.4">
      <c r="C485" s="6"/>
      <c r="D485" s="6"/>
      <c r="E485" s="58"/>
    </row>
    <row r="486" spans="3:5" x14ac:dyDescent="0.4">
      <c r="C486" s="6"/>
      <c r="D486" s="6"/>
      <c r="E486" s="58"/>
    </row>
    <row r="487" spans="3:5" x14ac:dyDescent="0.4">
      <c r="C487" s="6"/>
      <c r="D487" s="6"/>
      <c r="E487" s="58"/>
    </row>
    <row r="488" spans="3:5" x14ac:dyDescent="0.4">
      <c r="C488" s="6"/>
      <c r="D488" s="6"/>
      <c r="E488" s="58"/>
    </row>
    <row r="489" spans="3:5" x14ac:dyDescent="0.4">
      <c r="C489" s="6"/>
      <c r="D489" s="6"/>
      <c r="E489" s="58"/>
    </row>
    <row r="490" spans="3:5" x14ac:dyDescent="0.4">
      <c r="C490" s="6"/>
      <c r="D490" s="6"/>
      <c r="E490" s="58"/>
    </row>
    <row r="491" spans="3:5" x14ac:dyDescent="0.4">
      <c r="C491" s="6"/>
      <c r="D491" s="6"/>
      <c r="E491" s="58"/>
    </row>
    <row r="492" spans="3:5" x14ac:dyDescent="0.4">
      <c r="C492" s="6"/>
      <c r="D492" s="6"/>
      <c r="E492" s="58"/>
    </row>
    <row r="493" spans="3:5" x14ac:dyDescent="0.4">
      <c r="C493" s="6"/>
      <c r="D493" s="6"/>
      <c r="E493" s="58"/>
    </row>
    <row r="494" spans="3:5" x14ac:dyDescent="0.4">
      <c r="C494" s="6"/>
      <c r="D494" s="6"/>
      <c r="E494" s="58"/>
    </row>
    <row r="495" spans="3:5" x14ac:dyDescent="0.4">
      <c r="C495" s="6"/>
      <c r="D495" s="6"/>
      <c r="E495" s="58"/>
    </row>
    <row r="496" spans="3:5" x14ac:dyDescent="0.4">
      <c r="C496" s="6"/>
      <c r="D496" s="6"/>
      <c r="E496" s="58"/>
    </row>
    <row r="497" spans="3:5" x14ac:dyDescent="0.4">
      <c r="C497" s="6"/>
      <c r="D497" s="6"/>
      <c r="E497" s="58"/>
    </row>
    <row r="498" spans="3:5" x14ac:dyDescent="0.4">
      <c r="C498" s="6"/>
      <c r="D498" s="6"/>
      <c r="E498" s="58"/>
    </row>
    <row r="499" spans="3:5" x14ac:dyDescent="0.4">
      <c r="C499" s="6"/>
      <c r="D499" s="6"/>
      <c r="E499" s="58"/>
    </row>
    <row r="500" spans="3:5" x14ac:dyDescent="0.4">
      <c r="C500" s="6"/>
      <c r="D500" s="6"/>
      <c r="E500" s="58"/>
    </row>
    <row r="501" spans="3:5" x14ac:dyDescent="0.4">
      <c r="C501" s="6"/>
      <c r="D501" s="6"/>
      <c r="E501" s="58"/>
    </row>
    <row r="502" spans="3:5" x14ac:dyDescent="0.4">
      <c r="C502" s="6"/>
      <c r="D502" s="6"/>
      <c r="E502" s="58"/>
    </row>
    <row r="503" spans="3:5" x14ac:dyDescent="0.4">
      <c r="C503" s="6"/>
      <c r="D503" s="6"/>
      <c r="E503" s="58"/>
    </row>
    <row r="504" spans="3:5" x14ac:dyDescent="0.4">
      <c r="C504" s="6"/>
      <c r="D504" s="6"/>
      <c r="E504" s="58"/>
    </row>
    <row r="505" spans="3:5" x14ac:dyDescent="0.4">
      <c r="C505" s="6"/>
      <c r="D505" s="6"/>
      <c r="E505" s="58"/>
    </row>
    <row r="506" spans="3:5" x14ac:dyDescent="0.4">
      <c r="C506" s="6"/>
      <c r="D506" s="6"/>
      <c r="E506" s="58"/>
    </row>
    <row r="507" spans="3:5" x14ac:dyDescent="0.4">
      <c r="C507" s="6"/>
      <c r="D507" s="6"/>
      <c r="E507" s="58"/>
    </row>
    <row r="508" spans="3:5" x14ac:dyDescent="0.4">
      <c r="C508" s="6"/>
      <c r="D508" s="6"/>
      <c r="E508" s="58"/>
    </row>
    <row r="509" spans="3:5" x14ac:dyDescent="0.4">
      <c r="C509" s="6"/>
      <c r="D509" s="6"/>
      <c r="E509" s="58"/>
    </row>
    <row r="510" spans="3:5" x14ac:dyDescent="0.4">
      <c r="C510" s="6"/>
      <c r="D510" s="6"/>
      <c r="E510" s="58"/>
    </row>
    <row r="511" spans="3:5" x14ac:dyDescent="0.4">
      <c r="C511" s="6"/>
      <c r="D511" s="6"/>
      <c r="E511" s="58"/>
    </row>
    <row r="512" spans="3:5" x14ac:dyDescent="0.4">
      <c r="C512" s="6"/>
      <c r="D512" s="6"/>
      <c r="E512" s="58"/>
    </row>
    <row r="513" spans="3:5" x14ac:dyDescent="0.4">
      <c r="C513" s="6"/>
      <c r="D513" s="6"/>
      <c r="E513" s="58"/>
    </row>
    <row r="514" spans="3:5" x14ac:dyDescent="0.4">
      <c r="C514" s="6"/>
      <c r="D514" s="6"/>
      <c r="E514" s="58"/>
    </row>
    <row r="515" spans="3:5" x14ac:dyDescent="0.4">
      <c r="C515" s="6"/>
      <c r="D515" s="6"/>
      <c r="E515" s="58"/>
    </row>
    <row r="516" spans="3:5" x14ac:dyDescent="0.4">
      <c r="C516" s="6"/>
      <c r="D516" s="6"/>
      <c r="E516" s="58"/>
    </row>
    <row r="517" spans="3:5" x14ac:dyDescent="0.4">
      <c r="C517" s="6"/>
      <c r="D517" s="6"/>
      <c r="E517" s="58"/>
    </row>
    <row r="518" spans="3:5" x14ac:dyDescent="0.4">
      <c r="C518" s="6"/>
      <c r="D518" s="6"/>
      <c r="E518" s="58"/>
    </row>
    <row r="519" spans="3:5" x14ac:dyDescent="0.4">
      <c r="C519" s="6"/>
      <c r="D519" s="6"/>
      <c r="E519" s="58"/>
    </row>
    <row r="520" spans="3:5" x14ac:dyDescent="0.4">
      <c r="C520" s="6"/>
      <c r="D520" s="6"/>
      <c r="E520" s="58"/>
    </row>
    <row r="521" spans="3:5" x14ac:dyDescent="0.4">
      <c r="C521" s="6"/>
      <c r="D521" s="6"/>
      <c r="E521" s="58"/>
    </row>
    <row r="522" spans="3:5" x14ac:dyDescent="0.4">
      <c r="C522" s="6"/>
      <c r="D522" s="6"/>
      <c r="E522" s="58"/>
    </row>
    <row r="523" spans="3:5" x14ac:dyDescent="0.4">
      <c r="C523" s="6"/>
      <c r="D523" s="6"/>
      <c r="E523" s="58"/>
    </row>
    <row r="524" spans="3:5" x14ac:dyDescent="0.4">
      <c r="C524" s="6"/>
      <c r="D524" s="6"/>
      <c r="E524" s="58"/>
    </row>
    <row r="525" spans="3:5" x14ac:dyDescent="0.4">
      <c r="C525" s="6"/>
      <c r="D525" s="6"/>
      <c r="E525" s="58"/>
    </row>
    <row r="526" spans="3:5" x14ac:dyDescent="0.4">
      <c r="C526" s="6"/>
      <c r="D526" s="6"/>
      <c r="E526" s="58"/>
    </row>
    <row r="527" spans="3:5" x14ac:dyDescent="0.4">
      <c r="C527" s="6"/>
      <c r="D527" s="6"/>
      <c r="E527" s="58"/>
    </row>
    <row r="528" spans="3:5" x14ac:dyDescent="0.4">
      <c r="C528" s="6"/>
      <c r="D528" s="6"/>
      <c r="E528" s="6"/>
    </row>
    <row r="529" spans="3:5" x14ac:dyDescent="0.4">
      <c r="C529" s="6"/>
      <c r="D529" s="6"/>
      <c r="E529" s="6"/>
    </row>
    <row r="530" spans="3:5" x14ac:dyDescent="0.4">
      <c r="C530" s="6"/>
      <c r="D530" s="6"/>
      <c r="E530" s="6"/>
    </row>
    <row r="531" spans="3:5" x14ac:dyDescent="0.4">
      <c r="C531" s="6"/>
      <c r="D531" s="6"/>
      <c r="E531" s="6"/>
    </row>
    <row r="532" spans="3:5" x14ac:dyDescent="0.4">
      <c r="C532" s="6"/>
      <c r="D532" s="6"/>
      <c r="E532" s="6"/>
    </row>
    <row r="533" spans="3:5" x14ac:dyDescent="0.4">
      <c r="C533" s="6"/>
      <c r="D533" s="6"/>
      <c r="E533" s="6"/>
    </row>
    <row r="534" spans="3:5" x14ac:dyDescent="0.4">
      <c r="C534" s="6"/>
      <c r="D534" s="6"/>
      <c r="E534" s="6"/>
    </row>
    <row r="535" spans="3:5" x14ac:dyDescent="0.4">
      <c r="C535" s="6"/>
      <c r="D535" s="6"/>
      <c r="E535" s="6"/>
    </row>
    <row r="536" spans="3:5" x14ac:dyDescent="0.4">
      <c r="C536" s="6"/>
      <c r="D536" s="6"/>
      <c r="E536" s="6"/>
    </row>
    <row r="537" spans="3:5" x14ac:dyDescent="0.4">
      <c r="C537" s="6"/>
      <c r="D537" s="6"/>
      <c r="E537" s="6"/>
    </row>
    <row r="538" spans="3:5" x14ac:dyDescent="0.4">
      <c r="C538" s="6"/>
      <c r="D538" s="6"/>
      <c r="E538" s="6"/>
    </row>
    <row r="539" spans="3:5" x14ac:dyDescent="0.4">
      <c r="C539" s="6"/>
      <c r="D539" s="6"/>
      <c r="E539" s="6"/>
    </row>
    <row r="540" spans="3:5" x14ac:dyDescent="0.4">
      <c r="C540" s="6"/>
      <c r="D540" s="6"/>
      <c r="E540" s="6"/>
    </row>
    <row r="541" spans="3:5" x14ac:dyDescent="0.4">
      <c r="C541" s="6"/>
      <c r="D541" s="6"/>
      <c r="E541" s="6"/>
    </row>
    <row r="542" spans="3:5" x14ac:dyDescent="0.4">
      <c r="C542" s="6"/>
      <c r="D542" s="6"/>
      <c r="E542" s="6"/>
    </row>
    <row r="543" spans="3:5" x14ac:dyDescent="0.4">
      <c r="C543" s="6"/>
      <c r="D543" s="6"/>
      <c r="E543" s="6"/>
    </row>
    <row r="544" spans="3:5" x14ac:dyDescent="0.4">
      <c r="C544" s="6"/>
      <c r="D544" s="6"/>
      <c r="E544" s="6"/>
    </row>
    <row r="545" spans="3:5" x14ac:dyDescent="0.4">
      <c r="C545" s="6"/>
      <c r="D545" s="6"/>
      <c r="E545" s="6"/>
    </row>
    <row r="546" spans="3:5" x14ac:dyDescent="0.4">
      <c r="C546" s="6"/>
      <c r="D546" s="6"/>
      <c r="E546" s="6"/>
    </row>
    <row r="547" spans="3:5" x14ac:dyDescent="0.4">
      <c r="C547" s="6"/>
      <c r="D547" s="6"/>
      <c r="E547" s="6"/>
    </row>
    <row r="548" spans="3:5" x14ac:dyDescent="0.4">
      <c r="C548" s="6"/>
      <c r="D548" s="6"/>
      <c r="E548" s="6"/>
    </row>
    <row r="549" spans="3:5" x14ac:dyDescent="0.4">
      <c r="C549" s="6"/>
      <c r="D549" s="6"/>
      <c r="E549" s="6"/>
    </row>
    <row r="550" spans="3:5" x14ac:dyDescent="0.4">
      <c r="C550" s="6"/>
      <c r="D550" s="6"/>
      <c r="E550" s="6"/>
    </row>
    <row r="551" spans="3:5" x14ac:dyDescent="0.4">
      <c r="C551" s="6"/>
      <c r="D551" s="6"/>
      <c r="E551" s="6"/>
    </row>
    <row r="552" spans="3:5" x14ac:dyDescent="0.4">
      <c r="C552" s="6"/>
      <c r="D552" s="6"/>
      <c r="E552" s="6"/>
    </row>
    <row r="553" spans="3:5" x14ac:dyDescent="0.4">
      <c r="C553" s="6"/>
      <c r="D553" s="6"/>
      <c r="E553" s="6"/>
    </row>
    <row r="554" spans="3:5" x14ac:dyDescent="0.4">
      <c r="C554" s="6"/>
      <c r="D554" s="6"/>
      <c r="E554" s="6"/>
    </row>
    <row r="555" spans="3:5" x14ac:dyDescent="0.4">
      <c r="C555" s="6"/>
      <c r="D555" s="6"/>
      <c r="E555" s="6"/>
    </row>
    <row r="556" spans="3:5" x14ac:dyDescent="0.4">
      <c r="C556" s="6"/>
      <c r="D556" s="6"/>
      <c r="E556" s="6"/>
    </row>
    <row r="557" spans="3:5" x14ac:dyDescent="0.4">
      <c r="C557" s="6"/>
      <c r="D557" s="6"/>
      <c r="E557" s="6"/>
    </row>
    <row r="558" spans="3:5" x14ac:dyDescent="0.4">
      <c r="C558" s="6"/>
      <c r="D558" s="6"/>
      <c r="E558" s="6"/>
    </row>
    <row r="559" spans="3:5" x14ac:dyDescent="0.4">
      <c r="C559" s="6"/>
      <c r="D559" s="6"/>
      <c r="E559" s="6"/>
    </row>
    <row r="560" spans="3:5" x14ac:dyDescent="0.4">
      <c r="C560" s="6"/>
      <c r="D560" s="6"/>
      <c r="E560" s="6"/>
    </row>
    <row r="561" spans="3:5" x14ac:dyDescent="0.4">
      <c r="C561" s="6"/>
      <c r="D561" s="6"/>
      <c r="E561" s="6"/>
    </row>
    <row r="562" spans="3:5" x14ac:dyDescent="0.4">
      <c r="C562" s="6"/>
      <c r="D562" s="6"/>
      <c r="E562" s="6"/>
    </row>
    <row r="563" spans="3:5" x14ac:dyDescent="0.4">
      <c r="C563" s="6"/>
      <c r="D563" s="6"/>
      <c r="E563" s="6"/>
    </row>
    <row r="564" spans="3:5" x14ac:dyDescent="0.4">
      <c r="C564" s="6"/>
      <c r="D564" s="6"/>
      <c r="E564" s="6"/>
    </row>
    <row r="565" spans="3:5" x14ac:dyDescent="0.4">
      <c r="C565" s="6"/>
      <c r="D565" s="6"/>
      <c r="E565" s="6"/>
    </row>
    <row r="566" spans="3:5" x14ac:dyDescent="0.4">
      <c r="C566" s="6"/>
      <c r="D566" s="6"/>
      <c r="E566" s="6"/>
    </row>
    <row r="567" spans="3:5" x14ac:dyDescent="0.4">
      <c r="C567" s="6"/>
      <c r="D567" s="6"/>
      <c r="E567" s="6"/>
    </row>
    <row r="568" spans="3:5" x14ac:dyDescent="0.4">
      <c r="C568" s="6"/>
      <c r="D568" s="6"/>
      <c r="E568" s="6"/>
    </row>
    <row r="569" spans="3:5" x14ac:dyDescent="0.4">
      <c r="C569" s="6"/>
      <c r="D569" s="6"/>
      <c r="E569" s="6"/>
    </row>
    <row r="570" spans="3:5" x14ac:dyDescent="0.4">
      <c r="C570" s="6"/>
      <c r="D570" s="6"/>
      <c r="E570" s="6"/>
    </row>
    <row r="571" spans="3:5" x14ac:dyDescent="0.4">
      <c r="C571" s="6"/>
      <c r="D571" s="6"/>
      <c r="E571" s="6"/>
    </row>
    <row r="572" spans="3:5" x14ac:dyDescent="0.4">
      <c r="C572" s="6"/>
      <c r="D572" s="6"/>
      <c r="E572" s="6"/>
    </row>
    <row r="573" spans="3:5" x14ac:dyDescent="0.4">
      <c r="C573" s="6"/>
      <c r="D573" s="6"/>
      <c r="E573" s="6"/>
    </row>
    <row r="574" spans="3:5" x14ac:dyDescent="0.4">
      <c r="C574" s="6"/>
      <c r="D574" s="6"/>
      <c r="E574" s="6"/>
    </row>
    <row r="575" spans="3:5" x14ac:dyDescent="0.4">
      <c r="C575" s="6"/>
      <c r="D575" s="6"/>
      <c r="E575" s="6"/>
    </row>
    <row r="576" spans="3:5" x14ac:dyDescent="0.4">
      <c r="C576" s="6"/>
      <c r="D576" s="6"/>
      <c r="E576" s="6"/>
    </row>
    <row r="577" spans="3:5" x14ac:dyDescent="0.4">
      <c r="C577" s="6"/>
      <c r="D577" s="6"/>
      <c r="E577" s="6"/>
    </row>
    <row r="578" spans="3:5" x14ac:dyDescent="0.4">
      <c r="C578" s="6"/>
      <c r="D578" s="6"/>
      <c r="E578" s="6"/>
    </row>
    <row r="579" spans="3:5" x14ac:dyDescent="0.4">
      <c r="C579" s="6"/>
      <c r="D579" s="6"/>
      <c r="E579" s="6"/>
    </row>
    <row r="580" spans="3:5" x14ac:dyDescent="0.4">
      <c r="C580" s="6"/>
      <c r="D580" s="6"/>
      <c r="E580" s="6"/>
    </row>
    <row r="581" spans="3:5" x14ac:dyDescent="0.4">
      <c r="C581" s="6"/>
      <c r="D581" s="6"/>
      <c r="E581" s="6"/>
    </row>
    <row r="582" spans="3:5" x14ac:dyDescent="0.4">
      <c r="C582" s="6"/>
      <c r="D582" s="6"/>
      <c r="E582" s="6"/>
    </row>
    <row r="583" spans="3:5" x14ac:dyDescent="0.4">
      <c r="C583" s="6"/>
      <c r="D583" s="6"/>
      <c r="E583" s="6"/>
    </row>
    <row r="584" spans="3:5" x14ac:dyDescent="0.4">
      <c r="C584" s="6"/>
      <c r="D584" s="6"/>
      <c r="E584" s="6"/>
    </row>
    <row r="585" spans="3:5" x14ac:dyDescent="0.4">
      <c r="C585" s="6"/>
      <c r="D585" s="6"/>
      <c r="E585" s="6"/>
    </row>
    <row r="586" spans="3:5" x14ac:dyDescent="0.4">
      <c r="C586" s="6"/>
      <c r="D586" s="6"/>
      <c r="E586" s="6"/>
    </row>
    <row r="587" spans="3:5" x14ac:dyDescent="0.4">
      <c r="C587" s="6"/>
      <c r="D587" s="6"/>
      <c r="E587" s="6"/>
    </row>
    <row r="588" spans="3:5" x14ac:dyDescent="0.4">
      <c r="C588" s="6"/>
      <c r="D588" s="6"/>
      <c r="E588" s="6"/>
    </row>
    <row r="589" spans="3:5" x14ac:dyDescent="0.4">
      <c r="C589" s="6"/>
      <c r="D589" s="6"/>
      <c r="E589" s="6"/>
    </row>
    <row r="590" spans="3:5" x14ac:dyDescent="0.4">
      <c r="C590" s="6"/>
      <c r="D590" s="6"/>
      <c r="E590" s="6"/>
    </row>
    <row r="591" spans="3:5" x14ac:dyDescent="0.4">
      <c r="C591" s="6"/>
      <c r="D591" s="6"/>
      <c r="E591" s="6"/>
    </row>
    <row r="592" spans="3:5" x14ac:dyDescent="0.4">
      <c r="C592" s="6"/>
      <c r="D592" s="6"/>
      <c r="E592" s="6"/>
    </row>
    <row r="593" spans="3:5" x14ac:dyDescent="0.4">
      <c r="C593" s="6"/>
      <c r="D593" s="6"/>
      <c r="E593" s="6"/>
    </row>
    <row r="594" spans="3:5" x14ac:dyDescent="0.4">
      <c r="C594" s="6"/>
      <c r="D594" s="6"/>
      <c r="E594" s="6"/>
    </row>
    <row r="595" spans="3:5" x14ac:dyDescent="0.4">
      <c r="C595" s="6"/>
      <c r="D595" s="6"/>
      <c r="E595" s="6"/>
    </row>
    <row r="596" spans="3:5" x14ac:dyDescent="0.4">
      <c r="C596" s="6"/>
      <c r="D596" s="6"/>
      <c r="E596" s="6"/>
    </row>
    <row r="597" spans="3:5" x14ac:dyDescent="0.4">
      <c r="C597" s="6"/>
      <c r="D597" s="6"/>
      <c r="E597" s="6"/>
    </row>
    <row r="598" spans="3:5" x14ac:dyDescent="0.4">
      <c r="C598" s="6"/>
      <c r="D598" s="6"/>
      <c r="E598" s="6"/>
    </row>
    <row r="599" spans="3:5" x14ac:dyDescent="0.4">
      <c r="C599" s="6"/>
      <c r="D599" s="6"/>
      <c r="E599" s="6"/>
    </row>
    <row r="600" spans="3:5" x14ac:dyDescent="0.4">
      <c r="C600" s="6"/>
      <c r="D600" s="6"/>
      <c r="E600" s="6"/>
    </row>
    <row r="601" spans="3:5" x14ac:dyDescent="0.4">
      <c r="C601" s="6"/>
      <c r="D601" s="6"/>
      <c r="E601" s="6"/>
    </row>
    <row r="602" spans="3:5" x14ac:dyDescent="0.4">
      <c r="C602" s="6"/>
      <c r="D602" s="6"/>
      <c r="E602" s="6"/>
    </row>
    <row r="603" spans="3:5" x14ac:dyDescent="0.4">
      <c r="C603" s="6"/>
    </row>
  </sheetData>
  <pageMargins left="0.75" right="0.75" top="1" bottom="1" header="0.5" footer="0.5"/>
  <pageSetup scale="76" orientation="portrait" r:id="rId1"/>
  <headerFooter alignWithMargins="0"/>
  <rowBreaks count="11" manualBreakCount="11">
    <brk id="56" max="16383" man="1"/>
    <brk id="86" max="16383" man="1"/>
    <brk id="115" max="16383" man="1"/>
    <brk id="140" max="16383" man="1"/>
    <brk id="161" max="16383" man="1"/>
    <brk id="203" max="4" man="1"/>
    <brk id="227" max="16383" man="1"/>
    <brk id="250" max="16383" man="1"/>
    <brk id="275" max="16383" man="1"/>
    <brk id="301" max="16383" man="1"/>
    <brk id="3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3"/>
  <sheetViews>
    <sheetView view="pageBreakPreview" topLeftCell="A277" zoomScaleNormal="100" zoomScaleSheetLayoutView="100" workbookViewId="0">
      <selection activeCell="E336" sqref="E336"/>
    </sheetView>
  </sheetViews>
  <sheetFormatPr defaultRowHeight="19.5" x14ac:dyDescent="0.4"/>
  <cols>
    <col min="1" max="1" width="3.7109375" style="2" customWidth="1"/>
    <col min="2" max="2" width="50.42578125" style="2" customWidth="1"/>
    <col min="3" max="3" width="16" style="2" bestFit="1" customWidth="1"/>
    <col min="4" max="4" width="17.140625" style="2" bestFit="1" customWidth="1"/>
    <col min="5" max="5" width="18.140625" style="2" bestFit="1" customWidth="1"/>
    <col min="6" max="6" width="14.28515625" style="2" bestFit="1" customWidth="1"/>
    <col min="7" max="7" width="11.85546875" style="2" bestFit="1" customWidth="1"/>
    <col min="8" max="256" width="9.140625" style="2"/>
    <col min="257" max="257" width="3.7109375" style="2" customWidth="1"/>
    <col min="258" max="258" width="50.42578125" style="2" customWidth="1"/>
    <col min="259" max="259" width="16" style="2" bestFit="1" customWidth="1"/>
    <col min="260" max="260" width="17.140625" style="2" bestFit="1" customWidth="1"/>
    <col min="261" max="261" width="18.140625" style="2" bestFit="1" customWidth="1"/>
    <col min="262" max="262" width="14.28515625" style="2" bestFit="1" customWidth="1"/>
    <col min="263" max="512" width="9.140625" style="2"/>
    <col min="513" max="513" width="3.7109375" style="2" customWidth="1"/>
    <col min="514" max="514" width="50.42578125" style="2" customWidth="1"/>
    <col min="515" max="515" width="16" style="2" bestFit="1" customWidth="1"/>
    <col min="516" max="516" width="17.140625" style="2" bestFit="1" customWidth="1"/>
    <col min="517" max="517" width="18.140625" style="2" bestFit="1" customWidth="1"/>
    <col min="518" max="518" width="14.28515625" style="2" bestFit="1" customWidth="1"/>
    <col min="519" max="768" width="9.140625" style="2"/>
    <col min="769" max="769" width="3.7109375" style="2" customWidth="1"/>
    <col min="770" max="770" width="50.42578125" style="2" customWidth="1"/>
    <col min="771" max="771" width="16" style="2" bestFit="1" customWidth="1"/>
    <col min="772" max="772" width="17.140625" style="2" bestFit="1" customWidth="1"/>
    <col min="773" max="773" width="18.140625" style="2" bestFit="1" customWidth="1"/>
    <col min="774" max="774" width="14.28515625" style="2" bestFit="1" customWidth="1"/>
    <col min="775" max="1024" width="9.140625" style="2"/>
    <col min="1025" max="1025" width="3.7109375" style="2" customWidth="1"/>
    <col min="1026" max="1026" width="50.42578125" style="2" customWidth="1"/>
    <col min="1027" max="1027" width="16" style="2" bestFit="1" customWidth="1"/>
    <col min="1028" max="1028" width="17.140625" style="2" bestFit="1" customWidth="1"/>
    <col min="1029" max="1029" width="18.140625" style="2" bestFit="1" customWidth="1"/>
    <col min="1030" max="1030" width="14.28515625" style="2" bestFit="1" customWidth="1"/>
    <col min="1031" max="1280" width="9.140625" style="2"/>
    <col min="1281" max="1281" width="3.7109375" style="2" customWidth="1"/>
    <col min="1282" max="1282" width="50.42578125" style="2" customWidth="1"/>
    <col min="1283" max="1283" width="16" style="2" bestFit="1" customWidth="1"/>
    <col min="1284" max="1284" width="17.140625" style="2" bestFit="1" customWidth="1"/>
    <col min="1285" max="1285" width="18.140625" style="2" bestFit="1" customWidth="1"/>
    <col min="1286" max="1286" width="14.28515625" style="2" bestFit="1" customWidth="1"/>
    <col min="1287" max="1536" width="9.140625" style="2"/>
    <col min="1537" max="1537" width="3.7109375" style="2" customWidth="1"/>
    <col min="1538" max="1538" width="50.42578125" style="2" customWidth="1"/>
    <col min="1539" max="1539" width="16" style="2" bestFit="1" customWidth="1"/>
    <col min="1540" max="1540" width="17.140625" style="2" bestFit="1" customWidth="1"/>
    <col min="1541" max="1541" width="18.140625" style="2" bestFit="1" customWidth="1"/>
    <col min="1542" max="1542" width="14.28515625" style="2" bestFit="1" customWidth="1"/>
    <col min="1543" max="1792" width="9.140625" style="2"/>
    <col min="1793" max="1793" width="3.7109375" style="2" customWidth="1"/>
    <col min="1794" max="1794" width="50.42578125" style="2" customWidth="1"/>
    <col min="1795" max="1795" width="16" style="2" bestFit="1" customWidth="1"/>
    <col min="1796" max="1796" width="17.140625" style="2" bestFit="1" customWidth="1"/>
    <col min="1797" max="1797" width="18.140625" style="2" bestFit="1" customWidth="1"/>
    <col min="1798" max="1798" width="14.28515625" style="2" bestFit="1" customWidth="1"/>
    <col min="1799" max="2048" width="9.140625" style="2"/>
    <col min="2049" max="2049" width="3.7109375" style="2" customWidth="1"/>
    <col min="2050" max="2050" width="50.42578125" style="2" customWidth="1"/>
    <col min="2051" max="2051" width="16" style="2" bestFit="1" customWidth="1"/>
    <col min="2052" max="2052" width="17.140625" style="2" bestFit="1" customWidth="1"/>
    <col min="2053" max="2053" width="18.140625" style="2" bestFit="1" customWidth="1"/>
    <col min="2054" max="2054" width="14.28515625" style="2" bestFit="1" customWidth="1"/>
    <col min="2055" max="2304" width="9.140625" style="2"/>
    <col min="2305" max="2305" width="3.7109375" style="2" customWidth="1"/>
    <col min="2306" max="2306" width="50.42578125" style="2" customWidth="1"/>
    <col min="2307" max="2307" width="16" style="2" bestFit="1" customWidth="1"/>
    <col min="2308" max="2308" width="17.140625" style="2" bestFit="1" customWidth="1"/>
    <col min="2309" max="2309" width="18.140625" style="2" bestFit="1" customWidth="1"/>
    <col min="2310" max="2310" width="14.28515625" style="2" bestFit="1" customWidth="1"/>
    <col min="2311" max="2560" width="9.140625" style="2"/>
    <col min="2561" max="2561" width="3.7109375" style="2" customWidth="1"/>
    <col min="2562" max="2562" width="50.42578125" style="2" customWidth="1"/>
    <col min="2563" max="2563" width="16" style="2" bestFit="1" customWidth="1"/>
    <col min="2564" max="2564" width="17.140625" style="2" bestFit="1" customWidth="1"/>
    <col min="2565" max="2565" width="18.140625" style="2" bestFit="1" customWidth="1"/>
    <col min="2566" max="2566" width="14.28515625" style="2" bestFit="1" customWidth="1"/>
    <col min="2567" max="2816" width="9.140625" style="2"/>
    <col min="2817" max="2817" width="3.7109375" style="2" customWidth="1"/>
    <col min="2818" max="2818" width="50.42578125" style="2" customWidth="1"/>
    <col min="2819" max="2819" width="16" style="2" bestFit="1" customWidth="1"/>
    <col min="2820" max="2820" width="17.140625" style="2" bestFit="1" customWidth="1"/>
    <col min="2821" max="2821" width="18.140625" style="2" bestFit="1" customWidth="1"/>
    <col min="2822" max="2822" width="14.28515625" style="2" bestFit="1" customWidth="1"/>
    <col min="2823" max="3072" width="9.140625" style="2"/>
    <col min="3073" max="3073" width="3.7109375" style="2" customWidth="1"/>
    <col min="3074" max="3074" width="50.42578125" style="2" customWidth="1"/>
    <col min="3075" max="3075" width="16" style="2" bestFit="1" customWidth="1"/>
    <col min="3076" max="3076" width="17.140625" style="2" bestFit="1" customWidth="1"/>
    <col min="3077" max="3077" width="18.140625" style="2" bestFit="1" customWidth="1"/>
    <col min="3078" max="3078" width="14.28515625" style="2" bestFit="1" customWidth="1"/>
    <col min="3079" max="3328" width="9.140625" style="2"/>
    <col min="3329" max="3329" width="3.7109375" style="2" customWidth="1"/>
    <col min="3330" max="3330" width="50.42578125" style="2" customWidth="1"/>
    <col min="3331" max="3331" width="16" style="2" bestFit="1" customWidth="1"/>
    <col min="3332" max="3332" width="17.140625" style="2" bestFit="1" customWidth="1"/>
    <col min="3333" max="3333" width="18.140625" style="2" bestFit="1" customWidth="1"/>
    <col min="3334" max="3334" width="14.28515625" style="2" bestFit="1" customWidth="1"/>
    <col min="3335" max="3584" width="9.140625" style="2"/>
    <col min="3585" max="3585" width="3.7109375" style="2" customWidth="1"/>
    <col min="3586" max="3586" width="50.42578125" style="2" customWidth="1"/>
    <col min="3587" max="3587" width="16" style="2" bestFit="1" customWidth="1"/>
    <col min="3588" max="3588" width="17.140625" style="2" bestFit="1" customWidth="1"/>
    <col min="3589" max="3589" width="18.140625" style="2" bestFit="1" customWidth="1"/>
    <col min="3590" max="3590" width="14.28515625" style="2" bestFit="1" customWidth="1"/>
    <col min="3591" max="3840" width="9.140625" style="2"/>
    <col min="3841" max="3841" width="3.7109375" style="2" customWidth="1"/>
    <col min="3842" max="3842" width="50.42578125" style="2" customWidth="1"/>
    <col min="3843" max="3843" width="16" style="2" bestFit="1" customWidth="1"/>
    <col min="3844" max="3844" width="17.140625" style="2" bestFit="1" customWidth="1"/>
    <col min="3845" max="3845" width="18.140625" style="2" bestFit="1" customWidth="1"/>
    <col min="3846" max="3846" width="14.28515625" style="2" bestFit="1" customWidth="1"/>
    <col min="3847" max="4096" width="9.140625" style="2"/>
    <col min="4097" max="4097" width="3.7109375" style="2" customWidth="1"/>
    <col min="4098" max="4098" width="50.42578125" style="2" customWidth="1"/>
    <col min="4099" max="4099" width="16" style="2" bestFit="1" customWidth="1"/>
    <col min="4100" max="4100" width="17.140625" style="2" bestFit="1" customWidth="1"/>
    <col min="4101" max="4101" width="18.140625" style="2" bestFit="1" customWidth="1"/>
    <col min="4102" max="4102" width="14.28515625" style="2" bestFit="1" customWidth="1"/>
    <col min="4103" max="4352" width="9.140625" style="2"/>
    <col min="4353" max="4353" width="3.7109375" style="2" customWidth="1"/>
    <col min="4354" max="4354" width="50.42578125" style="2" customWidth="1"/>
    <col min="4355" max="4355" width="16" style="2" bestFit="1" customWidth="1"/>
    <col min="4356" max="4356" width="17.140625" style="2" bestFit="1" customWidth="1"/>
    <col min="4357" max="4357" width="18.140625" style="2" bestFit="1" customWidth="1"/>
    <col min="4358" max="4358" width="14.28515625" style="2" bestFit="1" customWidth="1"/>
    <col min="4359" max="4608" width="9.140625" style="2"/>
    <col min="4609" max="4609" width="3.7109375" style="2" customWidth="1"/>
    <col min="4610" max="4610" width="50.42578125" style="2" customWidth="1"/>
    <col min="4611" max="4611" width="16" style="2" bestFit="1" customWidth="1"/>
    <col min="4612" max="4612" width="17.140625" style="2" bestFit="1" customWidth="1"/>
    <col min="4613" max="4613" width="18.140625" style="2" bestFit="1" customWidth="1"/>
    <col min="4614" max="4614" width="14.28515625" style="2" bestFit="1" customWidth="1"/>
    <col min="4615" max="4864" width="9.140625" style="2"/>
    <col min="4865" max="4865" width="3.7109375" style="2" customWidth="1"/>
    <col min="4866" max="4866" width="50.42578125" style="2" customWidth="1"/>
    <col min="4867" max="4867" width="16" style="2" bestFit="1" customWidth="1"/>
    <col min="4868" max="4868" width="17.140625" style="2" bestFit="1" customWidth="1"/>
    <col min="4869" max="4869" width="18.140625" style="2" bestFit="1" customWidth="1"/>
    <col min="4870" max="4870" width="14.28515625" style="2" bestFit="1" customWidth="1"/>
    <col min="4871" max="5120" width="9.140625" style="2"/>
    <col min="5121" max="5121" width="3.7109375" style="2" customWidth="1"/>
    <col min="5122" max="5122" width="50.42578125" style="2" customWidth="1"/>
    <col min="5123" max="5123" width="16" style="2" bestFit="1" customWidth="1"/>
    <col min="5124" max="5124" width="17.140625" style="2" bestFit="1" customWidth="1"/>
    <col min="5125" max="5125" width="18.140625" style="2" bestFit="1" customWidth="1"/>
    <col min="5126" max="5126" width="14.28515625" style="2" bestFit="1" customWidth="1"/>
    <col min="5127" max="5376" width="9.140625" style="2"/>
    <col min="5377" max="5377" width="3.7109375" style="2" customWidth="1"/>
    <col min="5378" max="5378" width="50.42578125" style="2" customWidth="1"/>
    <col min="5379" max="5379" width="16" style="2" bestFit="1" customWidth="1"/>
    <col min="5380" max="5380" width="17.140625" style="2" bestFit="1" customWidth="1"/>
    <col min="5381" max="5381" width="18.140625" style="2" bestFit="1" customWidth="1"/>
    <col min="5382" max="5382" width="14.28515625" style="2" bestFit="1" customWidth="1"/>
    <col min="5383" max="5632" width="9.140625" style="2"/>
    <col min="5633" max="5633" width="3.7109375" style="2" customWidth="1"/>
    <col min="5634" max="5634" width="50.42578125" style="2" customWidth="1"/>
    <col min="5635" max="5635" width="16" style="2" bestFit="1" customWidth="1"/>
    <col min="5636" max="5636" width="17.140625" style="2" bestFit="1" customWidth="1"/>
    <col min="5637" max="5637" width="18.140625" style="2" bestFit="1" customWidth="1"/>
    <col min="5638" max="5638" width="14.28515625" style="2" bestFit="1" customWidth="1"/>
    <col min="5639" max="5888" width="9.140625" style="2"/>
    <col min="5889" max="5889" width="3.7109375" style="2" customWidth="1"/>
    <col min="5890" max="5890" width="50.42578125" style="2" customWidth="1"/>
    <col min="5891" max="5891" width="16" style="2" bestFit="1" customWidth="1"/>
    <col min="5892" max="5892" width="17.140625" style="2" bestFit="1" customWidth="1"/>
    <col min="5893" max="5893" width="18.140625" style="2" bestFit="1" customWidth="1"/>
    <col min="5894" max="5894" width="14.28515625" style="2" bestFit="1" customWidth="1"/>
    <col min="5895" max="6144" width="9.140625" style="2"/>
    <col min="6145" max="6145" width="3.7109375" style="2" customWidth="1"/>
    <col min="6146" max="6146" width="50.42578125" style="2" customWidth="1"/>
    <col min="6147" max="6147" width="16" style="2" bestFit="1" customWidth="1"/>
    <col min="6148" max="6148" width="17.140625" style="2" bestFit="1" customWidth="1"/>
    <col min="6149" max="6149" width="18.140625" style="2" bestFit="1" customWidth="1"/>
    <col min="6150" max="6150" width="14.28515625" style="2" bestFit="1" customWidth="1"/>
    <col min="6151" max="6400" width="9.140625" style="2"/>
    <col min="6401" max="6401" width="3.7109375" style="2" customWidth="1"/>
    <col min="6402" max="6402" width="50.42578125" style="2" customWidth="1"/>
    <col min="6403" max="6403" width="16" style="2" bestFit="1" customWidth="1"/>
    <col min="6404" max="6404" width="17.140625" style="2" bestFit="1" customWidth="1"/>
    <col min="6405" max="6405" width="18.140625" style="2" bestFit="1" customWidth="1"/>
    <col min="6406" max="6406" width="14.28515625" style="2" bestFit="1" customWidth="1"/>
    <col min="6407" max="6656" width="9.140625" style="2"/>
    <col min="6657" max="6657" width="3.7109375" style="2" customWidth="1"/>
    <col min="6658" max="6658" width="50.42578125" style="2" customWidth="1"/>
    <col min="6659" max="6659" width="16" style="2" bestFit="1" customWidth="1"/>
    <col min="6660" max="6660" width="17.140625" style="2" bestFit="1" customWidth="1"/>
    <col min="6661" max="6661" width="18.140625" style="2" bestFit="1" customWidth="1"/>
    <col min="6662" max="6662" width="14.28515625" style="2" bestFit="1" customWidth="1"/>
    <col min="6663" max="6912" width="9.140625" style="2"/>
    <col min="6913" max="6913" width="3.7109375" style="2" customWidth="1"/>
    <col min="6914" max="6914" width="50.42578125" style="2" customWidth="1"/>
    <col min="6915" max="6915" width="16" style="2" bestFit="1" customWidth="1"/>
    <col min="6916" max="6916" width="17.140625" style="2" bestFit="1" customWidth="1"/>
    <col min="6917" max="6917" width="18.140625" style="2" bestFit="1" customWidth="1"/>
    <col min="6918" max="6918" width="14.28515625" style="2" bestFit="1" customWidth="1"/>
    <col min="6919" max="7168" width="9.140625" style="2"/>
    <col min="7169" max="7169" width="3.7109375" style="2" customWidth="1"/>
    <col min="7170" max="7170" width="50.42578125" style="2" customWidth="1"/>
    <col min="7171" max="7171" width="16" style="2" bestFit="1" customWidth="1"/>
    <col min="7172" max="7172" width="17.140625" style="2" bestFit="1" customWidth="1"/>
    <col min="7173" max="7173" width="18.140625" style="2" bestFit="1" customWidth="1"/>
    <col min="7174" max="7174" width="14.28515625" style="2" bestFit="1" customWidth="1"/>
    <col min="7175" max="7424" width="9.140625" style="2"/>
    <col min="7425" max="7425" width="3.7109375" style="2" customWidth="1"/>
    <col min="7426" max="7426" width="50.42578125" style="2" customWidth="1"/>
    <col min="7427" max="7427" width="16" style="2" bestFit="1" customWidth="1"/>
    <col min="7428" max="7428" width="17.140625" style="2" bestFit="1" customWidth="1"/>
    <col min="7429" max="7429" width="18.140625" style="2" bestFit="1" customWidth="1"/>
    <col min="7430" max="7430" width="14.28515625" style="2" bestFit="1" customWidth="1"/>
    <col min="7431" max="7680" width="9.140625" style="2"/>
    <col min="7681" max="7681" width="3.7109375" style="2" customWidth="1"/>
    <col min="7682" max="7682" width="50.42578125" style="2" customWidth="1"/>
    <col min="7683" max="7683" width="16" style="2" bestFit="1" customWidth="1"/>
    <col min="7684" max="7684" width="17.140625" style="2" bestFit="1" customWidth="1"/>
    <col min="7685" max="7685" width="18.140625" style="2" bestFit="1" customWidth="1"/>
    <col min="7686" max="7686" width="14.28515625" style="2" bestFit="1" customWidth="1"/>
    <col min="7687" max="7936" width="9.140625" style="2"/>
    <col min="7937" max="7937" width="3.7109375" style="2" customWidth="1"/>
    <col min="7938" max="7938" width="50.42578125" style="2" customWidth="1"/>
    <col min="7939" max="7939" width="16" style="2" bestFit="1" customWidth="1"/>
    <col min="7940" max="7940" width="17.140625" style="2" bestFit="1" customWidth="1"/>
    <col min="7941" max="7941" width="18.140625" style="2" bestFit="1" customWidth="1"/>
    <col min="7942" max="7942" width="14.28515625" style="2" bestFit="1" customWidth="1"/>
    <col min="7943" max="8192" width="9.140625" style="2"/>
    <col min="8193" max="8193" width="3.7109375" style="2" customWidth="1"/>
    <col min="8194" max="8194" width="50.42578125" style="2" customWidth="1"/>
    <col min="8195" max="8195" width="16" style="2" bestFit="1" customWidth="1"/>
    <col min="8196" max="8196" width="17.140625" style="2" bestFit="1" customWidth="1"/>
    <col min="8197" max="8197" width="18.140625" style="2" bestFit="1" customWidth="1"/>
    <col min="8198" max="8198" width="14.28515625" style="2" bestFit="1" customWidth="1"/>
    <col min="8199" max="8448" width="9.140625" style="2"/>
    <col min="8449" max="8449" width="3.7109375" style="2" customWidth="1"/>
    <col min="8450" max="8450" width="50.42578125" style="2" customWidth="1"/>
    <col min="8451" max="8451" width="16" style="2" bestFit="1" customWidth="1"/>
    <col min="8452" max="8452" width="17.140625" style="2" bestFit="1" customWidth="1"/>
    <col min="8453" max="8453" width="18.140625" style="2" bestFit="1" customWidth="1"/>
    <col min="8454" max="8454" width="14.28515625" style="2" bestFit="1" customWidth="1"/>
    <col min="8455" max="8704" width="9.140625" style="2"/>
    <col min="8705" max="8705" width="3.7109375" style="2" customWidth="1"/>
    <col min="8706" max="8706" width="50.42578125" style="2" customWidth="1"/>
    <col min="8707" max="8707" width="16" style="2" bestFit="1" customWidth="1"/>
    <col min="8708" max="8708" width="17.140625" style="2" bestFit="1" customWidth="1"/>
    <col min="8709" max="8709" width="18.140625" style="2" bestFit="1" customWidth="1"/>
    <col min="8710" max="8710" width="14.28515625" style="2" bestFit="1" customWidth="1"/>
    <col min="8711" max="8960" width="9.140625" style="2"/>
    <col min="8961" max="8961" width="3.7109375" style="2" customWidth="1"/>
    <col min="8962" max="8962" width="50.42578125" style="2" customWidth="1"/>
    <col min="8963" max="8963" width="16" style="2" bestFit="1" customWidth="1"/>
    <col min="8964" max="8964" width="17.140625" style="2" bestFit="1" customWidth="1"/>
    <col min="8965" max="8965" width="18.140625" style="2" bestFit="1" customWidth="1"/>
    <col min="8966" max="8966" width="14.28515625" style="2" bestFit="1" customWidth="1"/>
    <col min="8967" max="9216" width="9.140625" style="2"/>
    <col min="9217" max="9217" width="3.7109375" style="2" customWidth="1"/>
    <col min="9218" max="9218" width="50.42578125" style="2" customWidth="1"/>
    <col min="9219" max="9219" width="16" style="2" bestFit="1" customWidth="1"/>
    <col min="9220" max="9220" width="17.140625" style="2" bestFit="1" customWidth="1"/>
    <col min="9221" max="9221" width="18.140625" style="2" bestFit="1" customWidth="1"/>
    <col min="9222" max="9222" width="14.28515625" style="2" bestFit="1" customWidth="1"/>
    <col min="9223" max="9472" width="9.140625" style="2"/>
    <col min="9473" max="9473" width="3.7109375" style="2" customWidth="1"/>
    <col min="9474" max="9474" width="50.42578125" style="2" customWidth="1"/>
    <col min="9475" max="9475" width="16" style="2" bestFit="1" customWidth="1"/>
    <col min="9476" max="9476" width="17.140625" style="2" bestFit="1" customWidth="1"/>
    <col min="9477" max="9477" width="18.140625" style="2" bestFit="1" customWidth="1"/>
    <col min="9478" max="9478" width="14.28515625" style="2" bestFit="1" customWidth="1"/>
    <col min="9479" max="9728" width="9.140625" style="2"/>
    <col min="9729" max="9729" width="3.7109375" style="2" customWidth="1"/>
    <col min="9730" max="9730" width="50.42578125" style="2" customWidth="1"/>
    <col min="9731" max="9731" width="16" style="2" bestFit="1" customWidth="1"/>
    <col min="9732" max="9732" width="17.140625" style="2" bestFit="1" customWidth="1"/>
    <col min="9733" max="9733" width="18.140625" style="2" bestFit="1" customWidth="1"/>
    <col min="9734" max="9734" width="14.28515625" style="2" bestFit="1" customWidth="1"/>
    <col min="9735" max="9984" width="9.140625" style="2"/>
    <col min="9985" max="9985" width="3.7109375" style="2" customWidth="1"/>
    <col min="9986" max="9986" width="50.42578125" style="2" customWidth="1"/>
    <col min="9987" max="9987" width="16" style="2" bestFit="1" customWidth="1"/>
    <col min="9988" max="9988" width="17.140625" style="2" bestFit="1" customWidth="1"/>
    <col min="9989" max="9989" width="18.140625" style="2" bestFit="1" customWidth="1"/>
    <col min="9990" max="9990" width="14.28515625" style="2" bestFit="1" customWidth="1"/>
    <col min="9991" max="10240" width="9.140625" style="2"/>
    <col min="10241" max="10241" width="3.7109375" style="2" customWidth="1"/>
    <col min="10242" max="10242" width="50.42578125" style="2" customWidth="1"/>
    <col min="10243" max="10243" width="16" style="2" bestFit="1" customWidth="1"/>
    <col min="10244" max="10244" width="17.140625" style="2" bestFit="1" customWidth="1"/>
    <col min="10245" max="10245" width="18.140625" style="2" bestFit="1" customWidth="1"/>
    <col min="10246" max="10246" width="14.28515625" style="2" bestFit="1" customWidth="1"/>
    <col min="10247" max="10496" width="9.140625" style="2"/>
    <col min="10497" max="10497" width="3.7109375" style="2" customWidth="1"/>
    <col min="10498" max="10498" width="50.42578125" style="2" customWidth="1"/>
    <col min="10499" max="10499" width="16" style="2" bestFit="1" customWidth="1"/>
    <col min="10500" max="10500" width="17.140625" style="2" bestFit="1" customWidth="1"/>
    <col min="10501" max="10501" width="18.140625" style="2" bestFit="1" customWidth="1"/>
    <col min="10502" max="10502" width="14.28515625" style="2" bestFit="1" customWidth="1"/>
    <col min="10503" max="10752" width="9.140625" style="2"/>
    <col min="10753" max="10753" width="3.7109375" style="2" customWidth="1"/>
    <col min="10754" max="10754" width="50.42578125" style="2" customWidth="1"/>
    <col min="10755" max="10755" width="16" style="2" bestFit="1" customWidth="1"/>
    <col min="10756" max="10756" width="17.140625" style="2" bestFit="1" customWidth="1"/>
    <col min="10757" max="10757" width="18.140625" style="2" bestFit="1" customWidth="1"/>
    <col min="10758" max="10758" width="14.28515625" style="2" bestFit="1" customWidth="1"/>
    <col min="10759" max="11008" width="9.140625" style="2"/>
    <col min="11009" max="11009" width="3.7109375" style="2" customWidth="1"/>
    <col min="11010" max="11010" width="50.42578125" style="2" customWidth="1"/>
    <col min="11011" max="11011" width="16" style="2" bestFit="1" customWidth="1"/>
    <col min="11012" max="11012" width="17.140625" style="2" bestFit="1" customWidth="1"/>
    <col min="11013" max="11013" width="18.140625" style="2" bestFit="1" customWidth="1"/>
    <col min="11014" max="11014" width="14.28515625" style="2" bestFit="1" customWidth="1"/>
    <col min="11015" max="11264" width="9.140625" style="2"/>
    <col min="11265" max="11265" width="3.7109375" style="2" customWidth="1"/>
    <col min="11266" max="11266" width="50.42578125" style="2" customWidth="1"/>
    <col min="11267" max="11267" width="16" style="2" bestFit="1" customWidth="1"/>
    <col min="11268" max="11268" width="17.140625" style="2" bestFit="1" customWidth="1"/>
    <col min="11269" max="11269" width="18.140625" style="2" bestFit="1" customWidth="1"/>
    <col min="11270" max="11270" width="14.28515625" style="2" bestFit="1" customWidth="1"/>
    <col min="11271" max="11520" width="9.140625" style="2"/>
    <col min="11521" max="11521" width="3.7109375" style="2" customWidth="1"/>
    <col min="11522" max="11522" width="50.42578125" style="2" customWidth="1"/>
    <col min="11523" max="11523" width="16" style="2" bestFit="1" customWidth="1"/>
    <col min="11524" max="11524" width="17.140625" style="2" bestFit="1" customWidth="1"/>
    <col min="11525" max="11525" width="18.140625" style="2" bestFit="1" customWidth="1"/>
    <col min="11526" max="11526" width="14.28515625" style="2" bestFit="1" customWidth="1"/>
    <col min="11527" max="11776" width="9.140625" style="2"/>
    <col min="11777" max="11777" width="3.7109375" style="2" customWidth="1"/>
    <col min="11778" max="11778" width="50.42578125" style="2" customWidth="1"/>
    <col min="11779" max="11779" width="16" style="2" bestFit="1" customWidth="1"/>
    <col min="11780" max="11780" width="17.140625" style="2" bestFit="1" customWidth="1"/>
    <col min="11781" max="11781" width="18.140625" style="2" bestFit="1" customWidth="1"/>
    <col min="11782" max="11782" width="14.28515625" style="2" bestFit="1" customWidth="1"/>
    <col min="11783" max="12032" width="9.140625" style="2"/>
    <col min="12033" max="12033" width="3.7109375" style="2" customWidth="1"/>
    <col min="12034" max="12034" width="50.42578125" style="2" customWidth="1"/>
    <col min="12035" max="12035" width="16" style="2" bestFit="1" customWidth="1"/>
    <col min="12036" max="12036" width="17.140625" style="2" bestFit="1" customWidth="1"/>
    <col min="12037" max="12037" width="18.140625" style="2" bestFit="1" customWidth="1"/>
    <col min="12038" max="12038" width="14.28515625" style="2" bestFit="1" customWidth="1"/>
    <col min="12039" max="12288" width="9.140625" style="2"/>
    <col min="12289" max="12289" width="3.7109375" style="2" customWidth="1"/>
    <col min="12290" max="12290" width="50.42578125" style="2" customWidth="1"/>
    <col min="12291" max="12291" width="16" style="2" bestFit="1" customWidth="1"/>
    <col min="12292" max="12292" width="17.140625" style="2" bestFit="1" customWidth="1"/>
    <col min="12293" max="12293" width="18.140625" style="2" bestFit="1" customWidth="1"/>
    <col min="12294" max="12294" width="14.28515625" style="2" bestFit="1" customWidth="1"/>
    <col min="12295" max="12544" width="9.140625" style="2"/>
    <col min="12545" max="12545" width="3.7109375" style="2" customWidth="1"/>
    <col min="12546" max="12546" width="50.42578125" style="2" customWidth="1"/>
    <col min="12547" max="12547" width="16" style="2" bestFit="1" customWidth="1"/>
    <col min="12548" max="12548" width="17.140625" style="2" bestFit="1" customWidth="1"/>
    <col min="12549" max="12549" width="18.140625" style="2" bestFit="1" customWidth="1"/>
    <col min="12550" max="12550" width="14.28515625" style="2" bestFit="1" customWidth="1"/>
    <col min="12551" max="12800" width="9.140625" style="2"/>
    <col min="12801" max="12801" width="3.7109375" style="2" customWidth="1"/>
    <col min="12802" max="12802" width="50.42578125" style="2" customWidth="1"/>
    <col min="12803" max="12803" width="16" style="2" bestFit="1" customWidth="1"/>
    <col min="12804" max="12804" width="17.140625" style="2" bestFit="1" customWidth="1"/>
    <col min="12805" max="12805" width="18.140625" style="2" bestFit="1" customWidth="1"/>
    <col min="12806" max="12806" width="14.28515625" style="2" bestFit="1" customWidth="1"/>
    <col min="12807" max="13056" width="9.140625" style="2"/>
    <col min="13057" max="13057" width="3.7109375" style="2" customWidth="1"/>
    <col min="13058" max="13058" width="50.42578125" style="2" customWidth="1"/>
    <col min="13059" max="13059" width="16" style="2" bestFit="1" customWidth="1"/>
    <col min="13060" max="13060" width="17.140625" style="2" bestFit="1" customWidth="1"/>
    <col min="13061" max="13061" width="18.140625" style="2" bestFit="1" customWidth="1"/>
    <col min="13062" max="13062" width="14.28515625" style="2" bestFit="1" customWidth="1"/>
    <col min="13063" max="13312" width="9.140625" style="2"/>
    <col min="13313" max="13313" width="3.7109375" style="2" customWidth="1"/>
    <col min="13314" max="13314" width="50.42578125" style="2" customWidth="1"/>
    <col min="13315" max="13315" width="16" style="2" bestFit="1" customWidth="1"/>
    <col min="13316" max="13316" width="17.140625" style="2" bestFit="1" customWidth="1"/>
    <col min="13317" max="13317" width="18.140625" style="2" bestFit="1" customWidth="1"/>
    <col min="13318" max="13318" width="14.28515625" style="2" bestFit="1" customWidth="1"/>
    <col min="13319" max="13568" width="9.140625" style="2"/>
    <col min="13569" max="13569" width="3.7109375" style="2" customWidth="1"/>
    <col min="13570" max="13570" width="50.42578125" style="2" customWidth="1"/>
    <col min="13571" max="13571" width="16" style="2" bestFit="1" customWidth="1"/>
    <col min="13572" max="13572" width="17.140625" style="2" bestFit="1" customWidth="1"/>
    <col min="13573" max="13573" width="18.140625" style="2" bestFit="1" customWidth="1"/>
    <col min="13574" max="13574" width="14.28515625" style="2" bestFit="1" customWidth="1"/>
    <col min="13575" max="13824" width="9.140625" style="2"/>
    <col min="13825" max="13825" width="3.7109375" style="2" customWidth="1"/>
    <col min="13826" max="13826" width="50.42578125" style="2" customWidth="1"/>
    <col min="13827" max="13827" width="16" style="2" bestFit="1" customWidth="1"/>
    <col min="13828" max="13828" width="17.140625" style="2" bestFit="1" customWidth="1"/>
    <col min="13829" max="13829" width="18.140625" style="2" bestFit="1" customWidth="1"/>
    <col min="13830" max="13830" width="14.28515625" style="2" bestFit="1" customWidth="1"/>
    <col min="13831" max="14080" width="9.140625" style="2"/>
    <col min="14081" max="14081" width="3.7109375" style="2" customWidth="1"/>
    <col min="14082" max="14082" width="50.42578125" style="2" customWidth="1"/>
    <col min="14083" max="14083" width="16" style="2" bestFit="1" customWidth="1"/>
    <col min="14084" max="14084" width="17.140625" style="2" bestFit="1" customWidth="1"/>
    <col min="14085" max="14085" width="18.140625" style="2" bestFit="1" customWidth="1"/>
    <col min="14086" max="14086" width="14.28515625" style="2" bestFit="1" customWidth="1"/>
    <col min="14087" max="14336" width="9.140625" style="2"/>
    <col min="14337" max="14337" width="3.7109375" style="2" customWidth="1"/>
    <col min="14338" max="14338" width="50.42578125" style="2" customWidth="1"/>
    <col min="14339" max="14339" width="16" style="2" bestFit="1" customWidth="1"/>
    <col min="14340" max="14340" width="17.140625" style="2" bestFit="1" customWidth="1"/>
    <col min="14341" max="14341" width="18.140625" style="2" bestFit="1" customWidth="1"/>
    <col min="14342" max="14342" width="14.28515625" style="2" bestFit="1" customWidth="1"/>
    <col min="14343" max="14592" width="9.140625" style="2"/>
    <col min="14593" max="14593" width="3.7109375" style="2" customWidth="1"/>
    <col min="14594" max="14594" width="50.42578125" style="2" customWidth="1"/>
    <col min="14595" max="14595" width="16" style="2" bestFit="1" customWidth="1"/>
    <col min="14596" max="14596" width="17.140625" style="2" bestFit="1" customWidth="1"/>
    <col min="14597" max="14597" width="18.140625" style="2" bestFit="1" customWidth="1"/>
    <col min="14598" max="14598" width="14.28515625" style="2" bestFit="1" customWidth="1"/>
    <col min="14599" max="14848" width="9.140625" style="2"/>
    <col min="14849" max="14849" width="3.7109375" style="2" customWidth="1"/>
    <col min="14850" max="14850" width="50.42578125" style="2" customWidth="1"/>
    <col min="14851" max="14851" width="16" style="2" bestFit="1" customWidth="1"/>
    <col min="14852" max="14852" width="17.140625" style="2" bestFit="1" customWidth="1"/>
    <col min="14853" max="14853" width="18.140625" style="2" bestFit="1" customWidth="1"/>
    <col min="14854" max="14854" width="14.28515625" style="2" bestFit="1" customWidth="1"/>
    <col min="14855" max="15104" width="9.140625" style="2"/>
    <col min="15105" max="15105" width="3.7109375" style="2" customWidth="1"/>
    <col min="15106" max="15106" width="50.42578125" style="2" customWidth="1"/>
    <col min="15107" max="15107" width="16" style="2" bestFit="1" customWidth="1"/>
    <col min="15108" max="15108" width="17.140625" style="2" bestFit="1" customWidth="1"/>
    <col min="15109" max="15109" width="18.140625" style="2" bestFit="1" customWidth="1"/>
    <col min="15110" max="15110" width="14.28515625" style="2" bestFit="1" customWidth="1"/>
    <col min="15111" max="15360" width="9.140625" style="2"/>
    <col min="15361" max="15361" width="3.7109375" style="2" customWidth="1"/>
    <col min="15362" max="15362" width="50.42578125" style="2" customWidth="1"/>
    <col min="15363" max="15363" width="16" style="2" bestFit="1" customWidth="1"/>
    <col min="15364" max="15364" width="17.140625" style="2" bestFit="1" customWidth="1"/>
    <col min="15365" max="15365" width="18.140625" style="2" bestFit="1" customWidth="1"/>
    <col min="15366" max="15366" width="14.28515625" style="2" bestFit="1" customWidth="1"/>
    <col min="15367" max="15616" width="9.140625" style="2"/>
    <col min="15617" max="15617" width="3.7109375" style="2" customWidth="1"/>
    <col min="15618" max="15618" width="50.42578125" style="2" customWidth="1"/>
    <col min="15619" max="15619" width="16" style="2" bestFit="1" customWidth="1"/>
    <col min="15620" max="15620" width="17.140625" style="2" bestFit="1" customWidth="1"/>
    <col min="15621" max="15621" width="18.140625" style="2" bestFit="1" customWidth="1"/>
    <col min="15622" max="15622" width="14.28515625" style="2" bestFit="1" customWidth="1"/>
    <col min="15623" max="15872" width="9.140625" style="2"/>
    <col min="15873" max="15873" width="3.7109375" style="2" customWidth="1"/>
    <col min="15874" max="15874" width="50.42578125" style="2" customWidth="1"/>
    <col min="15875" max="15875" width="16" style="2" bestFit="1" customWidth="1"/>
    <col min="15876" max="15876" width="17.140625" style="2" bestFit="1" customWidth="1"/>
    <col min="15877" max="15877" width="18.140625" style="2" bestFit="1" customWidth="1"/>
    <col min="15878" max="15878" width="14.28515625" style="2" bestFit="1" customWidth="1"/>
    <col min="15879" max="16128" width="9.140625" style="2"/>
    <col min="16129" max="16129" width="3.7109375" style="2" customWidth="1"/>
    <col min="16130" max="16130" width="50.42578125" style="2" customWidth="1"/>
    <col min="16131" max="16131" width="16" style="2" bestFit="1" customWidth="1"/>
    <col min="16132" max="16132" width="17.140625" style="2" bestFit="1" customWidth="1"/>
    <col min="16133" max="16133" width="18.140625" style="2" bestFit="1" customWidth="1"/>
    <col min="16134" max="16134" width="14.28515625" style="2" bestFit="1" customWidth="1"/>
    <col min="16135" max="16384" width="9.140625" style="2"/>
  </cols>
  <sheetData>
    <row r="1" spans="2:4" x14ac:dyDescent="0.4">
      <c r="B1" s="1" t="s">
        <v>0</v>
      </c>
    </row>
    <row r="2" spans="2:4" x14ac:dyDescent="0.4">
      <c r="B2" s="1" t="s">
        <v>1</v>
      </c>
    </row>
    <row r="3" spans="2:4" ht="17.45" customHeight="1" x14ac:dyDescent="0.4">
      <c r="B3" s="3" t="s">
        <v>2</v>
      </c>
      <c r="C3" s="4" t="s">
        <v>3</v>
      </c>
    </row>
    <row r="4" spans="2:4" x14ac:dyDescent="0.4">
      <c r="B4" s="2" t="s">
        <v>4</v>
      </c>
      <c r="C4" s="5">
        <v>4700</v>
      </c>
    </row>
    <row r="5" spans="2:4" x14ac:dyDescent="0.4">
      <c r="B5" s="2" t="s">
        <v>5</v>
      </c>
      <c r="C5" s="5">
        <v>150000</v>
      </c>
    </row>
    <row r="6" spans="2:4" x14ac:dyDescent="0.4">
      <c r="B6" s="2" t="s">
        <v>6</v>
      </c>
      <c r="C6" s="5">
        <v>45000</v>
      </c>
    </row>
    <row r="7" spans="2:4" x14ac:dyDescent="0.4">
      <c r="B7" s="2" t="s">
        <v>7</v>
      </c>
      <c r="C7" s="5">
        <v>280000</v>
      </c>
    </row>
    <row r="8" spans="2:4" x14ac:dyDescent="0.4">
      <c r="B8" s="2" t="s">
        <v>8</v>
      </c>
      <c r="C8" s="5">
        <v>235000</v>
      </c>
    </row>
    <row r="9" spans="2:4" x14ac:dyDescent="0.4">
      <c r="B9" s="2" t="s">
        <v>9</v>
      </c>
      <c r="C9" s="5">
        <v>19.8</v>
      </c>
      <c r="D9" s="2" t="s">
        <v>10</v>
      </c>
    </row>
    <row r="10" spans="2:4" x14ac:dyDescent="0.4">
      <c r="B10" s="2" t="s">
        <v>11</v>
      </c>
      <c r="C10" s="5">
        <v>20</v>
      </c>
      <c r="D10" s="2" t="s">
        <v>10</v>
      </c>
    </row>
    <row r="11" spans="2:4" x14ac:dyDescent="0.4">
      <c r="B11" s="2" t="s">
        <v>12</v>
      </c>
      <c r="C11" s="5">
        <f>30*0.57</f>
        <v>17.099999999999998</v>
      </c>
      <c r="D11" s="2" t="s">
        <v>10</v>
      </c>
    </row>
    <row r="12" spans="2:4" x14ac:dyDescent="0.4">
      <c r="B12" s="2" t="s">
        <v>13</v>
      </c>
      <c r="C12" s="5">
        <f>30*0.57</f>
        <v>17.099999999999998</v>
      </c>
      <c r="D12" s="2" t="s">
        <v>10</v>
      </c>
    </row>
    <row r="13" spans="2:4" x14ac:dyDescent="0.4">
      <c r="B13" s="2" t="s">
        <v>14</v>
      </c>
      <c r="C13" s="5">
        <f>C5/C9</f>
        <v>7575.7575757575751</v>
      </c>
    </row>
    <row r="14" spans="2:4" x14ac:dyDescent="0.4">
      <c r="B14" s="2" t="s">
        <v>15</v>
      </c>
      <c r="C14" s="5">
        <f>C6/C10</f>
        <v>2250</v>
      </c>
    </row>
    <row r="15" spans="2:4" x14ac:dyDescent="0.4">
      <c r="B15" s="2" t="s">
        <v>16</v>
      </c>
      <c r="C15" s="5">
        <f>C7/C11</f>
        <v>16374.269005847955</v>
      </c>
    </row>
    <row r="16" spans="2:4" x14ac:dyDescent="0.4">
      <c r="B16" s="2" t="s">
        <v>17</v>
      </c>
      <c r="C16" s="5">
        <f>C8/C12</f>
        <v>13742.690058479533</v>
      </c>
    </row>
    <row r="17" spans="2:9" x14ac:dyDescent="0.4">
      <c r="B17" s="2" t="s">
        <v>18</v>
      </c>
      <c r="C17" s="5">
        <v>250000</v>
      </c>
      <c r="D17" s="6"/>
      <c r="E17" s="7"/>
    </row>
    <row r="18" spans="2:9" x14ac:dyDescent="0.4">
      <c r="B18" s="2" t="s">
        <v>19</v>
      </c>
      <c r="C18" s="5">
        <v>150000</v>
      </c>
      <c r="D18" s="6"/>
      <c r="E18" s="7"/>
    </row>
    <row r="19" spans="2:9" x14ac:dyDescent="0.4">
      <c r="B19" s="2" t="s">
        <v>20</v>
      </c>
      <c r="C19" s="5">
        <v>170000</v>
      </c>
      <c r="D19" s="6"/>
      <c r="E19" s="7"/>
    </row>
    <row r="20" spans="2:9" x14ac:dyDescent="0.4">
      <c r="B20" s="2" t="s">
        <v>21</v>
      </c>
      <c r="C20" s="5">
        <v>120000</v>
      </c>
      <c r="D20" s="6"/>
      <c r="E20" s="7"/>
    </row>
    <row r="21" spans="2:9" x14ac:dyDescent="0.4">
      <c r="B21" s="2" t="s">
        <v>22</v>
      </c>
      <c r="C21" s="5">
        <v>18000</v>
      </c>
      <c r="D21" s="6"/>
      <c r="E21" s="7"/>
    </row>
    <row r="22" spans="2:9" x14ac:dyDescent="0.4">
      <c r="B22" s="2" t="s">
        <v>23</v>
      </c>
      <c r="C22" s="5"/>
      <c r="D22" s="6"/>
      <c r="E22" s="6"/>
    </row>
    <row r="23" spans="2:9" x14ac:dyDescent="0.4">
      <c r="B23" s="2" t="s">
        <v>24</v>
      </c>
      <c r="C23" s="5"/>
      <c r="D23" s="6"/>
      <c r="E23" s="6"/>
    </row>
    <row r="24" spans="2:9" x14ac:dyDescent="0.4">
      <c r="B24" s="2" t="s">
        <v>25</v>
      </c>
      <c r="C24" s="5"/>
      <c r="D24" s="6"/>
      <c r="E24" s="6"/>
    </row>
    <row r="25" spans="2:9" x14ac:dyDescent="0.4">
      <c r="B25" s="2" t="s">
        <v>26</v>
      </c>
      <c r="C25" s="5">
        <v>12000</v>
      </c>
      <c r="D25" s="6"/>
      <c r="E25" s="7"/>
    </row>
    <row r="26" spans="2:9" x14ac:dyDescent="0.4">
      <c r="B26" s="2" t="s">
        <v>27</v>
      </c>
      <c r="C26" s="5">
        <v>4000</v>
      </c>
      <c r="D26" s="6"/>
      <c r="E26" s="7"/>
    </row>
    <row r="27" spans="2:9" x14ac:dyDescent="0.4">
      <c r="B27" s="2" t="s">
        <v>28</v>
      </c>
      <c r="C27" s="5">
        <v>5000</v>
      </c>
      <c r="D27" s="6"/>
      <c r="E27" s="7"/>
    </row>
    <row r="28" spans="2:9" x14ac:dyDescent="0.4">
      <c r="B28" s="2" t="s">
        <v>29</v>
      </c>
      <c r="C28" s="8">
        <v>0.15</v>
      </c>
    </row>
    <row r="29" spans="2:9" x14ac:dyDescent="0.4">
      <c r="B29" s="9" t="s">
        <v>30</v>
      </c>
      <c r="C29" s="6"/>
      <c r="D29" s="6"/>
      <c r="E29" s="6"/>
      <c r="F29" s="2" t="s">
        <v>122</v>
      </c>
    </row>
    <row r="30" spans="2:9" ht="16.899999999999999" customHeight="1" x14ac:dyDescent="0.4">
      <c r="B30" s="1" t="s">
        <v>31</v>
      </c>
      <c r="C30" s="6"/>
      <c r="D30" s="6"/>
      <c r="E30" s="6"/>
      <c r="G30" s="2">
        <f>1/10</f>
        <v>0.1</v>
      </c>
    </row>
    <row r="31" spans="2:9" x14ac:dyDescent="0.4">
      <c r="B31" s="2" t="s">
        <v>32</v>
      </c>
      <c r="C31" s="6">
        <v>3</v>
      </c>
      <c r="D31" s="6"/>
      <c r="E31" s="7"/>
      <c r="I31" s="2">
        <f>G32*G30</f>
        <v>2.8800000000000003</v>
      </c>
    </row>
    <row r="32" spans="2:9" x14ac:dyDescent="0.4">
      <c r="B32" s="2" t="s">
        <v>33</v>
      </c>
      <c r="C32" s="10">
        <f>C31*0.025</f>
        <v>7.5000000000000011E-2</v>
      </c>
      <c r="D32" s="10">
        <f>C31+C32</f>
        <v>3.0750000000000002</v>
      </c>
      <c r="E32" s="11">
        <f>D32*C4</f>
        <v>14452.5</v>
      </c>
      <c r="G32" s="2">
        <f>1440/50</f>
        <v>28.8</v>
      </c>
      <c r="I32" s="2">
        <f>I31*45%</f>
        <v>1.2960000000000003</v>
      </c>
    </row>
    <row r="33" spans="2:12" ht="7.9" customHeight="1" x14ac:dyDescent="0.4">
      <c r="C33" s="6"/>
      <c r="D33" s="6"/>
      <c r="E33" s="6"/>
    </row>
    <row r="34" spans="2:12" x14ac:dyDescent="0.4">
      <c r="B34" s="1" t="s">
        <v>34</v>
      </c>
      <c r="C34" s="6"/>
      <c r="D34" s="6"/>
      <c r="E34" s="7"/>
      <c r="I34" s="2">
        <f>I31+I32</f>
        <v>4.1760000000000002</v>
      </c>
    </row>
    <row r="35" spans="2:12" x14ac:dyDescent="0.4">
      <c r="B35" s="2" t="s">
        <v>35</v>
      </c>
      <c r="C35" s="6">
        <v>0.44800000000000001</v>
      </c>
      <c r="D35" s="6"/>
      <c r="E35" s="7"/>
    </row>
    <row r="36" spans="2:12" x14ac:dyDescent="0.4">
      <c r="B36" s="2" t="s">
        <v>33</v>
      </c>
      <c r="C36" s="10">
        <f>C35*0.025</f>
        <v>1.1200000000000002E-2</v>
      </c>
      <c r="D36" s="10">
        <f>C35+C36</f>
        <v>0.4592</v>
      </c>
      <c r="E36" s="12">
        <f>D36*C13</f>
        <v>3478.7878787878785</v>
      </c>
      <c r="F36" s="2" t="s">
        <v>124</v>
      </c>
      <c r="I36" s="2">
        <f>20*G39</f>
        <v>8.6999999999999993</v>
      </c>
    </row>
    <row r="37" spans="2:12" x14ac:dyDescent="0.4">
      <c r="C37" s="6"/>
      <c r="D37" s="6"/>
      <c r="E37" s="12"/>
      <c r="G37" s="84">
        <f>3/10</f>
        <v>0.3</v>
      </c>
      <c r="I37" s="2">
        <f>I36/3.81</f>
        <v>2.2834645669291338</v>
      </c>
    </row>
    <row r="38" spans="2:12" x14ac:dyDescent="0.4">
      <c r="B38" s="1" t="s">
        <v>36</v>
      </c>
      <c r="C38" s="6"/>
      <c r="D38" s="6"/>
      <c r="E38" s="7"/>
      <c r="G38" s="2">
        <f>G37*45%</f>
        <v>0.13500000000000001</v>
      </c>
    </row>
    <row r="39" spans="2:12" x14ac:dyDescent="0.4">
      <c r="B39" s="2" t="s">
        <v>37</v>
      </c>
      <c r="C39" s="6">
        <v>0.89600000000000002</v>
      </c>
      <c r="D39" s="6"/>
      <c r="E39" s="7"/>
      <c r="G39" s="84">
        <f>G37+G38</f>
        <v>0.435</v>
      </c>
    </row>
    <row r="40" spans="2:12" x14ac:dyDescent="0.4">
      <c r="B40" s="2" t="s">
        <v>33</v>
      </c>
      <c r="C40" s="10">
        <f>C39*0.025</f>
        <v>2.2400000000000003E-2</v>
      </c>
      <c r="D40" s="10">
        <f>C39+C40</f>
        <v>0.91839999999999999</v>
      </c>
      <c r="E40" s="12">
        <f>D40*C15</f>
        <v>15038.128654970762</v>
      </c>
      <c r="F40" s="2" t="s">
        <v>177</v>
      </c>
      <c r="J40" s="2" t="s">
        <v>178</v>
      </c>
      <c r="K40" s="2">
        <v>0.56999999999999995</v>
      </c>
      <c r="L40" s="2" t="s">
        <v>179</v>
      </c>
    </row>
    <row r="41" spans="2:12" x14ac:dyDescent="0.4">
      <c r="C41" s="6"/>
      <c r="D41" s="6"/>
      <c r="E41" s="7"/>
      <c r="G41" s="84">
        <f>6/10</f>
        <v>0.6</v>
      </c>
    </row>
    <row r="42" spans="2:12" ht="19.149999999999999" customHeight="1" x14ac:dyDescent="0.4">
      <c r="B42" s="1" t="s">
        <v>38</v>
      </c>
      <c r="C42" s="6"/>
      <c r="D42" s="6"/>
      <c r="E42" s="7"/>
    </row>
    <row r="43" spans="2:12" x14ac:dyDescent="0.4">
      <c r="B43" s="2" t="s">
        <v>39</v>
      </c>
      <c r="C43" s="6">
        <v>18000</v>
      </c>
      <c r="D43" s="6"/>
      <c r="E43" s="6"/>
      <c r="G43" s="2">
        <f>G41*45%</f>
        <v>0.27</v>
      </c>
    </row>
    <row r="44" spans="2:12" x14ac:dyDescent="0.4">
      <c r="B44" s="2" t="s">
        <v>40</v>
      </c>
      <c r="C44" s="10">
        <v>4000</v>
      </c>
      <c r="D44" s="10">
        <f>C43+C44</f>
        <v>22000</v>
      </c>
      <c r="E44" s="6"/>
      <c r="G44" s="84">
        <f>G41+G43</f>
        <v>0.87</v>
      </c>
    </row>
    <row r="45" spans="2:12" x14ac:dyDescent="0.4">
      <c r="B45" s="2" t="s">
        <v>41</v>
      </c>
      <c r="C45" s="6"/>
      <c r="D45" s="6"/>
      <c r="E45" s="7"/>
    </row>
    <row r="46" spans="2:12" x14ac:dyDescent="0.4">
      <c r="B46" s="2" t="s">
        <v>42</v>
      </c>
      <c r="C46" s="6"/>
      <c r="D46" s="6"/>
      <c r="E46" s="13">
        <f>D44/23</f>
        <v>956.52173913043475</v>
      </c>
      <c r="I46" s="2">
        <f>G44/K40</f>
        <v>1.5263157894736843</v>
      </c>
    </row>
    <row r="47" spans="2:12" x14ac:dyDescent="0.4">
      <c r="C47" s="6"/>
      <c r="D47" s="6"/>
      <c r="E47" s="7"/>
    </row>
    <row r="48" spans="2:12" x14ac:dyDescent="0.4">
      <c r="B48" s="1" t="s">
        <v>43</v>
      </c>
      <c r="C48" s="6"/>
      <c r="D48" s="6"/>
      <c r="E48" s="7"/>
    </row>
    <row r="49" spans="2:5" x14ac:dyDescent="0.4">
      <c r="B49" s="2" t="s">
        <v>44</v>
      </c>
      <c r="C49" s="14">
        <f>C25</f>
        <v>12000</v>
      </c>
      <c r="D49" s="6"/>
      <c r="E49" s="7"/>
    </row>
    <row r="50" spans="2:5" x14ac:dyDescent="0.4">
      <c r="B50" s="2" t="s">
        <v>42</v>
      </c>
      <c r="C50" s="6"/>
      <c r="D50" s="6"/>
      <c r="E50" s="15">
        <f>C49/20</f>
        <v>600</v>
      </c>
    </row>
    <row r="51" spans="2:5" ht="18" customHeight="1" x14ac:dyDescent="0.4">
      <c r="C51" s="6"/>
      <c r="D51" s="6"/>
      <c r="E51" s="16">
        <f>SUM(E32:E50)</f>
        <v>34525.938272889078</v>
      </c>
    </row>
    <row r="52" spans="2:5" ht="17.45" customHeight="1" x14ac:dyDescent="0.4">
      <c r="B52" s="1" t="s">
        <v>45</v>
      </c>
      <c r="C52" s="6"/>
      <c r="D52" s="6"/>
      <c r="E52" s="17"/>
    </row>
    <row r="53" spans="2:5" x14ac:dyDescent="0.4">
      <c r="B53" s="2" t="s">
        <v>46</v>
      </c>
      <c r="C53" s="6"/>
      <c r="D53" s="6"/>
      <c r="E53" s="18">
        <f>C27</f>
        <v>5000</v>
      </c>
    </row>
    <row r="54" spans="2:5" ht="18" customHeight="1" x14ac:dyDescent="0.4">
      <c r="B54" s="19" t="s">
        <v>47</v>
      </c>
      <c r="C54" s="8"/>
      <c r="D54" s="6"/>
      <c r="E54" s="16">
        <f>SUM(E51:E53)</f>
        <v>39525.938272889078</v>
      </c>
    </row>
    <row r="55" spans="2:5" x14ac:dyDescent="0.4">
      <c r="B55" s="19" t="s">
        <v>48</v>
      </c>
      <c r="C55" s="6"/>
      <c r="D55" s="6"/>
      <c r="E55" s="17">
        <f>E54*0.25</f>
        <v>9881.4845682222694</v>
      </c>
    </row>
    <row r="56" spans="2:5" x14ac:dyDescent="0.4">
      <c r="B56" s="20" t="s">
        <v>49</v>
      </c>
      <c r="C56" s="6"/>
      <c r="D56" s="6"/>
      <c r="E56" s="21">
        <f>SUM(E54:E55)</f>
        <v>49407.422841111344</v>
      </c>
    </row>
    <row r="57" spans="2:5" x14ac:dyDescent="0.4">
      <c r="C57" s="8"/>
    </row>
    <row r="58" spans="2:5" x14ac:dyDescent="0.4">
      <c r="B58" s="9" t="s">
        <v>50</v>
      </c>
      <c r="C58" s="6"/>
      <c r="D58" s="6"/>
      <c r="E58" s="6"/>
    </row>
    <row r="59" spans="2:5" x14ac:dyDescent="0.4">
      <c r="B59" s="1" t="s">
        <v>31</v>
      </c>
      <c r="C59" s="6"/>
      <c r="D59" s="6"/>
      <c r="E59" s="6"/>
    </row>
    <row r="60" spans="2:5" x14ac:dyDescent="0.4">
      <c r="B60" s="2" t="s">
        <v>51</v>
      </c>
      <c r="C60" s="6">
        <v>5</v>
      </c>
      <c r="D60" s="6"/>
      <c r="E60" s="7"/>
    </row>
    <row r="61" spans="2:5" x14ac:dyDescent="0.4">
      <c r="B61" s="2" t="s">
        <v>33</v>
      </c>
      <c r="C61" s="10">
        <f>C60*0.025</f>
        <v>0.125</v>
      </c>
      <c r="D61" s="10">
        <f>C60+C61</f>
        <v>5.125</v>
      </c>
      <c r="E61" s="11">
        <f>D61*C4</f>
        <v>24087.5</v>
      </c>
    </row>
    <row r="62" spans="2:5" x14ac:dyDescent="0.4">
      <c r="C62" s="6"/>
      <c r="D62" s="6"/>
      <c r="E62" s="6"/>
    </row>
    <row r="63" spans="2:5" x14ac:dyDescent="0.4">
      <c r="B63" s="1" t="s">
        <v>34</v>
      </c>
      <c r="C63" s="6"/>
      <c r="D63" s="6"/>
      <c r="E63" s="7"/>
    </row>
    <row r="64" spans="2:5" x14ac:dyDescent="0.4">
      <c r="B64" s="2" t="s">
        <v>52</v>
      </c>
      <c r="C64" s="6">
        <v>0.42399999999999999</v>
      </c>
      <c r="D64" s="6"/>
      <c r="E64" s="7"/>
    </row>
    <row r="65" spans="2:5" x14ac:dyDescent="0.4">
      <c r="B65" s="2" t="s">
        <v>33</v>
      </c>
      <c r="C65" s="10">
        <f>C64*0.025</f>
        <v>1.06E-2</v>
      </c>
      <c r="D65" s="10">
        <f>C64+C65</f>
        <v>0.43459999999999999</v>
      </c>
      <c r="E65" s="12">
        <f>D65*C13</f>
        <v>3292.424242424242</v>
      </c>
    </row>
    <row r="66" spans="2:5" x14ac:dyDescent="0.4">
      <c r="C66" s="6"/>
      <c r="D66" s="6"/>
      <c r="E66" s="12"/>
    </row>
    <row r="67" spans="2:5" x14ac:dyDescent="0.4">
      <c r="B67" s="1" t="s">
        <v>36</v>
      </c>
      <c r="C67" s="6"/>
      <c r="D67" s="6"/>
      <c r="E67" s="7"/>
    </row>
    <row r="68" spans="2:5" x14ac:dyDescent="0.4">
      <c r="B68" s="2" t="s">
        <v>53</v>
      </c>
      <c r="C68" s="6">
        <v>0.84799999999999998</v>
      </c>
      <c r="D68" s="6"/>
      <c r="E68" s="7"/>
    </row>
    <row r="69" spans="2:5" x14ac:dyDescent="0.4">
      <c r="B69" s="2" t="s">
        <v>33</v>
      </c>
      <c r="C69" s="10">
        <f>C68*0.025</f>
        <v>2.12E-2</v>
      </c>
      <c r="D69" s="10">
        <f>C68+C69</f>
        <v>0.86919999999999997</v>
      </c>
      <c r="E69" s="12">
        <f>D69*C15</f>
        <v>14232.514619883043</v>
      </c>
    </row>
    <row r="70" spans="2:5" x14ac:dyDescent="0.4">
      <c r="C70" s="6"/>
      <c r="D70" s="6"/>
      <c r="E70" s="7"/>
    </row>
    <row r="71" spans="2:5" x14ac:dyDescent="0.4">
      <c r="B71" s="1" t="s">
        <v>38</v>
      </c>
      <c r="C71" s="6"/>
      <c r="D71" s="6"/>
      <c r="E71" s="7"/>
    </row>
    <row r="72" spans="2:5" x14ac:dyDescent="0.4">
      <c r="B72" s="2" t="s">
        <v>39</v>
      </c>
      <c r="C72" s="6">
        <v>18000</v>
      </c>
      <c r="D72" s="6"/>
      <c r="E72" s="6"/>
    </row>
    <row r="73" spans="2:5" x14ac:dyDescent="0.4">
      <c r="B73" s="2" t="s">
        <v>40</v>
      </c>
      <c r="C73" s="10">
        <v>4000</v>
      </c>
      <c r="D73" s="10">
        <f>C72+C73</f>
        <v>22000</v>
      </c>
      <c r="E73" s="6"/>
    </row>
    <row r="74" spans="2:5" x14ac:dyDescent="0.4">
      <c r="B74" s="2" t="s">
        <v>41</v>
      </c>
      <c r="C74" s="6"/>
      <c r="D74" s="6"/>
      <c r="E74" s="7"/>
    </row>
    <row r="75" spans="2:5" x14ac:dyDescent="0.4">
      <c r="B75" s="2" t="s">
        <v>42</v>
      </c>
      <c r="C75" s="6"/>
      <c r="D75" s="6"/>
      <c r="E75" s="13">
        <f>D73/23</f>
        <v>956.52173913043475</v>
      </c>
    </row>
    <row r="76" spans="2:5" x14ac:dyDescent="0.4">
      <c r="C76" s="6"/>
      <c r="D76" s="6"/>
      <c r="E76" s="7"/>
    </row>
    <row r="77" spans="2:5" x14ac:dyDescent="0.4">
      <c r="B77" s="1" t="s">
        <v>43</v>
      </c>
      <c r="C77" s="6"/>
      <c r="D77" s="6"/>
      <c r="E77" s="7"/>
    </row>
    <row r="78" spans="2:5" x14ac:dyDescent="0.4">
      <c r="B78" s="2" t="s">
        <v>44</v>
      </c>
      <c r="C78" s="14">
        <f>C25</f>
        <v>12000</v>
      </c>
      <c r="D78" s="6"/>
      <c r="E78" s="7"/>
    </row>
    <row r="79" spans="2:5" x14ac:dyDescent="0.4">
      <c r="B79" s="2" t="s">
        <v>42</v>
      </c>
      <c r="C79" s="6"/>
      <c r="D79" s="6"/>
      <c r="E79" s="15">
        <f>C78/23</f>
        <v>521.73913043478262</v>
      </c>
    </row>
    <row r="80" spans="2:5" x14ac:dyDescent="0.4">
      <c r="C80" s="6"/>
      <c r="D80" s="6"/>
      <c r="E80" s="16">
        <f>SUM(E61:E79)</f>
        <v>43090.699731872497</v>
      </c>
    </row>
    <row r="81" spans="2:6" x14ac:dyDescent="0.4">
      <c r="B81" s="1" t="s">
        <v>45</v>
      </c>
      <c r="C81" s="6"/>
      <c r="D81" s="6"/>
      <c r="E81" s="17"/>
    </row>
    <row r="82" spans="2:6" x14ac:dyDescent="0.4">
      <c r="B82" s="2" t="s">
        <v>46</v>
      </c>
      <c r="C82" s="6"/>
      <c r="D82" s="6"/>
      <c r="E82" s="18">
        <v>5000</v>
      </c>
    </row>
    <row r="83" spans="2:6" x14ac:dyDescent="0.4">
      <c r="B83" s="19" t="s">
        <v>47</v>
      </c>
      <c r="C83" s="8"/>
      <c r="D83" s="6"/>
      <c r="E83" s="16">
        <f>SUM(E80:E82)</f>
        <v>48090.699731872497</v>
      </c>
    </row>
    <row r="84" spans="2:6" x14ac:dyDescent="0.4">
      <c r="B84" s="19" t="s">
        <v>48</v>
      </c>
      <c r="C84" s="6"/>
      <c r="D84" s="6"/>
      <c r="E84" s="17">
        <f>E83*0.25</f>
        <v>12022.674932968124</v>
      </c>
    </row>
    <row r="85" spans="2:6" x14ac:dyDescent="0.4">
      <c r="B85" s="20" t="s">
        <v>49</v>
      </c>
      <c r="C85" s="6"/>
      <c r="D85" s="6"/>
      <c r="E85" s="21">
        <f>SUM(E83:E84)</f>
        <v>60113.374664840623</v>
      </c>
      <c r="F85" s="22">
        <v>42000</v>
      </c>
    </row>
    <row r="86" spans="2:6" x14ac:dyDescent="0.4">
      <c r="C86" s="6"/>
      <c r="D86" s="6"/>
      <c r="E86" s="7"/>
    </row>
    <row r="87" spans="2:6" x14ac:dyDescent="0.4">
      <c r="B87" s="1" t="s">
        <v>54</v>
      </c>
      <c r="C87" s="6"/>
      <c r="D87" s="6"/>
      <c r="E87" s="6"/>
    </row>
    <row r="88" spans="2:6" x14ac:dyDescent="0.4">
      <c r="B88" s="1" t="s">
        <v>31</v>
      </c>
      <c r="C88" s="6"/>
      <c r="D88" s="6"/>
      <c r="E88" s="6"/>
    </row>
    <row r="89" spans="2:6" x14ac:dyDescent="0.4">
      <c r="B89" s="2" t="s">
        <v>55</v>
      </c>
      <c r="C89" s="6">
        <v>7.2</v>
      </c>
      <c r="D89" s="6"/>
      <c r="E89" s="7"/>
    </row>
    <row r="90" spans="2:6" x14ac:dyDescent="0.4">
      <c r="B90" s="2" t="s">
        <v>33</v>
      </c>
      <c r="C90" s="10">
        <f>C89*0.025</f>
        <v>0.18000000000000002</v>
      </c>
      <c r="D90" s="10">
        <f>C89+C90</f>
        <v>7.38</v>
      </c>
      <c r="E90" s="11">
        <f>D90*C4</f>
        <v>34686</v>
      </c>
    </row>
    <row r="91" spans="2:6" x14ac:dyDescent="0.4">
      <c r="C91" s="6"/>
      <c r="D91" s="6"/>
      <c r="E91" s="6"/>
    </row>
    <row r="92" spans="2:6" x14ac:dyDescent="0.4">
      <c r="B92" s="1" t="s">
        <v>34</v>
      </c>
      <c r="C92" s="6"/>
      <c r="D92" s="6"/>
      <c r="E92" s="7"/>
    </row>
    <row r="93" spans="2:6" x14ac:dyDescent="0.4">
      <c r="B93" s="2" t="s">
        <v>56</v>
      </c>
      <c r="C93" s="6">
        <v>0.4</v>
      </c>
      <c r="D93" s="6"/>
      <c r="E93" s="7"/>
    </row>
    <row r="94" spans="2:6" x14ac:dyDescent="0.4">
      <c r="B94" s="2" t="s">
        <v>33</v>
      </c>
      <c r="C94" s="10">
        <f>C93*0.025</f>
        <v>1.0000000000000002E-2</v>
      </c>
      <c r="D94" s="10">
        <f>C93+C94</f>
        <v>0.41000000000000003</v>
      </c>
      <c r="E94" s="12">
        <f>D94*C13</f>
        <v>3106.060606060606</v>
      </c>
    </row>
    <row r="95" spans="2:6" x14ac:dyDescent="0.4">
      <c r="C95" s="6"/>
      <c r="D95" s="6"/>
      <c r="E95" s="12"/>
    </row>
    <row r="96" spans="2:6" x14ac:dyDescent="0.4">
      <c r="B96" s="1" t="s">
        <v>36</v>
      </c>
      <c r="C96" s="6"/>
      <c r="D96" s="6"/>
      <c r="E96" s="7"/>
    </row>
    <row r="97" spans="2:5" x14ac:dyDescent="0.4">
      <c r="B97" s="2" t="s">
        <v>57</v>
      </c>
      <c r="C97" s="6">
        <v>0.8</v>
      </c>
      <c r="D97" s="6"/>
      <c r="E97" s="7"/>
    </row>
    <row r="98" spans="2:5" x14ac:dyDescent="0.4">
      <c r="B98" s="2" t="s">
        <v>33</v>
      </c>
      <c r="C98" s="10">
        <f>C97*0.025</f>
        <v>2.0000000000000004E-2</v>
      </c>
      <c r="D98" s="10">
        <f>C97+C98</f>
        <v>0.82000000000000006</v>
      </c>
      <c r="E98" s="12">
        <f>D98*C15</f>
        <v>13426.900584795323</v>
      </c>
    </row>
    <row r="99" spans="2:5" x14ac:dyDescent="0.4">
      <c r="C99" s="6"/>
      <c r="D99" s="6"/>
      <c r="E99" s="7"/>
    </row>
    <row r="100" spans="2:5" x14ac:dyDescent="0.4">
      <c r="B100" s="1" t="s">
        <v>38</v>
      </c>
      <c r="C100" s="6"/>
      <c r="D100" s="6"/>
      <c r="E100" s="7"/>
    </row>
    <row r="101" spans="2:5" x14ac:dyDescent="0.4">
      <c r="B101" s="2" t="s">
        <v>39</v>
      </c>
      <c r="C101" s="6">
        <v>15000</v>
      </c>
      <c r="D101" s="6"/>
      <c r="E101" s="6"/>
    </row>
    <row r="102" spans="2:5" x14ac:dyDescent="0.4">
      <c r="B102" s="2" t="s">
        <v>40</v>
      </c>
      <c r="C102" s="10">
        <v>4000</v>
      </c>
      <c r="D102" s="10">
        <f>C101+C102</f>
        <v>19000</v>
      </c>
      <c r="E102" s="6"/>
    </row>
    <row r="103" spans="2:5" x14ac:dyDescent="0.4">
      <c r="B103" s="2" t="s">
        <v>41</v>
      </c>
      <c r="C103" s="6"/>
      <c r="D103" s="6"/>
      <c r="E103" s="7"/>
    </row>
    <row r="104" spans="2:5" x14ac:dyDescent="0.4">
      <c r="B104" s="2" t="s">
        <v>42</v>
      </c>
      <c r="C104" s="6"/>
      <c r="D104" s="6"/>
      <c r="E104" s="13">
        <f>D102/23</f>
        <v>826.08695652173913</v>
      </c>
    </row>
    <row r="105" spans="2:5" x14ac:dyDescent="0.4">
      <c r="C105" s="6"/>
      <c r="D105" s="6"/>
      <c r="E105" s="7"/>
    </row>
    <row r="106" spans="2:5" x14ac:dyDescent="0.4">
      <c r="B106" s="1" t="s">
        <v>43</v>
      </c>
      <c r="C106" s="6"/>
      <c r="D106" s="6"/>
      <c r="E106" s="7"/>
    </row>
    <row r="107" spans="2:5" x14ac:dyDescent="0.4">
      <c r="B107" s="2" t="s">
        <v>44</v>
      </c>
      <c r="C107" s="14">
        <f>C25</f>
        <v>12000</v>
      </c>
      <c r="D107" s="6"/>
      <c r="E107" s="7"/>
    </row>
    <row r="108" spans="2:5" x14ac:dyDescent="0.4">
      <c r="B108" s="2" t="s">
        <v>42</v>
      </c>
      <c r="C108" s="6"/>
      <c r="D108" s="6"/>
      <c r="E108" s="15">
        <f>C107/23</f>
        <v>521.73913043478262</v>
      </c>
    </row>
    <row r="109" spans="2:5" x14ac:dyDescent="0.4">
      <c r="C109" s="6"/>
      <c r="D109" s="6"/>
      <c r="E109" s="16">
        <f>SUM(E90:E108)</f>
        <v>52566.787277812451</v>
      </c>
    </row>
    <row r="110" spans="2:5" x14ac:dyDescent="0.4">
      <c r="B110" s="1" t="s">
        <v>45</v>
      </c>
      <c r="C110" s="6"/>
      <c r="D110" s="6"/>
      <c r="E110" s="17"/>
    </row>
    <row r="111" spans="2:5" x14ac:dyDescent="0.4">
      <c r="B111" s="2" t="s">
        <v>46</v>
      </c>
      <c r="C111" s="6"/>
      <c r="D111" s="6"/>
      <c r="E111" s="18">
        <v>5000</v>
      </c>
    </row>
    <row r="112" spans="2:5" x14ac:dyDescent="0.4">
      <c r="B112" s="19" t="s">
        <v>47</v>
      </c>
      <c r="C112" s="8"/>
      <c r="D112" s="6"/>
      <c r="E112" s="16">
        <f>SUM(E109:E111)</f>
        <v>57566.787277812451</v>
      </c>
    </row>
    <row r="113" spans="2:9" x14ac:dyDescent="0.4">
      <c r="B113" s="19" t="s">
        <v>48</v>
      </c>
      <c r="C113" s="6"/>
      <c r="D113" s="6"/>
      <c r="E113" s="17">
        <f>E112*0.25</f>
        <v>14391.696819453113</v>
      </c>
    </row>
    <row r="114" spans="2:9" x14ac:dyDescent="0.4">
      <c r="B114" s="20" t="s">
        <v>49</v>
      </c>
      <c r="C114" s="6"/>
      <c r="D114" s="6"/>
      <c r="E114" s="21">
        <f>SUM(E112:E113)</f>
        <v>71958.484097265566</v>
      </c>
    </row>
    <row r="115" spans="2:9" x14ac:dyDescent="0.4">
      <c r="B115" s="20"/>
      <c r="C115" s="6"/>
      <c r="D115" s="6"/>
      <c r="E115" s="23"/>
    </row>
    <row r="116" spans="2:9" x14ac:dyDescent="0.4">
      <c r="B116" s="1" t="s">
        <v>58</v>
      </c>
    </row>
    <row r="117" spans="2:9" x14ac:dyDescent="0.4">
      <c r="B117" s="3" t="s">
        <v>59</v>
      </c>
      <c r="C117" s="6"/>
      <c r="D117" s="6"/>
      <c r="E117" s="23"/>
    </row>
    <row r="118" spans="2:9" x14ac:dyDescent="0.4">
      <c r="B118" s="24" t="s">
        <v>60</v>
      </c>
      <c r="C118" s="25"/>
      <c r="D118" s="24"/>
      <c r="E118" s="26">
        <f>C8/C11</f>
        <v>13742.690058479533</v>
      </c>
      <c r="F118" s="24"/>
      <c r="G118" s="24"/>
      <c r="H118" s="24"/>
    </row>
    <row r="119" spans="2:9" x14ac:dyDescent="0.4">
      <c r="B119" s="27" t="s">
        <v>61</v>
      </c>
      <c r="C119" s="25"/>
      <c r="D119" s="25">
        <f>C118+C119</f>
        <v>0</v>
      </c>
      <c r="E119" s="26">
        <f>E118*0.25</f>
        <v>3435.6725146198833</v>
      </c>
      <c r="F119" s="24"/>
      <c r="G119" s="24"/>
      <c r="H119" s="24"/>
    </row>
    <row r="120" spans="2:9" x14ac:dyDescent="0.4">
      <c r="B120" s="27"/>
      <c r="C120" s="24"/>
      <c r="D120" s="28"/>
      <c r="E120" s="29">
        <f>SUM(E118:E119)</f>
        <v>17178.362573099417</v>
      </c>
      <c r="F120" s="24"/>
      <c r="G120" s="24"/>
      <c r="H120" s="24"/>
    </row>
    <row r="121" spans="2:9" x14ac:dyDescent="0.4">
      <c r="B121" s="27" t="s">
        <v>62</v>
      </c>
      <c r="C121" s="24"/>
      <c r="D121" s="24"/>
      <c r="E121" s="30"/>
      <c r="F121" s="24"/>
      <c r="G121" s="24"/>
      <c r="H121" s="24"/>
    </row>
    <row r="122" spans="2:9" x14ac:dyDescent="0.4">
      <c r="B122" s="24" t="s">
        <v>63</v>
      </c>
      <c r="C122" s="27">
        <v>170000</v>
      </c>
      <c r="D122" s="24"/>
      <c r="E122" s="27"/>
      <c r="F122" s="24"/>
      <c r="G122" s="24"/>
      <c r="H122" s="24"/>
    </row>
    <row r="123" spans="2:9" x14ac:dyDescent="0.4">
      <c r="B123" s="24" t="s">
        <v>64</v>
      </c>
      <c r="C123" s="27">
        <v>120000</v>
      </c>
      <c r="D123" s="24">
        <f>C122+C123</f>
        <v>290000</v>
      </c>
      <c r="E123" s="27"/>
      <c r="F123" s="24"/>
      <c r="G123" s="24"/>
      <c r="H123" s="24"/>
    </row>
    <row r="124" spans="2:9" x14ac:dyDescent="0.4">
      <c r="B124" s="24"/>
      <c r="C124" s="27"/>
      <c r="D124" s="24"/>
      <c r="E124" s="27"/>
      <c r="F124" s="24"/>
      <c r="G124" s="24"/>
      <c r="H124" s="24"/>
    </row>
    <row r="125" spans="2:9" x14ac:dyDescent="0.4">
      <c r="B125" s="31" t="s">
        <v>65</v>
      </c>
      <c r="C125" s="27"/>
      <c r="D125" s="27"/>
      <c r="E125" s="32"/>
      <c r="F125" s="24"/>
      <c r="G125" s="24"/>
      <c r="H125" s="24"/>
    </row>
    <row r="126" spans="2:9" x14ac:dyDescent="0.4">
      <c r="B126" s="33" t="s">
        <v>42</v>
      </c>
      <c r="C126" s="27"/>
      <c r="D126" s="34"/>
      <c r="E126" s="35">
        <f>D123/H128</f>
        <v>322.22222222222223</v>
      </c>
      <c r="F126" s="24">
        <v>250000</v>
      </c>
      <c r="G126" s="24" t="s">
        <v>66</v>
      </c>
      <c r="H126" s="24"/>
      <c r="I126" s="2" t="s">
        <v>67</v>
      </c>
    </row>
    <row r="127" spans="2:9" x14ac:dyDescent="0.4">
      <c r="B127" s="36"/>
      <c r="C127" s="37"/>
      <c r="D127" s="37"/>
      <c r="E127" s="38"/>
      <c r="F127" s="24">
        <v>170000</v>
      </c>
      <c r="G127" s="24" t="s">
        <v>68</v>
      </c>
      <c r="H127" s="24"/>
      <c r="I127" s="2" t="s">
        <v>69</v>
      </c>
    </row>
    <row r="128" spans="2:9" x14ac:dyDescent="0.4">
      <c r="B128" s="27"/>
      <c r="C128" s="27"/>
      <c r="D128" s="27"/>
      <c r="E128" s="27"/>
      <c r="F128" s="24" t="s">
        <v>70</v>
      </c>
      <c r="G128" s="24"/>
      <c r="H128" s="24">
        <f>1000*6*0.15</f>
        <v>900</v>
      </c>
    </row>
    <row r="129" spans="2:8" x14ac:dyDescent="0.4">
      <c r="B129" s="27" t="s">
        <v>71</v>
      </c>
      <c r="C129" s="24"/>
      <c r="D129" s="24"/>
      <c r="E129" s="30"/>
      <c r="F129" s="24"/>
      <c r="G129" s="24"/>
      <c r="H129" s="24"/>
    </row>
    <row r="130" spans="2:8" x14ac:dyDescent="0.4">
      <c r="B130" s="24" t="s">
        <v>72</v>
      </c>
      <c r="C130" s="27">
        <v>250000</v>
      </c>
      <c r="D130" s="24"/>
      <c r="E130" s="27"/>
      <c r="F130" s="24"/>
      <c r="G130" s="24"/>
      <c r="H130" s="24"/>
    </row>
    <row r="131" spans="2:8" x14ac:dyDescent="0.4">
      <c r="B131" s="24" t="s">
        <v>64</v>
      </c>
      <c r="C131" s="27">
        <v>150000</v>
      </c>
      <c r="D131" s="24">
        <f>C130+C131</f>
        <v>400000</v>
      </c>
      <c r="E131" s="27"/>
      <c r="F131" s="24"/>
      <c r="G131" s="24"/>
      <c r="H131" s="24"/>
    </row>
    <row r="132" spans="2:8" x14ac:dyDescent="0.4">
      <c r="B132" s="24"/>
      <c r="C132" s="27"/>
      <c r="D132" s="24"/>
      <c r="E132" s="27"/>
      <c r="F132" s="24"/>
      <c r="G132" s="24"/>
      <c r="H132" s="24"/>
    </row>
    <row r="133" spans="2:8" x14ac:dyDescent="0.4">
      <c r="B133" s="31" t="s">
        <v>65</v>
      </c>
      <c r="C133" s="27"/>
      <c r="D133" s="27"/>
      <c r="E133" s="39"/>
      <c r="F133" s="24"/>
      <c r="G133" s="24"/>
      <c r="H133" s="24"/>
    </row>
    <row r="134" spans="2:8" x14ac:dyDescent="0.4">
      <c r="B134" s="33" t="s">
        <v>42</v>
      </c>
      <c r="C134" s="27"/>
      <c r="D134" s="34"/>
      <c r="E134" s="35">
        <f>D131/H128</f>
        <v>444.44444444444446</v>
      </c>
      <c r="F134" s="24"/>
      <c r="G134" s="24"/>
      <c r="H134" s="24"/>
    </row>
    <row r="135" spans="2:8" x14ac:dyDescent="0.4">
      <c r="B135" s="33"/>
      <c r="C135" s="27"/>
      <c r="D135" s="34"/>
      <c r="E135" s="35"/>
      <c r="F135" s="24"/>
      <c r="G135" s="24"/>
      <c r="H135" s="24"/>
    </row>
    <row r="136" spans="2:8" x14ac:dyDescent="0.4">
      <c r="B136" s="33"/>
      <c r="C136" s="27"/>
      <c r="D136" s="34"/>
      <c r="E136" s="35">
        <f>E134+E126+E120</f>
        <v>17945.029239766085</v>
      </c>
      <c r="F136" s="24"/>
      <c r="G136" s="24"/>
      <c r="H136" s="24"/>
    </row>
    <row r="137" spans="2:8" x14ac:dyDescent="0.4">
      <c r="B137" s="33" t="s">
        <v>48</v>
      </c>
      <c r="C137" s="27"/>
      <c r="D137" s="34"/>
      <c r="E137" s="35">
        <f>E136*25%</f>
        <v>4486.2573099415213</v>
      </c>
      <c r="F137" s="24"/>
      <c r="G137" s="24"/>
      <c r="H137" s="24"/>
    </row>
    <row r="138" spans="2:8" x14ac:dyDescent="0.4">
      <c r="B138" s="40" t="s">
        <v>49</v>
      </c>
      <c r="C138" s="27"/>
      <c r="D138" s="27"/>
      <c r="E138" s="35">
        <f>SUM(E136:E137)</f>
        <v>22431.286549707605</v>
      </c>
      <c r="F138" s="24"/>
      <c r="G138" s="24"/>
      <c r="H138" s="24"/>
    </row>
    <row r="139" spans="2:8" x14ac:dyDescent="0.4">
      <c r="B139" s="27"/>
      <c r="C139" s="27"/>
      <c r="D139" s="27"/>
      <c r="E139" s="27"/>
      <c r="F139" s="24"/>
      <c r="G139" s="24"/>
      <c r="H139" s="24"/>
    </row>
    <row r="140" spans="2:8" ht="15" customHeight="1" x14ac:dyDescent="0.4">
      <c r="B140" s="27"/>
      <c r="C140" s="27"/>
      <c r="D140" s="41"/>
      <c r="E140" s="27"/>
    </row>
    <row r="141" spans="2:8" x14ac:dyDescent="0.4">
      <c r="B141" s="1" t="s">
        <v>73</v>
      </c>
    </row>
    <row r="142" spans="2:8" x14ac:dyDescent="0.4">
      <c r="B142" s="1" t="s">
        <v>1</v>
      </c>
    </row>
    <row r="143" spans="2:8" x14ac:dyDescent="0.4">
      <c r="B143" s="3" t="s">
        <v>2</v>
      </c>
      <c r="C143" s="4" t="s">
        <v>3</v>
      </c>
    </row>
    <row r="144" spans="2:8" x14ac:dyDescent="0.4">
      <c r="B144" s="2" t="s">
        <v>74</v>
      </c>
      <c r="C144" s="5">
        <v>720000</v>
      </c>
    </row>
    <row r="145" spans="2:8" x14ac:dyDescent="0.4">
      <c r="B145" s="2" t="s">
        <v>75</v>
      </c>
      <c r="C145" s="5">
        <v>11000</v>
      </c>
    </row>
    <row r="146" spans="2:8" x14ac:dyDescent="0.4">
      <c r="B146" s="2" t="s">
        <v>76</v>
      </c>
      <c r="C146" s="5">
        <v>20000</v>
      </c>
    </row>
    <row r="147" spans="2:8" x14ac:dyDescent="0.4">
      <c r="B147" s="2" t="s">
        <v>77</v>
      </c>
      <c r="C147" s="42">
        <v>0.05</v>
      </c>
    </row>
    <row r="148" spans="2:8" x14ac:dyDescent="0.4">
      <c r="B148" s="2" t="s">
        <v>78</v>
      </c>
      <c r="C148" s="42" t="s">
        <v>79</v>
      </c>
    </row>
    <row r="149" spans="2:8" x14ac:dyDescent="0.4">
      <c r="B149" s="2" t="s">
        <v>29</v>
      </c>
      <c r="C149" s="43">
        <v>0.2</v>
      </c>
    </row>
    <row r="150" spans="2:8" x14ac:dyDescent="0.4">
      <c r="B150" s="3" t="s">
        <v>73</v>
      </c>
      <c r="C150" s="6"/>
      <c r="D150" s="6"/>
      <c r="E150" s="23"/>
    </row>
    <row r="151" spans="2:8" x14ac:dyDescent="0.4">
      <c r="B151" s="24" t="s">
        <v>80</v>
      </c>
      <c r="C151" s="25">
        <f>C144</f>
        <v>720000</v>
      </c>
      <c r="D151" s="24"/>
      <c r="E151" s="24"/>
      <c r="F151" s="24"/>
      <c r="G151" s="24"/>
      <c r="H151" s="24"/>
    </row>
    <row r="152" spans="2:8" x14ac:dyDescent="0.4">
      <c r="B152" s="27" t="s">
        <v>81</v>
      </c>
      <c r="C152" s="44">
        <f>C145</f>
        <v>11000</v>
      </c>
      <c r="D152" s="25">
        <f>C151+C152</f>
        <v>731000</v>
      </c>
      <c r="E152" s="27"/>
      <c r="F152" s="24"/>
      <c r="G152" s="24"/>
      <c r="H152" s="24"/>
    </row>
    <row r="153" spans="2:8" x14ac:dyDescent="0.4">
      <c r="B153" s="27" t="s">
        <v>82</v>
      </c>
      <c r="C153" s="27"/>
      <c r="D153" s="28">
        <f>D152*0.025</f>
        <v>18275</v>
      </c>
      <c r="E153" s="27"/>
      <c r="F153" s="24"/>
      <c r="G153" s="24"/>
      <c r="H153" s="24"/>
    </row>
    <row r="154" spans="2:8" x14ac:dyDescent="0.4">
      <c r="B154" s="27"/>
      <c r="C154" s="24"/>
      <c r="D154" s="45"/>
      <c r="E154" s="46">
        <f>D152+D153</f>
        <v>749275</v>
      </c>
      <c r="F154" s="24"/>
      <c r="G154" s="24"/>
      <c r="H154" s="24"/>
    </row>
    <row r="155" spans="2:8" x14ac:dyDescent="0.4">
      <c r="B155" s="47" t="s">
        <v>45</v>
      </c>
      <c r="C155" s="27"/>
      <c r="D155" s="24"/>
      <c r="E155" s="27"/>
      <c r="F155" s="24"/>
      <c r="G155" s="24"/>
      <c r="H155" s="24"/>
    </row>
    <row r="156" spans="2:8" x14ac:dyDescent="0.4">
      <c r="B156" s="24" t="s">
        <v>83</v>
      </c>
      <c r="C156" s="27"/>
      <c r="D156" s="24"/>
      <c r="E156" s="48">
        <f>C146</f>
        <v>20000</v>
      </c>
      <c r="F156" s="24"/>
      <c r="G156" s="24"/>
      <c r="H156" s="24"/>
    </row>
    <row r="157" spans="2:8" x14ac:dyDescent="0.4">
      <c r="B157" s="49" t="s">
        <v>84</v>
      </c>
      <c r="C157" s="27"/>
      <c r="D157" s="27"/>
      <c r="E157" s="32">
        <f>SUM(E154:E156)</f>
        <v>769275</v>
      </c>
      <c r="F157" s="24"/>
      <c r="G157" s="24"/>
      <c r="H157" s="24"/>
    </row>
    <row r="158" spans="2:8" x14ac:dyDescent="0.4">
      <c r="B158" s="19" t="s">
        <v>85</v>
      </c>
      <c r="C158" s="27"/>
      <c r="D158" s="34"/>
      <c r="E158" s="35">
        <f>E157*0.25</f>
        <v>192318.75</v>
      </c>
      <c r="F158" s="24"/>
      <c r="G158" s="24"/>
      <c r="H158" s="24"/>
    </row>
    <row r="159" spans="2:8" x14ac:dyDescent="0.4">
      <c r="B159" s="36" t="s">
        <v>86</v>
      </c>
      <c r="C159" s="37"/>
      <c r="D159" s="37"/>
      <c r="E159" s="38">
        <f>SUM(E157:E158)</f>
        <v>961593.75</v>
      </c>
      <c r="F159" s="24">
        <v>550</v>
      </c>
      <c r="G159" s="24"/>
      <c r="H159" s="24"/>
    </row>
    <row r="160" spans="2:8" x14ac:dyDescent="0.4">
      <c r="B160" s="27"/>
      <c r="C160" s="27"/>
      <c r="D160" s="27"/>
      <c r="E160" s="27"/>
      <c r="F160" s="24"/>
      <c r="G160" s="24"/>
      <c r="H160" s="24"/>
    </row>
    <row r="161" spans="2:8" ht="15" customHeight="1" x14ac:dyDescent="0.4">
      <c r="B161" s="27"/>
      <c r="C161" s="27"/>
      <c r="D161" s="41"/>
      <c r="E161" s="27"/>
      <c r="F161" s="24"/>
      <c r="G161" s="24"/>
      <c r="H161" s="24"/>
    </row>
    <row r="162" spans="2:8" x14ac:dyDescent="0.4">
      <c r="B162" s="1" t="s">
        <v>87</v>
      </c>
      <c r="C162" s="6"/>
      <c r="D162" s="6"/>
      <c r="E162" s="6"/>
    </row>
    <row r="163" spans="2:8" x14ac:dyDescent="0.4">
      <c r="B163" s="1" t="s">
        <v>88</v>
      </c>
      <c r="C163" s="50"/>
      <c r="D163" s="50"/>
      <c r="E163" s="6"/>
    </row>
    <row r="164" spans="2:8" x14ac:dyDescent="0.4">
      <c r="B164" s="1" t="s">
        <v>89</v>
      </c>
      <c r="C164" s="6"/>
      <c r="D164" s="6"/>
      <c r="E164" s="6"/>
    </row>
    <row r="165" spans="2:8" x14ac:dyDescent="0.4">
      <c r="B165" s="51"/>
      <c r="C165" s="6"/>
      <c r="D165" s="6"/>
      <c r="E165" s="6"/>
    </row>
    <row r="166" spans="2:8" x14ac:dyDescent="0.4">
      <c r="B166" s="2" t="s">
        <v>90</v>
      </c>
      <c r="C166" s="6" t="s">
        <v>91</v>
      </c>
      <c r="D166" s="6"/>
      <c r="E166" s="7"/>
    </row>
    <row r="167" spans="2:8" x14ac:dyDescent="0.4">
      <c r="B167" s="2" t="s">
        <v>92</v>
      </c>
      <c r="D167" s="6">
        <f>18500/2.88</f>
        <v>6423.6111111111113</v>
      </c>
      <c r="E167" s="7"/>
    </row>
    <row r="168" spans="2:8" x14ac:dyDescent="0.4">
      <c r="B168" s="2" t="s">
        <v>93</v>
      </c>
      <c r="C168" s="6" t="s">
        <v>94</v>
      </c>
      <c r="D168" s="6"/>
      <c r="E168" s="7"/>
    </row>
    <row r="169" spans="2:8" x14ac:dyDescent="0.4">
      <c r="B169" s="2" t="s">
        <v>95</v>
      </c>
      <c r="C169" s="6"/>
      <c r="D169" s="6">
        <f>400*1</f>
        <v>400</v>
      </c>
      <c r="E169" s="7"/>
    </row>
    <row r="170" spans="2:8" x14ac:dyDescent="0.4">
      <c r="B170" s="2" t="s">
        <v>96</v>
      </c>
      <c r="C170" s="6" t="s">
        <v>97</v>
      </c>
      <c r="D170" s="6"/>
      <c r="E170" s="7"/>
    </row>
    <row r="171" spans="2:8" x14ac:dyDescent="0.4">
      <c r="B171" s="2" t="s">
        <v>98</v>
      </c>
      <c r="C171" s="6"/>
      <c r="D171" s="6">
        <f>400*2.51</f>
        <v>1003.9999999999999</v>
      </c>
      <c r="E171" s="7"/>
    </row>
    <row r="172" spans="2:8" x14ac:dyDescent="0.4">
      <c r="C172" s="6"/>
      <c r="D172" s="6"/>
      <c r="E172" s="52">
        <f>SUM(D167:D171)</f>
        <v>7827.6111111111113</v>
      </c>
    </row>
    <row r="173" spans="2:8" x14ac:dyDescent="0.4">
      <c r="B173" s="2" t="s">
        <v>99</v>
      </c>
      <c r="C173" s="8">
        <v>0.15</v>
      </c>
      <c r="D173" s="6"/>
      <c r="E173" s="14">
        <f>E172*0.15</f>
        <v>1174.1416666666667</v>
      </c>
    </row>
    <row r="174" spans="2:8" x14ac:dyDescent="0.4">
      <c r="C174" s="6"/>
      <c r="D174" s="6"/>
      <c r="E174" s="53">
        <f>SUM(E172:E173)</f>
        <v>9001.7527777777777</v>
      </c>
    </row>
    <row r="175" spans="2:8" x14ac:dyDescent="0.4">
      <c r="B175" s="33" t="s">
        <v>100</v>
      </c>
      <c r="C175" s="8"/>
      <c r="D175" s="6"/>
      <c r="E175" s="14">
        <f>E174/3</f>
        <v>3000.5842592592594</v>
      </c>
    </row>
    <row r="176" spans="2:8" x14ac:dyDescent="0.4">
      <c r="B176" s="33" t="s">
        <v>101</v>
      </c>
      <c r="C176" s="6"/>
      <c r="D176" s="6"/>
      <c r="E176" s="14">
        <v>300</v>
      </c>
    </row>
    <row r="177" spans="2:6" x14ac:dyDescent="0.4">
      <c r="B177" s="33" t="s">
        <v>102</v>
      </c>
      <c r="C177" s="6"/>
      <c r="D177" s="6"/>
      <c r="E177" s="14">
        <f>200*0.2</f>
        <v>40</v>
      </c>
    </row>
    <row r="178" spans="2:6" x14ac:dyDescent="0.4">
      <c r="C178" s="6"/>
      <c r="D178" s="6"/>
      <c r="E178" s="54">
        <f>SUM(E175:E177)</f>
        <v>3340.5842592592594</v>
      </c>
    </row>
    <row r="179" spans="2:6" x14ac:dyDescent="0.4">
      <c r="B179" s="19" t="s">
        <v>45</v>
      </c>
      <c r="C179" s="6"/>
      <c r="D179" s="6"/>
      <c r="E179" s="55">
        <v>650</v>
      </c>
    </row>
    <row r="180" spans="2:6" x14ac:dyDescent="0.4">
      <c r="B180" s="19" t="s">
        <v>103</v>
      </c>
      <c r="C180" s="6"/>
      <c r="D180" s="6"/>
      <c r="E180" s="54">
        <f>SUM(E178:E179)</f>
        <v>3990.5842592592594</v>
      </c>
    </row>
    <row r="181" spans="2:6" x14ac:dyDescent="0.4">
      <c r="B181" s="33" t="s">
        <v>48</v>
      </c>
      <c r="C181" s="6"/>
      <c r="D181" s="6"/>
      <c r="E181" s="14">
        <f>E180*0.25</f>
        <v>997.64606481481485</v>
      </c>
      <c r="F181" s="2">
        <v>4000</v>
      </c>
    </row>
    <row r="182" spans="2:6" x14ac:dyDescent="0.4">
      <c r="B182" s="56" t="s">
        <v>104</v>
      </c>
      <c r="C182" s="4"/>
      <c r="D182" s="4"/>
      <c r="E182" s="57">
        <f>SUM(E180:E181)</f>
        <v>4988.2303240740739</v>
      </c>
      <c r="F182" s="2">
        <v>4500</v>
      </c>
    </row>
    <row r="183" spans="2:6" x14ac:dyDescent="0.4">
      <c r="C183" s="6"/>
      <c r="D183" s="6"/>
      <c r="E183" s="58"/>
    </row>
    <row r="184" spans="2:6" x14ac:dyDescent="0.4">
      <c r="B184" s="1" t="s">
        <v>105</v>
      </c>
      <c r="C184" s="50"/>
      <c r="D184" s="50"/>
      <c r="E184" s="6"/>
    </row>
    <row r="185" spans="2:6" x14ac:dyDescent="0.4">
      <c r="B185" s="1" t="s">
        <v>89</v>
      </c>
      <c r="C185" s="6"/>
      <c r="D185" s="6"/>
      <c r="E185" s="6"/>
    </row>
    <row r="186" spans="2:6" x14ac:dyDescent="0.4">
      <c r="B186" s="51"/>
      <c r="C186" s="6"/>
      <c r="D186" s="6"/>
      <c r="E186" s="6"/>
    </row>
    <row r="187" spans="2:6" x14ac:dyDescent="0.4">
      <c r="B187" s="2" t="s">
        <v>90</v>
      </c>
      <c r="C187" s="6" t="s">
        <v>91</v>
      </c>
      <c r="D187" s="6"/>
      <c r="E187" s="7"/>
    </row>
    <row r="188" spans="2:6" x14ac:dyDescent="0.4">
      <c r="B188" s="2" t="s">
        <v>92</v>
      </c>
      <c r="D188" s="6">
        <f>16000/2.88</f>
        <v>5555.5555555555557</v>
      </c>
      <c r="E188" s="7"/>
    </row>
    <row r="189" spans="2:6" x14ac:dyDescent="0.4">
      <c r="B189" s="2" t="s">
        <v>106</v>
      </c>
      <c r="C189" s="6" t="s">
        <v>107</v>
      </c>
      <c r="D189" s="6"/>
      <c r="E189" s="7"/>
    </row>
    <row r="190" spans="2:6" x14ac:dyDescent="0.4">
      <c r="B190" s="2" t="s">
        <v>108</v>
      </c>
      <c r="C190" s="6"/>
      <c r="D190" s="6">
        <f>600*1.2</f>
        <v>720</v>
      </c>
      <c r="E190" s="7"/>
    </row>
    <row r="191" spans="2:6" ht="39" x14ac:dyDescent="0.4">
      <c r="B191" s="59" t="s">
        <v>109</v>
      </c>
      <c r="C191" s="6" t="s">
        <v>110</v>
      </c>
      <c r="D191" s="6"/>
      <c r="E191" s="7"/>
    </row>
    <row r="192" spans="2:6" x14ac:dyDescent="0.4">
      <c r="B192" s="2" t="s">
        <v>111</v>
      </c>
      <c r="C192" s="6"/>
      <c r="D192" s="6">
        <f>400*7</f>
        <v>2800</v>
      </c>
      <c r="E192" s="7"/>
    </row>
    <row r="193" spans="2:7" x14ac:dyDescent="0.4">
      <c r="C193" s="6"/>
      <c r="D193" s="6"/>
      <c r="E193" s="52">
        <f>SUM(D188:D192)</f>
        <v>9075.5555555555547</v>
      </c>
    </row>
    <row r="194" spans="2:7" x14ac:dyDescent="0.4">
      <c r="B194" s="2" t="s">
        <v>112</v>
      </c>
      <c r="C194" s="8">
        <v>0.15</v>
      </c>
      <c r="D194" s="6"/>
      <c r="E194" s="14">
        <f>E193*0.15</f>
        <v>1361.3333333333333</v>
      </c>
    </row>
    <row r="195" spans="2:7" x14ac:dyDescent="0.4">
      <c r="C195" s="6"/>
      <c r="D195" s="6"/>
      <c r="E195" s="53">
        <f>SUM(E193:E194)</f>
        <v>10436.888888888889</v>
      </c>
    </row>
    <row r="196" spans="2:7" x14ac:dyDescent="0.4">
      <c r="B196" s="33" t="s">
        <v>100</v>
      </c>
      <c r="C196" s="8"/>
      <c r="D196" s="6"/>
      <c r="E196" s="14">
        <f>E195/3</f>
        <v>3478.962962962963</v>
      </c>
    </row>
    <row r="197" spans="2:7" x14ac:dyDescent="0.4">
      <c r="B197" s="33" t="s">
        <v>101</v>
      </c>
      <c r="C197" s="6"/>
      <c r="D197" s="6"/>
      <c r="E197" s="14">
        <v>300</v>
      </c>
    </row>
    <row r="198" spans="2:7" x14ac:dyDescent="0.4">
      <c r="B198" s="33" t="s">
        <v>102</v>
      </c>
      <c r="C198" s="6"/>
      <c r="D198" s="6"/>
      <c r="E198" s="14">
        <f>200*0.2</f>
        <v>40</v>
      </c>
    </row>
    <row r="199" spans="2:7" x14ac:dyDescent="0.4">
      <c r="C199" s="6"/>
      <c r="D199" s="6"/>
      <c r="E199" s="54">
        <f>SUM(E196:E198)</f>
        <v>3818.962962962963</v>
      </c>
    </row>
    <row r="200" spans="2:7" x14ac:dyDescent="0.4">
      <c r="B200" s="19" t="s">
        <v>45</v>
      </c>
      <c r="C200" s="6"/>
      <c r="D200" s="6"/>
      <c r="E200" s="55">
        <v>700</v>
      </c>
    </row>
    <row r="201" spans="2:7" x14ac:dyDescent="0.4">
      <c r="B201" s="19" t="s">
        <v>103</v>
      </c>
      <c r="C201" s="6"/>
      <c r="D201" s="6"/>
      <c r="E201" s="54">
        <f>SUM(E199:E200)</f>
        <v>4518.9629629629635</v>
      </c>
    </row>
    <row r="202" spans="2:7" x14ac:dyDescent="0.4">
      <c r="B202" s="33" t="s">
        <v>48</v>
      </c>
      <c r="C202" s="6"/>
      <c r="D202" s="6"/>
      <c r="E202" s="14">
        <f>E201*0.25</f>
        <v>1129.7407407407409</v>
      </c>
    </row>
    <row r="203" spans="2:7" x14ac:dyDescent="0.4">
      <c r="B203" s="56" t="s">
        <v>104</v>
      </c>
      <c r="C203" s="4"/>
      <c r="D203" s="4"/>
      <c r="E203" s="57">
        <f>SUM(E201:E202)</f>
        <v>5648.7037037037044</v>
      </c>
    </row>
    <row r="204" spans="2:7" x14ac:dyDescent="0.4">
      <c r="B204" s="60" t="s">
        <v>113</v>
      </c>
      <c r="C204" s="4"/>
      <c r="D204" s="4"/>
      <c r="E204" s="61"/>
    </row>
    <row r="205" spans="2:7" x14ac:dyDescent="0.4">
      <c r="B205" s="3" t="s">
        <v>2</v>
      </c>
      <c r="C205" s="4" t="s">
        <v>3</v>
      </c>
      <c r="D205" s="62"/>
      <c r="E205" s="62"/>
      <c r="F205" s="62"/>
      <c r="G205" s="62"/>
    </row>
    <row r="206" spans="2:7" x14ac:dyDescent="0.4">
      <c r="B206" s="62" t="s">
        <v>114</v>
      </c>
      <c r="D206" s="62"/>
      <c r="E206" s="62"/>
      <c r="F206" s="62"/>
      <c r="G206" s="62"/>
    </row>
    <row r="207" spans="2:7" x14ac:dyDescent="0.4">
      <c r="B207" s="62" t="s">
        <v>115</v>
      </c>
      <c r="D207" s="62"/>
      <c r="E207" s="62"/>
      <c r="F207" s="62"/>
      <c r="G207" s="62"/>
    </row>
    <row r="208" spans="2:7" x14ac:dyDescent="0.4">
      <c r="B208" s="62" t="s">
        <v>116</v>
      </c>
      <c r="D208" s="62"/>
      <c r="E208" s="62"/>
      <c r="F208" s="62"/>
      <c r="G208" s="62"/>
    </row>
    <row r="209" spans="2:7" x14ac:dyDescent="0.4">
      <c r="B209" s="62" t="s">
        <v>117</v>
      </c>
      <c r="C209" s="62">
        <v>350</v>
      </c>
      <c r="D209" s="62"/>
      <c r="E209" s="62"/>
      <c r="F209" s="62"/>
      <c r="G209" s="62"/>
    </row>
    <row r="210" spans="2:7" x14ac:dyDescent="0.4">
      <c r="B210" s="62" t="s">
        <v>118</v>
      </c>
      <c r="C210" s="62">
        <v>50</v>
      </c>
      <c r="D210" s="62"/>
      <c r="E210" s="62"/>
      <c r="F210" s="62"/>
      <c r="G210" s="62"/>
    </row>
    <row r="211" spans="2:7" x14ac:dyDescent="0.4">
      <c r="B211" s="62" t="s">
        <v>115</v>
      </c>
      <c r="C211" s="62"/>
      <c r="D211" s="62"/>
      <c r="E211" s="62"/>
      <c r="F211" s="62"/>
      <c r="G211" s="62"/>
    </row>
    <row r="212" spans="2:7" x14ac:dyDescent="0.4">
      <c r="B212" s="63" t="s">
        <v>119</v>
      </c>
      <c r="C212" s="62"/>
      <c r="D212" s="62"/>
      <c r="E212" s="62"/>
      <c r="F212" s="62"/>
      <c r="G212" s="62"/>
    </row>
    <row r="213" spans="2:7" x14ac:dyDescent="0.4">
      <c r="B213" s="62" t="s">
        <v>120</v>
      </c>
      <c r="C213" s="62"/>
      <c r="D213" s="62"/>
      <c r="E213" s="64">
        <f>C209*10</f>
        <v>3500</v>
      </c>
      <c r="F213" s="62"/>
      <c r="G213" s="62"/>
    </row>
    <row r="214" spans="2:7" x14ac:dyDescent="0.4">
      <c r="B214" s="62" t="s">
        <v>121</v>
      </c>
      <c r="C214" s="62"/>
      <c r="D214" s="62"/>
      <c r="E214" s="64">
        <f>E213*2.5%</f>
        <v>87.5</v>
      </c>
      <c r="F214" s="62"/>
      <c r="G214" s="62"/>
    </row>
    <row r="215" spans="2:7" x14ac:dyDescent="0.4">
      <c r="B215" s="62"/>
      <c r="C215" s="62"/>
      <c r="D215" s="62"/>
      <c r="E215" s="65">
        <f>SUM(E213:E214)</f>
        <v>3587.5</v>
      </c>
      <c r="F215" s="62"/>
      <c r="G215" s="62"/>
    </row>
    <row r="216" spans="2:7" x14ac:dyDescent="0.4">
      <c r="B216" s="63" t="s">
        <v>122</v>
      </c>
      <c r="C216" s="62"/>
      <c r="D216" s="62"/>
      <c r="E216" s="66"/>
      <c r="F216" s="62"/>
      <c r="G216" s="62"/>
    </row>
    <row r="217" spans="2:7" x14ac:dyDescent="0.4">
      <c r="B217" s="62" t="s">
        <v>123</v>
      </c>
      <c r="C217" s="62"/>
      <c r="D217" s="62"/>
      <c r="E217" s="64">
        <f>((1/5*1.35*28.8)*0.003*10)*C4</f>
        <v>1096.4160000000002</v>
      </c>
      <c r="F217" s="62"/>
      <c r="G217" s="62"/>
    </row>
    <row r="218" spans="2:7" x14ac:dyDescent="0.4">
      <c r="B218" s="62"/>
      <c r="C218" s="62"/>
      <c r="D218" s="62"/>
      <c r="E218" s="64"/>
      <c r="F218" s="62"/>
      <c r="G218" s="62"/>
    </row>
    <row r="219" spans="2:7" x14ac:dyDescent="0.4">
      <c r="B219" s="63" t="s">
        <v>124</v>
      </c>
      <c r="C219" s="62"/>
      <c r="D219" s="62"/>
      <c r="E219" s="64"/>
      <c r="F219" s="62"/>
      <c r="G219" s="62"/>
    </row>
    <row r="220" spans="2:7" x14ac:dyDescent="0.4">
      <c r="B220" s="62" t="s">
        <v>125</v>
      </c>
      <c r="C220" s="62"/>
      <c r="D220" s="62"/>
      <c r="E220" s="64">
        <f>(0.003*1.35)*10*C13</f>
        <v>306.81818181818187</v>
      </c>
      <c r="F220" s="62"/>
      <c r="G220" s="62"/>
    </row>
    <row r="221" spans="2:7" x14ac:dyDescent="0.4">
      <c r="C221" s="62"/>
      <c r="D221" s="62"/>
      <c r="E221" s="66"/>
      <c r="F221" s="62"/>
      <c r="G221" s="62"/>
    </row>
    <row r="222" spans="2:7" x14ac:dyDescent="0.4">
      <c r="B222" s="63" t="s">
        <v>126</v>
      </c>
      <c r="C222" s="62"/>
      <c r="D222" s="62"/>
      <c r="E222" s="64"/>
      <c r="F222" s="62"/>
      <c r="G222" s="62"/>
    </row>
    <row r="223" spans="2:7" x14ac:dyDescent="0.4">
      <c r="B223" s="62" t="s">
        <v>127</v>
      </c>
      <c r="C223" s="62"/>
      <c r="D223" s="62"/>
      <c r="E223" s="66">
        <f>C210*10</f>
        <v>500</v>
      </c>
      <c r="F223" s="62"/>
      <c r="G223" s="62"/>
    </row>
    <row r="224" spans="2:7" x14ac:dyDescent="0.4">
      <c r="B224" s="67" t="s">
        <v>128</v>
      </c>
      <c r="C224" s="62"/>
      <c r="D224" s="62"/>
      <c r="E224" s="65">
        <f>SUM(E215:E223)</f>
        <v>5490.7341818181822</v>
      </c>
      <c r="F224" s="62"/>
      <c r="G224" s="62"/>
    </row>
    <row r="225" spans="2:7" x14ac:dyDescent="0.4">
      <c r="B225" s="67" t="s">
        <v>129</v>
      </c>
      <c r="C225" s="62"/>
      <c r="D225" s="62"/>
      <c r="E225" s="68">
        <f>E224*25%</f>
        <v>1372.6835454545455</v>
      </c>
      <c r="F225" s="62"/>
      <c r="G225" s="62"/>
    </row>
    <row r="226" spans="2:7" x14ac:dyDescent="0.4">
      <c r="B226" s="69" t="s">
        <v>130</v>
      </c>
      <c r="C226" s="70"/>
      <c r="D226" s="70"/>
      <c r="E226" s="71">
        <f>SUM(E224:E225)</f>
        <v>6863.4177272727275</v>
      </c>
      <c r="F226" s="62"/>
      <c r="G226" s="62"/>
    </row>
    <row r="227" spans="2:7" x14ac:dyDescent="0.4">
      <c r="B227" s="62"/>
      <c r="C227" s="62"/>
      <c r="D227" s="62"/>
      <c r="E227" s="62"/>
      <c r="F227" s="62"/>
      <c r="G227" s="62"/>
    </row>
    <row r="228" spans="2:7" x14ac:dyDescent="0.4">
      <c r="B228" s="60" t="s">
        <v>131</v>
      </c>
      <c r="C228" s="4"/>
      <c r="D228" s="4"/>
      <c r="E228" s="61"/>
    </row>
    <row r="229" spans="2:7" x14ac:dyDescent="0.4">
      <c r="B229" s="3" t="s">
        <v>2</v>
      </c>
      <c r="C229" s="4" t="s">
        <v>3</v>
      </c>
      <c r="D229" s="62"/>
      <c r="E229" s="62"/>
      <c r="F229" s="62"/>
      <c r="G229" s="62"/>
    </row>
    <row r="230" spans="2:7" x14ac:dyDescent="0.4">
      <c r="B230" s="62" t="s">
        <v>114</v>
      </c>
      <c r="D230" s="62"/>
      <c r="E230" s="62"/>
      <c r="F230" s="62"/>
      <c r="G230" s="62"/>
    </row>
    <row r="231" spans="2:7" x14ac:dyDescent="0.4">
      <c r="B231" s="62" t="s">
        <v>115</v>
      </c>
      <c r="D231" s="62"/>
      <c r="E231" s="62"/>
      <c r="F231" s="62"/>
      <c r="G231" s="62"/>
    </row>
    <row r="232" spans="2:7" x14ac:dyDescent="0.4">
      <c r="B232" s="62" t="s">
        <v>132</v>
      </c>
      <c r="D232" s="62"/>
      <c r="E232" s="62"/>
      <c r="F232" s="62"/>
      <c r="G232" s="62"/>
    </row>
    <row r="233" spans="2:7" x14ac:dyDescent="0.4">
      <c r="B233" s="62" t="s">
        <v>117</v>
      </c>
      <c r="C233" s="62">
        <v>280</v>
      </c>
      <c r="D233" s="62"/>
      <c r="E233" s="62"/>
      <c r="F233" s="62"/>
      <c r="G233" s="62"/>
    </row>
    <row r="234" spans="2:7" x14ac:dyDescent="0.4">
      <c r="B234" s="62" t="s">
        <v>118</v>
      </c>
      <c r="C234" s="62">
        <v>50</v>
      </c>
      <c r="D234" s="62"/>
      <c r="E234" s="62"/>
      <c r="F234" s="62"/>
      <c r="G234" s="62"/>
    </row>
    <row r="235" spans="2:7" x14ac:dyDescent="0.4">
      <c r="B235" s="62" t="s">
        <v>115</v>
      </c>
      <c r="C235" s="62"/>
      <c r="D235" s="62"/>
      <c r="E235" s="62"/>
      <c r="F235" s="62"/>
      <c r="G235" s="62"/>
    </row>
    <row r="236" spans="2:7" x14ac:dyDescent="0.4">
      <c r="B236" s="63" t="s">
        <v>119</v>
      </c>
      <c r="C236" s="62"/>
      <c r="D236" s="62"/>
      <c r="E236" s="62"/>
      <c r="F236" s="62"/>
      <c r="G236" s="62"/>
    </row>
    <row r="237" spans="2:7" x14ac:dyDescent="0.4">
      <c r="B237" s="62" t="s">
        <v>120</v>
      </c>
      <c r="C237" s="62"/>
      <c r="D237" s="62"/>
      <c r="E237" s="64">
        <f>C233*10</f>
        <v>2800</v>
      </c>
      <c r="F237" s="62"/>
      <c r="G237" s="62"/>
    </row>
    <row r="238" spans="2:7" x14ac:dyDescent="0.4">
      <c r="B238" s="62" t="s">
        <v>133</v>
      </c>
      <c r="C238" s="62"/>
      <c r="D238" s="62"/>
      <c r="E238" s="64">
        <f>E237*5%</f>
        <v>140</v>
      </c>
      <c r="F238" s="62"/>
      <c r="G238" s="62"/>
    </row>
    <row r="239" spans="2:7" x14ac:dyDescent="0.4">
      <c r="B239" s="62"/>
      <c r="C239" s="62"/>
      <c r="D239" s="62"/>
      <c r="E239" s="65">
        <f>SUM(E237:E238)</f>
        <v>2940</v>
      </c>
      <c r="F239" s="62"/>
      <c r="G239" s="62"/>
    </row>
    <row r="240" spans="2:7" x14ac:dyDescent="0.4">
      <c r="B240" s="63" t="s">
        <v>122</v>
      </c>
      <c r="C240" s="62"/>
      <c r="D240" s="62"/>
      <c r="E240" s="66"/>
      <c r="F240" s="62"/>
      <c r="G240" s="62"/>
    </row>
    <row r="241" spans="2:7" x14ac:dyDescent="0.4">
      <c r="B241" s="62" t="s">
        <v>123</v>
      </c>
      <c r="C241" s="62"/>
      <c r="D241" s="62"/>
      <c r="E241" s="64">
        <f>((1/5*1.35*28.8)*0.0025*10)*C4</f>
        <v>913.68000000000006</v>
      </c>
      <c r="F241" s="62"/>
      <c r="G241" s="62"/>
    </row>
    <row r="242" spans="2:7" ht="16.149999999999999" customHeight="1" x14ac:dyDescent="0.4">
      <c r="B242" s="62"/>
      <c r="C242" s="62"/>
      <c r="D242" s="62"/>
      <c r="E242" s="64"/>
      <c r="F242" s="62"/>
      <c r="G242" s="62"/>
    </row>
    <row r="243" spans="2:7" x14ac:dyDescent="0.4">
      <c r="B243" s="63" t="s">
        <v>124</v>
      </c>
      <c r="C243" s="62"/>
      <c r="D243" s="62"/>
      <c r="E243" s="64"/>
      <c r="F243" s="62"/>
      <c r="G243" s="62"/>
    </row>
    <row r="244" spans="2:7" x14ac:dyDescent="0.4">
      <c r="B244" s="62" t="s">
        <v>125</v>
      </c>
      <c r="C244" s="62"/>
      <c r="D244" s="62"/>
      <c r="E244" s="64">
        <f>(0.0025*1.35)*10*C13</f>
        <v>255.68181818181819</v>
      </c>
      <c r="F244" s="62"/>
      <c r="G244" s="62"/>
    </row>
    <row r="245" spans="2:7" ht="15" customHeight="1" x14ac:dyDescent="0.4">
      <c r="C245" s="62"/>
      <c r="D245" s="62"/>
      <c r="E245" s="66"/>
      <c r="F245" s="62"/>
      <c r="G245" s="62"/>
    </row>
    <row r="246" spans="2:7" x14ac:dyDescent="0.4">
      <c r="B246" s="63" t="s">
        <v>126</v>
      </c>
      <c r="C246" s="62"/>
      <c r="D246" s="62"/>
      <c r="E246" s="64"/>
      <c r="F246" s="62"/>
      <c r="G246" s="62"/>
    </row>
    <row r="247" spans="2:7" x14ac:dyDescent="0.4">
      <c r="B247" s="62" t="s">
        <v>127</v>
      </c>
      <c r="C247" s="62"/>
      <c r="D247" s="62"/>
      <c r="E247" s="66">
        <f>C234*10</f>
        <v>500</v>
      </c>
      <c r="F247" s="62"/>
      <c r="G247" s="62"/>
    </row>
    <row r="248" spans="2:7" x14ac:dyDescent="0.4">
      <c r="B248" s="67" t="s">
        <v>128</v>
      </c>
      <c r="C248" s="62"/>
      <c r="D248" s="62"/>
      <c r="E248" s="65">
        <f>SUM(E239:E247)</f>
        <v>4609.3618181818183</v>
      </c>
      <c r="F248" s="62"/>
      <c r="G248" s="62"/>
    </row>
    <row r="249" spans="2:7" x14ac:dyDescent="0.4">
      <c r="B249" s="67" t="s">
        <v>129</v>
      </c>
      <c r="C249" s="62"/>
      <c r="D249" s="62"/>
      <c r="E249" s="68">
        <f>E248*25%</f>
        <v>1152.3404545454546</v>
      </c>
      <c r="F249" s="62"/>
      <c r="G249" s="62"/>
    </row>
    <row r="250" spans="2:7" x14ac:dyDescent="0.4">
      <c r="B250" s="69" t="s">
        <v>130</v>
      </c>
      <c r="C250" s="70"/>
      <c r="D250" s="70"/>
      <c r="E250" s="71">
        <f>SUM(E248:E249)</f>
        <v>5761.7022727272724</v>
      </c>
      <c r="F250" s="62"/>
      <c r="G250" s="62"/>
    </row>
    <row r="251" spans="2:7" x14ac:dyDescent="0.4">
      <c r="B251" s="60"/>
      <c r="C251" s="62"/>
      <c r="D251" s="62"/>
      <c r="E251" s="62"/>
      <c r="F251" s="62"/>
      <c r="G251" s="62"/>
    </row>
    <row r="252" spans="2:7" x14ac:dyDescent="0.4">
      <c r="B252" s="60" t="s">
        <v>134</v>
      </c>
      <c r="C252" s="62"/>
      <c r="D252" s="62"/>
      <c r="E252" s="62"/>
      <c r="F252" s="62"/>
      <c r="G252" s="62"/>
    </row>
    <row r="253" spans="2:7" x14ac:dyDescent="0.4">
      <c r="B253" s="62" t="s">
        <v>135</v>
      </c>
      <c r="C253" s="62"/>
      <c r="D253" s="62"/>
      <c r="E253" s="62"/>
      <c r="F253" s="62"/>
      <c r="G253" s="62"/>
    </row>
    <row r="254" spans="2:7" x14ac:dyDescent="0.4">
      <c r="B254" s="62" t="s">
        <v>136</v>
      </c>
      <c r="C254" s="62"/>
      <c r="D254" s="62"/>
      <c r="E254" s="62"/>
      <c r="F254" s="62"/>
      <c r="G254" s="62"/>
    </row>
    <row r="255" spans="2:7" x14ac:dyDescent="0.4">
      <c r="B255" s="62" t="s">
        <v>137</v>
      </c>
      <c r="C255" s="62"/>
      <c r="D255" s="62"/>
      <c r="E255" s="62"/>
      <c r="F255" s="62"/>
      <c r="G255" s="62"/>
    </row>
    <row r="256" spans="2:7" x14ac:dyDescent="0.4">
      <c r="B256" s="62" t="s">
        <v>127</v>
      </c>
      <c r="C256" s="67" t="s">
        <v>138</v>
      </c>
      <c r="D256" s="62"/>
      <c r="E256" s="62"/>
      <c r="F256" s="62"/>
      <c r="G256" s="62"/>
    </row>
    <row r="257" spans="2:7" x14ac:dyDescent="0.4">
      <c r="B257" s="62" t="s">
        <v>139</v>
      </c>
      <c r="C257" s="72">
        <f>100*0.012</f>
        <v>1.2</v>
      </c>
      <c r="D257" s="62"/>
      <c r="E257" s="62"/>
      <c r="F257" s="62"/>
      <c r="G257" s="62"/>
    </row>
    <row r="258" spans="2:7" x14ac:dyDescent="0.4">
      <c r="B258" s="62" t="s">
        <v>140</v>
      </c>
      <c r="C258" s="73">
        <v>0.65</v>
      </c>
      <c r="D258" s="62"/>
      <c r="E258" s="62"/>
      <c r="F258" s="62"/>
      <c r="G258" s="62"/>
    </row>
    <row r="259" spans="2:7" x14ac:dyDescent="0.4">
      <c r="B259" s="62" t="s">
        <v>141</v>
      </c>
      <c r="C259" s="74">
        <f>C257*1.65</f>
        <v>1.9799999999999998</v>
      </c>
      <c r="D259" s="62"/>
      <c r="E259" s="62"/>
      <c r="F259" s="62"/>
      <c r="G259" s="62"/>
    </row>
    <row r="260" spans="2:7" x14ac:dyDescent="0.4">
      <c r="C260" s="74"/>
      <c r="D260" s="62"/>
      <c r="E260" s="62"/>
      <c r="F260" s="62"/>
      <c r="G260" s="62"/>
    </row>
    <row r="261" spans="2:7" x14ac:dyDescent="0.4">
      <c r="B261" s="63" t="s">
        <v>122</v>
      </c>
      <c r="C261" s="74"/>
      <c r="D261" s="62"/>
      <c r="E261" s="62"/>
      <c r="F261" s="62"/>
      <c r="G261" s="62"/>
    </row>
    <row r="262" spans="2:7" x14ac:dyDescent="0.4">
      <c r="B262" s="62" t="s">
        <v>142</v>
      </c>
      <c r="C262" s="62"/>
      <c r="D262" s="75">
        <f>1/7*1.98*28.8</f>
        <v>8.1462857142857139</v>
      </c>
      <c r="F262" s="62"/>
      <c r="G262" s="62"/>
    </row>
    <row r="263" spans="2:7" x14ac:dyDescent="0.4">
      <c r="B263" s="2" t="s">
        <v>143</v>
      </c>
      <c r="C263" s="62"/>
      <c r="D263" s="62"/>
      <c r="E263" s="64">
        <f>D262*C4</f>
        <v>38287.542857142857</v>
      </c>
      <c r="F263" s="62"/>
      <c r="G263" s="62"/>
    </row>
    <row r="264" spans="2:7" x14ac:dyDescent="0.4">
      <c r="C264" s="62"/>
      <c r="D264" s="62"/>
      <c r="E264" s="64"/>
      <c r="F264" s="62"/>
      <c r="G264" s="62"/>
    </row>
    <row r="265" spans="2:7" x14ac:dyDescent="0.4">
      <c r="B265" s="1" t="s">
        <v>124</v>
      </c>
      <c r="C265" s="62"/>
      <c r="D265" s="62"/>
      <c r="E265" s="75"/>
      <c r="F265" s="62"/>
      <c r="G265" s="62"/>
    </row>
    <row r="266" spans="2:7" x14ac:dyDescent="0.4">
      <c r="B266" s="62" t="s">
        <v>144</v>
      </c>
      <c r="C266" s="62"/>
      <c r="D266" s="74">
        <f>C259*6/7</f>
        <v>1.6971428571428571</v>
      </c>
      <c r="E266" s="75"/>
      <c r="F266" s="62"/>
      <c r="G266" s="62"/>
    </row>
    <row r="267" spans="2:7" x14ac:dyDescent="0.4">
      <c r="B267" s="2" t="s">
        <v>145</v>
      </c>
      <c r="C267" s="62"/>
      <c r="D267" s="62"/>
      <c r="E267" s="64">
        <f>D266*C14</f>
        <v>3818.5714285714284</v>
      </c>
      <c r="F267" s="62"/>
      <c r="G267" s="62"/>
    </row>
    <row r="268" spans="2:7" x14ac:dyDescent="0.4">
      <c r="B268" s="62"/>
      <c r="C268" s="62"/>
      <c r="D268" s="62"/>
      <c r="E268" s="65">
        <f>SUM(E263:E267)</f>
        <v>42106.114285714284</v>
      </c>
      <c r="F268" s="62"/>
      <c r="G268" s="62"/>
    </row>
    <row r="269" spans="2:7" x14ac:dyDescent="0.4">
      <c r="B269" s="62" t="s">
        <v>146</v>
      </c>
      <c r="C269" s="62"/>
      <c r="D269" s="62"/>
      <c r="E269" s="64">
        <f>E268*15%</f>
        <v>6315.9171428571426</v>
      </c>
      <c r="F269" s="62"/>
      <c r="G269" s="62"/>
    </row>
    <row r="270" spans="2:7" x14ac:dyDescent="0.4">
      <c r="B270" s="67" t="s">
        <v>147</v>
      </c>
      <c r="C270" s="62"/>
      <c r="D270" s="62"/>
      <c r="E270" s="65">
        <f>SUM(E268:E269)</f>
        <v>48422.031428571427</v>
      </c>
      <c r="F270" s="62"/>
      <c r="G270" s="62"/>
    </row>
    <row r="271" spans="2:7" x14ac:dyDescent="0.4">
      <c r="B271" s="67" t="s">
        <v>120</v>
      </c>
      <c r="C271" s="62"/>
      <c r="D271" s="62"/>
      <c r="E271" s="64">
        <f>E270/100</f>
        <v>484.22031428571427</v>
      </c>
      <c r="F271" s="62"/>
      <c r="G271" s="62"/>
    </row>
    <row r="272" spans="2:7" x14ac:dyDescent="0.4">
      <c r="B272" s="67" t="s">
        <v>148</v>
      </c>
      <c r="C272" s="62"/>
      <c r="D272" s="62"/>
      <c r="E272" s="64">
        <v>550</v>
      </c>
      <c r="F272" s="62"/>
      <c r="G272" s="62"/>
    </row>
    <row r="273" spans="2:7" x14ac:dyDescent="0.4">
      <c r="B273" s="67" t="s">
        <v>128</v>
      </c>
      <c r="C273" s="62"/>
      <c r="D273" s="62"/>
      <c r="E273" s="65">
        <f>SUM(E271:E272)</f>
        <v>1034.2203142857143</v>
      </c>
      <c r="F273" s="62"/>
      <c r="G273" s="62"/>
    </row>
    <row r="274" spans="2:7" x14ac:dyDescent="0.4">
      <c r="B274" s="67" t="s">
        <v>149</v>
      </c>
      <c r="C274" s="62"/>
      <c r="D274" s="62"/>
      <c r="E274" s="76">
        <f>E273*25%</f>
        <v>258.55507857142857</v>
      </c>
      <c r="F274" s="62"/>
      <c r="G274" s="62"/>
    </row>
    <row r="275" spans="2:7" x14ac:dyDescent="0.4">
      <c r="B275" s="69" t="s">
        <v>130</v>
      </c>
      <c r="C275" s="77"/>
      <c r="D275" s="78"/>
      <c r="E275" s="79">
        <f>SUM(E273:E274)</f>
        <v>1292.7753928571428</v>
      </c>
      <c r="F275" s="2">
        <v>13000</v>
      </c>
    </row>
    <row r="276" spans="2:7" x14ac:dyDescent="0.4">
      <c r="B276" s="60" t="s">
        <v>150</v>
      </c>
      <c r="C276" s="62"/>
      <c r="D276" s="62"/>
      <c r="E276" s="62"/>
      <c r="F276" s="62"/>
      <c r="G276" s="62"/>
    </row>
    <row r="277" spans="2:7" x14ac:dyDescent="0.4">
      <c r="B277" s="62" t="s">
        <v>151</v>
      </c>
      <c r="C277" s="62"/>
      <c r="D277" s="62"/>
      <c r="E277" s="62"/>
      <c r="F277" s="62"/>
      <c r="G277" s="62"/>
    </row>
    <row r="278" spans="2:7" x14ac:dyDescent="0.4">
      <c r="B278" s="62" t="s">
        <v>152</v>
      </c>
      <c r="C278" s="62"/>
      <c r="D278" s="62"/>
      <c r="E278" s="62"/>
      <c r="F278" s="62"/>
      <c r="G278" s="62"/>
    </row>
    <row r="279" spans="2:7" x14ac:dyDescent="0.4">
      <c r="B279" s="62" t="s">
        <v>137</v>
      </c>
      <c r="C279" s="62"/>
      <c r="D279" s="62"/>
      <c r="E279" s="62"/>
      <c r="F279" s="62"/>
      <c r="G279" s="62"/>
    </row>
    <row r="280" spans="2:7" x14ac:dyDescent="0.4">
      <c r="B280" s="62" t="s">
        <v>127</v>
      </c>
      <c r="C280" s="67" t="s">
        <v>153</v>
      </c>
      <c r="D280" s="62"/>
      <c r="E280" s="62"/>
      <c r="F280" s="62"/>
      <c r="G280" s="62"/>
    </row>
    <row r="281" spans="2:7" x14ac:dyDescent="0.4">
      <c r="B281" s="62" t="s">
        <v>139</v>
      </c>
      <c r="C281" s="72">
        <f>100*0.01</f>
        <v>1</v>
      </c>
      <c r="D281" s="62"/>
      <c r="E281" s="62"/>
      <c r="F281" s="62"/>
      <c r="G281" s="62"/>
    </row>
    <row r="282" spans="2:7" x14ac:dyDescent="0.4">
      <c r="B282" s="62" t="s">
        <v>140</v>
      </c>
      <c r="C282" s="73">
        <v>0.65</v>
      </c>
      <c r="D282" s="62"/>
      <c r="E282" s="62"/>
      <c r="F282" s="62"/>
      <c r="G282" s="62"/>
    </row>
    <row r="283" spans="2:7" x14ac:dyDescent="0.4">
      <c r="B283" s="62" t="s">
        <v>141</v>
      </c>
      <c r="C283" s="74">
        <f>C281*1.65</f>
        <v>1.65</v>
      </c>
      <c r="D283" s="62"/>
      <c r="E283" s="62"/>
      <c r="F283" s="62"/>
      <c r="G283" s="62"/>
    </row>
    <row r="284" spans="2:7" x14ac:dyDescent="0.4">
      <c r="C284" s="74"/>
      <c r="D284" s="62"/>
      <c r="E284" s="62"/>
      <c r="F284" s="62"/>
      <c r="G284" s="62"/>
    </row>
    <row r="285" spans="2:7" x14ac:dyDescent="0.4">
      <c r="B285" s="63" t="s">
        <v>122</v>
      </c>
      <c r="C285" s="74"/>
      <c r="D285" s="62"/>
      <c r="E285" s="62"/>
      <c r="F285" s="62"/>
      <c r="G285" s="62"/>
    </row>
    <row r="286" spans="2:7" x14ac:dyDescent="0.4">
      <c r="B286" s="62" t="s">
        <v>142</v>
      </c>
      <c r="C286" s="62"/>
      <c r="D286" s="75">
        <f>1/4.5*C283*28.8</f>
        <v>10.559999999999999</v>
      </c>
      <c r="F286" s="62"/>
      <c r="G286" s="62"/>
    </row>
    <row r="287" spans="2:7" x14ac:dyDescent="0.4">
      <c r="B287" s="2" t="s">
        <v>143</v>
      </c>
      <c r="C287" s="62"/>
      <c r="D287" s="62"/>
      <c r="E287" s="64">
        <f>D286*C4</f>
        <v>49631.999999999993</v>
      </c>
      <c r="F287" s="62"/>
      <c r="G287" s="62"/>
    </row>
    <row r="288" spans="2:7" x14ac:dyDescent="0.4">
      <c r="C288" s="62"/>
      <c r="D288" s="62"/>
      <c r="E288" s="64"/>
      <c r="F288" s="62"/>
      <c r="G288" s="62"/>
    </row>
    <row r="289" spans="2:7" x14ac:dyDescent="0.4">
      <c r="B289" s="62"/>
      <c r="C289" s="62"/>
      <c r="D289" s="62"/>
      <c r="E289" s="65">
        <f>SUM(E287:E288)</f>
        <v>49631.999999999993</v>
      </c>
      <c r="F289" s="62"/>
      <c r="G289" s="62"/>
    </row>
    <row r="290" spans="2:7" x14ac:dyDescent="0.4">
      <c r="B290" s="62" t="s">
        <v>146</v>
      </c>
      <c r="C290" s="62"/>
      <c r="D290" s="62"/>
      <c r="E290" s="64">
        <f>E289*15%</f>
        <v>7444.7999999999984</v>
      </c>
      <c r="F290" s="62"/>
      <c r="G290" s="62"/>
    </row>
    <row r="291" spans="2:7" x14ac:dyDescent="0.4">
      <c r="B291" s="67" t="s">
        <v>147</v>
      </c>
      <c r="C291" s="62"/>
      <c r="D291" s="62"/>
      <c r="E291" s="65">
        <f>SUM(E289:E290)</f>
        <v>57076.799999999988</v>
      </c>
      <c r="F291" s="62"/>
      <c r="G291" s="62"/>
    </row>
    <row r="292" spans="2:7" x14ac:dyDescent="0.4">
      <c r="B292" s="67" t="s">
        <v>120</v>
      </c>
      <c r="C292" s="62"/>
      <c r="D292" s="62"/>
      <c r="E292" s="64">
        <f>E291/100</f>
        <v>570.76799999999992</v>
      </c>
      <c r="F292" s="62"/>
      <c r="G292" s="62"/>
    </row>
    <row r="293" spans="2:7" x14ac:dyDescent="0.4">
      <c r="B293" s="67" t="s">
        <v>148</v>
      </c>
      <c r="C293" s="62"/>
      <c r="D293" s="62"/>
      <c r="E293" s="64">
        <f>500</f>
        <v>500</v>
      </c>
      <c r="F293" s="62"/>
      <c r="G293" s="62"/>
    </row>
    <row r="294" spans="2:7" x14ac:dyDescent="0.4">
      <c r="B294" s="67" t="s">
        <v>154</v>
      </c>
      <c r="C294" s="62"/>
      <c r="D294" s="62"/>
      <c r="E294" s="64">
        <v>100</v>
      </c>
      <c r="F294" s="62"/>
      <c r="G294" s="62"/>
    </row>
    <row r="295" spans="2:7" x14ac:dyDescent="0.4">
      <c r="B295" s="67" t="s">
        <v>155</v>
      </c>
      <c r="C295" s="62"/>
      <c r="D295" s="62"/>
      <c r="E295" s="64">
        <v>350</v>
      </c>
      <c r="F295" s="62"/>
      <c r="G295" s="62"/>
    </row>
    <row r="296" spans="2:7" x14ac:dyDescent="0.4">
      <c r="B296" s="67" t="s">
        <v>128</v>
      </c>
      <c r="C296" s="62"/>
      <c r="D296" s="62"/>
      <c r="E296" s="65">
        <f>SUM(E292:E295)</f>
        <v>1520.768</v>
      </c>
      <c r="F296" s="62"/>
      <c r="G296" s="62"/>
    </row>
    <row r="297" spans="2:7" x14ac:dyDescent="0.4">
      <c r="B297" s="1" t="s">
        <v>156</v>
      </c>
      <c r="C297" s="62"/>
      <c r="D297" s="62"/>
      <c r="E297" s="64"/>
      <c r="F297" s="62"/>
      <c r="G297" s="62"/>
    </row>
    <row r="298" spans="2:7" x14ac:dyDescent="0.4">
      <c r="B298" s="2" t="s">
        <v>157</v>
      </c>
      <c r="C298" s="62"/>
      <c r="D298" s="62"/>
      <c r="E298" s="64">
        <f>2600/7</f>
        <v>371.42857142857144</v>
      </c>
      <c r="F298" s="62"/>
      <c r="G298" s="62"/>
    </row>
    <row r="299" spans="2:7" x14ac:dyDescent="0.4">
      <c r="C299" s="62"/>
      <c r="D299" s="62"/>
      <c r="E299" s="65">
        <f>SUM(E296:E298)</f>
        <v>1892.1965714285716</v>
      </c>
      <c r="F299" s="62"/>
      <c r="G299" s="62"/>
    </row>
    <row r="300" spans="2:7" x14ac:dyDescent="0.4">
      <c r="B300" s="67" t="s">
        <v>149</v>
      </c>
      <c r="C300" s="62"/>
      <c r="D300" s="62"/>
      <c r="E300" s="76">
        <f>E299*0.25</f>
        <v>473.0491428571429</v>
      </c>
      <c r="F300" s="62"/>
      <c r="G300" s="62"/>
    </row>
    <row r="301" spans="2:7" x14ac:dyDescent="0.4">
      <c r="B301" s="69" t="s">
        <v>130</v>
      </c>
      <c r="C301" s="77"/>
      <c r="D301" s="78"/>
      <c r="E301" s="79">
        <f>SUM(E299:E300)</f>
        <v>2365.2457142857147</v>
      </c>
      <c r="F301" s="2">
        <v>13000</v>
      </c>
    </row>
    <row r="302" spans="2:7" x14ac:dyDescent="0.4">
      <c r="B302" s="60" t="s">
        <v>158</v>
      </c>
      <c r="C302" s="62"/>
      <c r="D302" s="62"/>
      <c r="E302" s="62"/>
      <c r="F302" s="62"/>
      <c r="G302" s="62"/>
    </row>
    <row r="303" spans="2:7" x14ac:dyDescent="0.4">
      <c r="B303" s="62" t="s">
        <v>135</v>
      </c>
      <c r="C303" s="62"/>
      <c r="D303" s="62"/>
      <c r="E303" s="62"/>
      <c r="F303" s="62"/>
      <c r="G303" s="62"/>
    </row>
    <row r="304" spans="2:7" x14ac:dyDescent="0.4">
      <c r="B304" s="62" t="s">
        <v>159</v>
      </c>
      <c r="C304" s="62"/>
      <c r="D304" s="62"/>
      <c r="E304" s="62"/>
      <c r="F304" s="62"/>
      <c r="G304" s="62"/>
    </row>
    <row r="305" spans="2:7" x14ac:dyDescent="0.4">
      <c r="B305" s="62" t="s">
        <v>137</v>
      </c>
      <c r="C305" s="62"/>
      <c r="D305" s="62"/>
      <c r="E305" s="62"/>
      <c r="F305" s="62"/>
      <c r="G305" s="62"/>
    </row>
    <row r="306" spans="2:7" x14ac:dyDescent="0.4">
      <c r="B306" s="62" t="s">
        <v>160</v>
      </c>
      <c r="C306" s="67" t="s">
        <v>153</v>
      </c>
      <c r="D306" s="62"/>
      <c r="E306" s="62"/>
      <c r="F306" s="62"/>
      <c r="G306" s="62"/>
    </row>
    <row r="307" spans="2:7" x14ac:dyDescent="0.4">
      <c r="B307" s="62" t="s">
        <v>161</v>
      </c>
      <c r="C307" s="72">
        <f>100*0.038</f>
        <v>3.8</v>
      </c>
      <c r="D307" s="62"/>
      <c r="E307" s="62"/>
      <c r="F307" s="62"/>
      <c r="G307" s="62"/>
    </row>
    <row r="308" spans="2:7" x14ac:dyDescent="0.4">
      <c r="B308" s="62" t="s">
        <v>140</v>
      </c>
      <c r="C308" s="73">
        <v>0.15</v>
      </c>
      <c r="D308" s="62"/>
      <c r="E308" s="62"/>
      <c r="F308" s="62"/>
      <c r="G308" s="62"/>
    </row>
    <row r="309" spans="2:7" x14ac:dyDescent="0.4">
      <c r="B309" s="62" t="s">
        <v>162</v>
      </c>
      <c r="C309" s="74">
        <f>C307*1.15</f>
        <v>4.3699999999999992</v>
      </c>
      <c r="D309" s="62"/>
      <c r="E309" s="62"/>
      <c r="F309" s="62"/>
      <c r="G309" s="62"/>
    </row>
    <row r="310" spans="2:7" x14ac:dyDescent="0.4">
      <c r="B310" s="2" t="s">
        <v>163</v>
      </c>
      <c r="C310" s="74"/>
      <c r="D310" s="62"/>
      <c r="E310" s="62"/>
      <c r="F310" s="62"/>
      <c r="G310" s="62"/>
    </row>
    <row r="311" spans="2:7" x14ac:dyDescent="0.4">
      <c r="B311" s="63" t="s">
        <v>122</v>
      </c>
      <c r="C311" s="74"/>
      <c r="D311" s="62"/>
      <c r="E311" s="62"/>
      <c r="F311" s="62"/>
      <c r="G311" s="62"/>
    </row>
    <row r="312" spans="2:7" x14ac:dyDescent="0.4">
      <c r="B312" s="62" t="s">
        <v>142</v>
      </c>
      <c r="C312" s="62"/>
      <c r="D312" s="75">
        <f>C309*9.17</f>
        <v>40.07289999999999</v>
      </c>
      <c r="F312" s="62"/>
      <c r="G312" s="62"/>
    </row>
    <row r="313" spans="2:7" x14ac:dyDescent="0.4">
      <c r="B313" s="2" t="s">
        <v>143</v>
      </c>
      <c r="C313" s="62"/>
      <c r="D313" s="62"/>
      <c r="E313" s="64">
        <f>D312*C4</f>
        <v>188342.62999999995</v>
      </c>
      <c r="F313" s="62"/>
      <c r="G313" s="62"/>
    </row>
    <row r="314" spans="2:7" x14ac:dyDescent="0.4">
      <c r="C314" s="62"/>
      <c r="D314" s="62"/>
      <c r="E314" s="64"/>
      <c r="F314" s="62"/>
      <c r="G314" s="62"/>
    </row>
    <row r="315" spans="2:7" x14ac:dyDescent="0.4">
      <c r="B315" s="1" t="s">
        <v>124</v>
      </c>
      <c r="C315" s="62"/>
      <c r="D315" s="62"/>
      <c r="E315" s="75"/>
      <c r="F315" s="62"/>
      <c r="G315" s="62"/>
    </row>
    <row r="316" spans="2:7" x14ac:dyDescent="0.4">
      <c r="B316" s="62" t="s">
        <v>144</v>
      </c>
      <c r="C316" s="62"/>
      <c r="D316" s="74">
        <f>C309*6/7</f>
        <v>3.7457142857142851</v>
      </c>
      <c r="E316" s="75"/>
      <c r="F316" s="62"/>
      <c r="G316" s="62"/>
    </row>
    <row r="317" spans="2:7" x14ac:dyDescent="0.4">
      <c r="B317" s="2" t="s">
        <v>145</v>
      </c>
      <c r="C317" s="62"/>
      <c r="D317" s="62"/>
      <c r="E317" s="64">
        <f>D316*C14</f>
        <v>8427.8571428571413</v>
      </c>
      <c r="F317" s="62"/>
      <c r="G317" s="62"/>
    </row>
    <row r="318" spans="2:7" x14ac:dyDescent="0.4">
      <c r="B318" s="62"/>
      <c r="C318" s="62"/>
      <c r="D318" s="62"/>
      <c r="E318" s="65">
        <f>SUM(E313:E317)</f>
        <v>196770.48714285708</v>
      </c>
      <c r="F318" s="62"/>
      <c r="G318" s="62"/>
    </row>
    <row r="319" spans="2:7" x14ac:dyDescent="0.4">
      <c r="B319" s="62" t="s">
        <v>164</v>
      </c>
      <c r="C319" s="62"/>
      <c r="D319" s="62"/>
      <c r="E319" s="64">
        <f>E318*5%</f>
        <v>9838.5243571428546</v>
      </c>
      <c r="F319" s="62"/>
      <c r="G319" s="62"/>
    </row>
    <row r="320" spans="2:7" x14ac:dyDescent="0.4">
      <c r="B320" s="67" t="s">
        <v>147</v>
      </c>
      <c r="C320" s="62"/>
      <c r="D320" s="62"/>
      <c r="E320" s="65">
        <f>SUM(E318:E319)</f>
        <v>206609.01149999994</v>
      </c>
      <c r="F320" s="62"/>
      <c r="G320" s="62"/>
    </row>
    <row r="321" spans="1:7" x14ac:dyDescent="0.4">
      <c r="B321" s="67" t="s">
        <v>120</v>
      </c>
      <c r="C321" s="62"/>
      <c r="D321" s="62"/>
      <c r="E321" s="64">
        <f>E320/100</f>
        <v>2066.0901149999995</v>
      </c>
      <c r="F321" s="62"/>
      <c r="G321" s="62"/>
    </row>
    <row r="322" spans="1:7" x14ac:dyDescent="0.4">
      <c r="B322" s="67" t="s">
        <v>148</v>
      </c>
      <c r="C322" s="62"/>
      <c r="D322" s="62"/>
      <c r="E322" s="64">
        <v>500</v>
      </c>
      <c r="F322" s="62"/>
      <c r="G322" s="62"/>
    </row>
    <row r="323" spans="1:7" x14ac:dyDescent="0.4">
      <c r="B323" s="67" t="s">
        <v>154</v>
      </c>
      <c r="C323" s="62"/>
      <c r="D323" s="62"/>
      <c r="E323" s="64">
        <v>60</v>
      </c>
      <c r="F323" s="62"/>
      <c r="G323" s="62"/>
    </row>
    <row r="324" spans="1:7" x14ac:dyDescent="0.4">
      <c r="B324" s="67" t="s">
        <v>128</v>
      </c>
      <c r="C324" s="62"/>
      <c r="D324" s="62"/>
      <c r="E324" s="65">
        <f>SUM(E321:E323)</f>
        <v>2626.0901149999995</v>
      </c>
      <c r="F324" s="62"/>
      <c r="G324" s="62"/>
    </row>
    <row r="325" spans="1:7" x14ac:dyDescent="0.4">
      <c r="B325" s="1" t="s">
        <v>156</v>
      </c>
      <c r="C325" s="62"/>
      <c r="D325" s="62"/>
      <c r="E325" s="64"/>
      <c r="F325" s="62"/>
      <c r="G325" s="62"/>
    </row>
    <row r="326" spans="1:7" x14ac:dyDescent="0.4">
      <c r="B326" s="2" t="s">
        <v>157</v>
      </c>
      <c r="C326" s="62"/>
      <c r="D326" s="62"/>
      <c r="E326" s="64">
        <f>2600/7</f>
        <v>371.42857142857144</v>
      </c>
      <c r="F326" s="62"/>
      <c r="G326" s="62"/>
    </row>
    <row r="327" spans="1:7" x14ac:dyDescent="0.4">
      <c r="C327" s="62"/>
      <c r="D327" s="62"/>
      <c r="E327" s="65">
        <f>SUM(E324:E326)</f>
        <v>2997.5186864285711</v>
      </c>
      <c r="F327" s="62"/>
      <c r="G327" s="62"/>
    </row>
    <row r="328" spans="1:7" x14ac:dyDescent="0.4">
      <c r="B328" s="67" t="s">
        <v>149</v>
      </c>
      <c r="C328" s="62"/>
      <c r="D328" s="62"/>
      <c r="E328" s="76">
        <f>E327*25%</f>
        <v>749.37967160714277</v>
      </c>
      <c r="F328" s="62"/>
      <c r="G328" s="62"/>
    </row>
    <row r="329" spans="1:7" x14ac:dyDescent="0.4">
      <c r="B329" s="69" t="s">
        <v>130</v>
      </c>
      <c r="C329" s="77"/>
      <c r="D329" s="78"/>
      <c r="E329" s="79">
        <f>SUM(E327:E328)</f>
        <v>3746.898358035714</v>
      </c>
    </row>
    <row r="330" spans="1:7" x14ac:dyDescent="0.4">
      <c r="C330" s="62"/>
      <c r="D330" s="62"/>
      <c r="E330" s="62"/>
      <c r="F330" s="62"/>
    </row>
    <row r="331" spans="1:7" x14ac:dyDescent="0.4">
      <c r="A331" s="62"/>
      <c r="B331" s="60" t="s">
        <v>165</v>
      </c>
      <c r="C331" s="62"/>
      <c r="D331" s="62"/>
      <c r="E331" s="62"/>
      <c r="F331" s="62"/>
    </row>
    <row r="332" spans="1:7" x14ac:dyDescent="0.4">
      <c r="A332" s="62"/>
      <c r="B332" s="80" t="s">
        <v>166</v>
      </c>
      <c r="C332" s="64">
        <v>15000</v>
      </c>
      <c r="D332" s="62"/>
      <c r="E332" s="62"/>
      <c r="F332" s="62"/>
    </row>
    <row r="333" spans="1:7" x14ac:dyDescent="0.4">
      <c r="A333" s="62"/>
      <c r="B333" s="80" t="s">
        <v>167</v>
      </c>
      <c r="C333" s="67" t="s">
        <v>168</v>
      </c>
      <c r="D333" s="62"/>
      <c r="E333" s="62"/>
      <c r="F333" s="62"/>
    </row>
    <row r="334" spans="1:7" x14ac:dyDescent="0.4">
      <c r="B334" s="62" t="s">
        <v>169</v>
      </c>
      <c r="C334" s="62"/>
      <c r="D334" s="62"/>
      <c r="E334" s="64">
        <v>87000</v>
      </c>
      <c r="F334" s="62"/>
    </row>
    <row r="335" spans="1:7" x14ac:dyDescent="0.4">
      <c r="B335" s="62" t="s">
        <v>170</v>
      </c>
      <c r="C335" s="62"/>
      <c r="D335" s="62"/>
      <c r="E335" s="62"/>
      <c r="F335" s="62"/>
    </row>
    <row r="336" spans="1:7" x14ac:dyDescent="0.4">
      <c r="B336" s="62" t="s">
        <v>171</v>
      </c>
      <c r="C336" s="62"/>
      <c r="D336" s="62"/>
      <c r="E336" s="74">
        <f>E334/30/0.65</f>
        <v>4461.538461538461</v>
      </c>
      <c r="F336" s="62"/>
    </row>
    <row r="337" spans="1:6" x14ac:dyDescent="0.4">
      <c r="B337" s="62" t="s">
        <v>172</v>
      </c>
      <c r="C337" s="62"/>
      <c r="D337" s="62"/>
      <c r="E337" s="74">
        <f>E336*15%</f>
        <v>669.23076923076917</v>
      </c>
      <c r="F337" s="62"/>
    </row>
    <row r="338" spans="1:6" x14ac:dyDescent="0.4">
      <c r="A338" s="62"/>
      <c r="C338" s="62"/>
      <c r="D338" s="62"/>
      <c r="E338" s="81">
        <f>SUM(E336:E337)</f>
        <v>5130.7692307692305</v>
      </c>
      <c r="F338" s="62"/>
    </row>
    <row r="339" spans="1:6" x14ac:dyDescent="0.4">
      <c r="B339" s="62" t="s">
        <v>133</v>
      </c>
      <c r="C339" s="62"/>
      <c r="D339" s="62"/>
      <c r="E339" s="74">
        <f>E338*5%</f>
        <v>256.53846153846155</v>
      </c>
      <c r="F339" s="62"/>
    </row>
    <row r="340" spans="1:6" x14ac:dyDescent="0.4">
      <c r="A340" s="62"/>
      <c r="B340" s="62"/>
      <c r="C340" s="62"/>
      <c r="D340" s="62"/>
      <c r="E340" s="81">
        <f>SUM(E338:E339)</f>
        <v>5387.3076923076924</v>
      </c>
      <c r="F340" s="62"/>
    </row>
    <row r="341" spans="1:6" x14ac:dyDescent="0.4">
      <c r="A341" s="62"/>
      <c r="B341" s="2" t="s">
        <v>173</v>
      </c>
      <c r="C341" s="62"/>
      <c r="D341" s="62"/>
      <c r="E341" s="74">
        <v>250</v>
      </c>
      <c r="F341" s="62"/>
    </row>
    <row r="342" spans="1:6" x14ac:dyDescent="0.4">
      <c r="B342" s="62" t="s">
        <v>174</v>
      </c>
      <c r="C342" s="62"/>
      <c r="D342" s="62"/>
      <c r="E342" s="62"/>
      <c r="F342" s="62"/>
    </row>
    <row r="343" spans="1:6" x14ac:dyDescent="0.4">
      <c r="B343" s="67" t="s">
        <v>175</v>
      </c>
      <c r="C343" s="62"/>
      <c r="D343" s="62"/>
      <c r="E343" s="62">
        <v>350</v>
      </c>
      <c r="F343" s="62"/>
    </row>
    <row r="344" spans="1:6" x14ac:dyDescent="0.4">
      <c r="A344" s="62"/>
      <c r="B344" s="67" t="s">
        <v>128</v>
      </c>
      <c r="C344" s="62"/>
      <c r="D344" s="62"/>
      <c r="E344" s="81">
        <f>SUM(E340:E343)</f>
        <v>5987.3076923076924</v>
      </c>
      <c r="F344" s="62"/>
    </row>
    <row r="345" spans="1:6" x14ac:dyDescent="0.4">
      <c r="B345" s="67" t="s">
        <v>48</v>
      </c>
      <c r="C345" s="62"/>
      <c r="D345" s="62"/>
      <c r="E345" s="74">
        <f>E344*25%</f>
        <v>1496.8269230769231</v>
      </c>
      <c r="F345" s="62"/>
    </row>
    <row r="346" spans="1:6" x14ac:dyDescent="0.4">
      <c r="A346" s="62"/>
      <c r="B346" s="69" t="s">
        <v>176</v>
      </c>
      <c r="C346" s="70"/>
      <c r="D346" s="70"/>
      <c r="E346" s="82">
        <f>SUM(E344:E345)</f>
        <v>7484.1346153846152</v>
      </c>
      <c r="F346" s="62"/>
    </row>
    <row r="347" spans="1:6" x14ac:dyDescent="0.4">
      <c r="C347" s="62"/>
      <c r="D347" s="62"/>
      <c r="E347" s="83"/>
      <c r="F347" s="62"/>
    </row>
    <row r="348" spans="1:6" x14ac:dyDescent="0.4">
      <c r="C348" s="6"/>
      <c r="D348" s="6"/>
      <c r="E348" s="58"/>
    </row>
    <row r="349" spans="1:6" x14ac:dyDescent="0.4">
      <c r="C349" s="6"/>
      <c r="D349" s="6"/>
      <c r="E349" s="58"/>
    </row>
    <row r="350" spans="1:6" x14ac:dyDescent="0.4">
      <c r="C350" s="6"/>
      <c r="D350" s="6"/>
      <c r="E350" s="58"/>
    </row>
    <row r="351" spans="1:6" x14ac:dyDescent="0.4">
      <c r="C351" s="6"/>
      <c r="D351" s="6"/>
      <c r="E351" s="58"/>
    </row>
    <row r="352" spans="1:6" x14ac:dyDescent="0.4">
      <c r="C352" s="6"/>
      <c r="D352" s="6"/>
      <c r="E352" s="58"/>
    </row>
    <row r="353" spans="3:5" x14ac:dyDescent="0.4">
      <c r="C353" s="6"/>
      <c r="D353" s="6"/>
      <c r="E353" s="58"/>
    </row>
    <row r="354" spans="3:5" x14ac:dyDescent="0.4">
      <c r="C354" s="6"/>
      <c r="D354" s="6"/>
      <c r="E354" s="58"/>
    </row>
    <row r="355" spans="3:5" x14ac:dyDescent="0.4">
      <c r="C355" s="6"/>
      <c r="D355" s="6"/>
      <c r="E355" s="58"/>
    </row>
    <row r="356" spans="3:5" x14ac:dyDescent="0.4">
      <c r="C356" s="6"/>
      <c r="D356" s="6"/>
      <c r="E356" s="58"/>
    </row>
    <row r="357" spans="3:5" x14ac:dyDescent="0.4">
      <c r="C357" s="6"/>
      <c r="D357" s="6"/>
      <c r="E357" s="58"/>
    </row>
    <row r="358" spans="3:5" x14ac:dyDescent="0.4">
      <c r="C358" s="6"/>
      <c r="D358" s="6"/>
      <c r="E358" s="58"/>
    </row>
    <row r="359" spans="3:5" x14ac:dyDescent="0.4">
      <c r="C359" s="6"/>
      <c r="D359" s="6"/>
      <c r="E359" s="58"/>
    </row>
    <row r="360" spans="3:5" x14ac:dyDescent="0.4">
      <c r="C360" s="6"/>
      <c r="D360" s="6"/>
      <c r="E360" s="58"/>
    </row>
    <row r="361" spans="3:5" x14ac:dyDescent="0.4">
      <c r="C361" s="6"/>
      <c r="D361" s="6"/>
      <c r="E361" s="58"/>
    </row>
    <row r="362" spans="3:5" x14ac:dyDescent="0.4">
      <c r="C362" s="6"/>
      <c r="D362" s="6"/>
      <c r="E362" s="58"/>
    </row>
    <row r="363" spans="3:5" x14ac:dyDescent="0.4">
      <c r="C363" s="6"/>
      <c r="D363" s="6"/>
      <c r="E363" s="58"/>
    </row>
    <row r="364" spans="3:5" x14ac:dyDescent="0.4">
      <c r="C364" s="6"/>
      <c r="D364" s="6"/>
      <c r="E364" s="58"/>
    </row>
    <row r="365" spans="3:5" x14ac:dyDescent="0.4">
      <c r="C365" s="6"/>
      <c r="D365" s="6"/>
      <c r="E365" s="58"/>
    </row>
    <row r="366" spans="3:5" x14ac:dyDescent="0.4">
      <c r="C366" s="6"/>
      <c r="D366" s="6"/>
      <c r="E366" s="58"/>
    </row>
    <row r="367" spans="3:5" x14ac:dyDescent="0.4">
      <c r="C367" s="6"/>
      <c r="D367" s="6"/>
      <c r="E367" s="58"/>
    </row>
    <row r="368" spans="3:5" x14ac:dyDescent="0.4">
      <c r="C368" s="6"/>
      <c r="D368" s="6"/>
      <c r="E368" s="58"/>
    </row>
    <row r="369" spans="3:5" x14ac:dyDescent="0.4">
      <c r="C369" s="6"/>
      <c r="D369" s="6"/>
      <c r="E369" s="58"/>
    </row>
    <row r="370" spans="3:5" x14ac:dyDescent="0.4">
      <c r="C370" s="6"/>
      <c r="D370" s="6"/>
      <c r="E370" s="58"/>
    </row>
    <row r="371" spans="3:5" x14ac:dyDescent="0.4">
      <c r="C371" s="6"/>
      <c r="D371" s="6"/>
      <c r="E371" s="58"/>
    </row>
    <row r="372" spans="3:5" x14ac:dyDescent="0.4">
      <c r="C372" s="6"/>
      <c r="D372" s="6"/>
      <c r="E372" s="58"/>
    </row>
    <row r="373" spans="3:5" x14ac:dyDescent="0.4">
      <c r="C373" s="6"/>
      <c r="D373" s="6"/>
      <c r="E373" s="58"/>
    </row>
    <row r="374" spans="3:5" x14ac:dyDescent="0.4">
      <c r="C374" s="6"/>
      <c r="D374" s="6"/>
      <c r="E374" s="58"/>
    </row>
    <row r="375" spans="3:5" x14ac:dyDescent="0.4">
      <c r="C375" s="6"/>
      <c r="D375" s="6"/>
      <c r="E375" s="58"/>
    </row>
    <row r="376" spans="3:5" x14ac:dyDescent="0.4">
      <c r="C376" s="6"/>
      <c r="D376" s="6"/>
      <c r="E376" s="58"/>
    </row>
    <row r="377" spans="3:5" x14ac:dyDescent="0.4">
      <c r="C377" s="6"/>
      <c r="D377" s="6"/>
      <c r="E377" s="58"/>
    </row>
    <row r="378" spans="3:5" x14ac:dyDescent="0.4">
      <c r="C378" s="6"/>
      <c r="D378" s="6"/>
      <c r="E378" s="58"/>
    </row>
    <row r="379" spans="3:5" x14ac:dyDescent="0.4">
      <c r="C379" s="6"/>
      <c r="D379" s="6"/>
      <c r="E379" s="58"/>
    </row>
    <row r="380" spans="3:5" x14ac:dyDescent="0.4">
      <c r="C380" s="6"/>
      <c r="D380" s="6"/>
      <c r="E380" s="58"/>
    </row>
    <row r="381" spans="3:5" x14ac:dyDescent="0.4">
      <c r="C381" s="6"/>
      <c r="D381" s="6"/>
      <c r="E381" s="58"/>
    </row>
    <row r="382" spans="3:5" x14ac:dyDescent="0.4">
      <c r="C382" s="6"/>
      <c r="D382" s="6"/>
      <c r="E382" s="58"/>
    </row>
    <row r="383" spans="3:5" x14ac:dyDescent="0.4">
      <c r="C383" s="6"/>
      <c r="D383" s="6"/>
      <c r="E383" s="58"/>
    </row>
    <row r="384" spans="3:5" x14ac:dyDescent="0.4">
      <c r="C384" s="6"/>
      <c r="D384" s="6"/>
      <c r="E384" s="58"/>
    </row>
    <row r="385" spans="3:5" x14ac:dyDescent="0.4">
      <c r="C385" s="6"/>
      <c r="D385" s="6"/>
      <c r="E385" s="58"/>
    </row>
    <row r="386" spans="3:5" x14ac:dyDescent="0.4">
      <c r="C386" s="6"/>
      <c r="D386" s="6"/>
      <c r="E386" s="58"/>
    </row>
    <row r="387" spans="3:5" x14ac:dyDescent="0.4">
      <c r="C387" s="6"/>
      <c r="D387" s="6"/>
      <c r="E387" s="58"/>
    </row>
    <row r="388" spans="3:5" x14ac:dyDescent="0.4">
      <c r="C388" s="6"/>
      <c r="D388" s="6"/>
      <c r="E388" s="58"/>
    </row>
    <row r="389" spans="3:5" x14ac:dyDescent="0.4">
      <c r="C389" s="6"/>
      <c r="D389" s="6"/>
      <c r="E389" s="58"/>
    </row>
    <row r="390" spans="3:5" x14ac:dyDescent="0.4">
      <c r="C390" s="6"/>
      <c r="D390" s="6"/>
      <c r="E390" s="58"/>
    </row>
    <row r="391" spans="3:5" x14ac:dyDescent="0.4">
      <c r="C391" s="6"/>
      <c r="D391" s="6"/>
      <c r="E391" s="58"/>
    </row>
    <row r="392" spans="3:5" x14ac:dyDescent="0.4">
      <c r="C392" s="6"/>
      <c r="D392" s="6"/>
      <c r="E392" s="58"/>
    </row>
    <row r="393" spans="3:5" x14ac:dyDescent="0.4">
      <c r="C393" s="6"/>
      <c r="D393" s="6"/>
      <c r="E393" s="58"/>
    </row>
    <row r="394" spans="3:5" x14ac:dyDescent="0.4">
      <c r="C394" s="6"/>
      <c r="D394" s="6"/>
      <c r="E394" s="58"/>
    </row>
    <row r="395" spans="3:5" x14ac:dyDescent="0.4">
      <c r="C395" s="6"/>
      <c r="D395" s="6"/>
      <c r="E395" s="58"/>
    </row>
    <row r="396" spans="3:5" x14ac:dyDescent="0.4">
      <c r="C396" s="6"/>
      <c r="D396" s="6"/>
      <c r="E396" s="58"/>
    </row>
    <row r="397" spans="3:5" x14ac:dyDescent="0.4">
      <c r="C397" s="6"/>
      <c r="D397" s="6"/>
      <c r="E397" s="58"/>
    </row>
    <row r="398" spans="3:5" x14ac:dyDescent="0.4">
      <c r="C398" s="6"/>
      <c r="D398" s="6"/>
      <c r="E398" s="58"/>
    </row>
    <row r="399" spans="3:5" x14ac:dyDescent="0.4">
      <c r="C399" s="6"/>
      <c r="D399" s="6"/>
      <c r="E399" s="58"/>
    </row>
    <row r="400" spans="3:5" x14ac:dyDescent="0.4">
      <c r="C400" s="6"/>
      <c r="D400" s="6"/>
      <c r="E400" s="58"/>
    </row>
    <row r="401" spans="3:5" x14ac:dyDescent="0.4">
      <c r="C401" s="6"/>
      <c r="D401" s="6"/>
      <c r="E401" s="58"/>
    </row>
    <row r="402" spans="3:5" x14ac:dyDescent="0.4">
      <c r="C402" s="6"/>
      <c r="D402" s="6"/>
      <c r="E402" s="58"/>
    </row>
    <row r="403" spans="3:5" x14ac:dyDescent="0.4">
      <c r="C403" s="6"/>
      <c r="D403" s="6"/>
      <c r="E403" s="58"/>
    </row>
    <row r="404" spans="3:5" x14ac:dyDescent="0.4">
      <c r="C404" s="6"/>
      <c r="D404" s="6"/>
      <c r="E404" s="58"/>
    </row>
    <row r="405" spans="3:5" x14ac:dyDescent="0.4">
      <c r="C405" s="6"/>
      <c r="D405" s="6"/>
      <c r="E405" s="58"/>
    </row>
    <row r="406" spans="3:5" x14ac:dyDescent="0.4">
      <c r="C406" s="6"/>
      <c r="D406" s="6"/>
      <c r="E406" s="58"/>
    </row>
    <row r="407" spans="3:5" x14ac:dyDescent="0.4">
      <c r="C407" s="6"/>
      <c r="D407" s="6"/>
      <c r="E407" s="58"/>
    </row>
    <row r="408" spans="3:5" x14ac:dyDescent="0.4">
      <c r="C408" s="6"/>
      <c r="D408" s="6"/>
      <c r="E408" s="58"/>
    </row>
    <row r="409" spans="3:5" x14ac:dyDescent="0.4">
      <c r="C409" s="6"/>
      <c r="D409" s="6"/>
      <c r="E409" s="58"/>
    </row>
    <row r="410" spans="3:5" x14ac:dyDescent="0.4">
      <c r="C410" s="6"/>
      <c r="D410" s="6"/>
      <c r="E410" s="58"/>
    </row>
    <row r="411" spans="3:5" x14ac:dyDescent="0.4">
      <c r="C411" s="6"/>
      <c r="D411" s="6"/>
      <c r="E411" s="58"/>
    </row>
    <row r="412" spans="3:5" x14ac:dyDescent="0.4">
      <c r="C412" s="6"/>
      <c r="D412" s="6"/>
      <c r="E412" s="58"/>
    </row>
    <row r="413" spans="3:5" x14ac:dyDescent="0.4">
      <c r="C413" s="6"/>
      <c r="D413" s="6"/>
      <c r="E413" s="58"/>
    </row>
    <row r="414" spans="3:5" x14ac:dyDescent="0.4">
      <c r="C414" s="6"/>
      <c r="D414" s="6"/>
      <c r="E414" s="58"/>
    </row>
    <row r="415" spans="3:5" x14ac:dyDescent="0.4">
      <c r="C415" s="6"/>
      <c r="D415" s="6"/>
      <c r="E415" s="58"/>
    </row>
    <row r="416" spans="3:5" x14ac:dyDescent="0.4">
      <c r="C416" s="6"/>
      <c r="D416" s="6"/>
      <c r="E416" s="58"/>
    </row>
    <row r="417" spans="3:5" x14ac:dyDescent="0.4">
      <c r="C417" s="6"/>
      <c r="D417" s="6"/>
      <c r="E417" s="58"/>
    </row>
    <row r="418" spans="3:5" x14ac:dyDescent="0.4">
      <c r="C418" s="6"/>
      <c r="D418" s="6"/>
      <c r="E418" s="58"/>
    </row>
    <row r="419" spans="3:5" x14ac:dyDescent="0.4">
      <c r="C419" s="6"/>
      <c r="D419" s="6"/>
      <c r="E419" s="58"/>
    </row>
    <row r="420" spans="3:5" x14ac:dyDescent="0.4">
      <c r="C420" s="6"/>
      <c r="D420" s="6"/>
      <c r="E420" s="58"/>
    </row>
    <row r="421" spans="3:5" x14ac:dyDescent="0.4">
      <c r="C421" s="6"/>
      <c r="D421" s="6"/>
      <c r="E421" s="58"/>
    </row>
    <row r="422" spans="3:5" x14ac:dyDescent="0.4">
      <c r="C422" s="6"/>
      <c r="D422" s="6"/>
      <c r="E422" s="58"/>
    </row>
    <row r="423" spans="3:5" x14ac:dyDescent="0.4">
      <c r="C423" s="6"/>
      <c r="D423" s="6"/>
      <c r="E423" s="58"/>
    </row>
    <row r="424" spans="3:5" x14ac:dyDescent="0.4">
      <c r="C424" s="6"/>
      <c r="D424" s="6"/>
      <c r="E424" s="58"/>
    </row>
    <row r="425" spans="3:5" x14ac:dyDescent="0.4">
      <c r="C425" s="6"/>
      <c r="D425" s="6"/>
      <c r="E425" s="58"/>
    </row>
    <row r="426" spans="3:5" x14ac:dyDescent="0.4">
      <c r="C426" s="6"/>
      <c r="D426" s="6"/>
      <c r="E426" s="58"/>
    </row>
    <row r="427" spans="3:5" x14ac:dyDescent="0.4">
      <c r="C427" s="6"/>
      <c r="D427" s="6"/>
      <c r="E427" s="58"/>
    </row>
    <row r="428" spans="3:5" x14ac:dyDescent="0.4">
      <c r="C428" s="6"/>
      <c r="D428" s="6"/>
      <c r="E428" s="58"/>
    </row>
    <row r="429" spans="3:5" x14ac:dyDescent="0.4">
      <c r="C429" s="6"/>
      <c r="D429" s="6"/>
      <c r="E429" s="58"/>
    </row>
    <row r="430" spans="3:5" x14ac:dyDescent="0.4">
      <c r="C430" s="6"/>
      <c r="D430" s="6"/>
      <c r="E430" s="58"/>
    </row>
    <row r="431" spans="3:5" x14ac:dyDescent="0.4">
      <c r="C431" s="6"/>
      <c r="D431" s="6"/>
      <c r="E431" s="58"/>
    </row>
    <row r="432" spans="3:5" x14ac:dyDescent="0.4">
      <c r="C432" s="6"/>
      <c r="D432" s="6"/>
      <c r="E432" s="58"/>
    </row>
    <row r="433" spans="3:5" x14ac:dyDescent="0.4">
      <c r="C433" s="6"/>
      <c r="D433" s="6"/>
      <c r="E433" s="58"/>
    </row>
    <row r="434" spans="3:5" x14ac:dyDescent="0.4">
      <c r="C434" s="6"/>
      <c r="D434" s="6"/>
      <c r="E434" s="58"/>
    </row>
    <row r="435" spans="3:5" x14ac:dyDescent="0.4">
      <c r="C435" s="6"/>
      <c r="D435" s="6"/>
      <c r="E435" s="58"/>
    </row>
    <row r="436" spans="3:5" x14ac:dyDescent="0.4">
      <c r="C436" s="6"/>
      <c r="D436" s="6"/>
      <c r="E436" s="58"/>
    </row>
    <row r="437" spans="3:5" x14ac:dyDescent="0.4">
      <c r="C437" s="6"/>
      <c r="D437" s="6"/>
      <c r="E437" s="58"/>
    </row>
    <row r="438" spans="3:5" x14ac:dyDescent="0.4">
      <c r="C438" s="6"/>
      <c r="D438" s="6"/>
      <c r="E438" s="58"/>
    </row>
    <row r="439" spans="3:5" x14ac:dyDescent="0.4">
      <c r="C439" s="6"/>
      <c r="D439" s="6"/>
      <c r="E439" s="58"/>
    </row>
    <row r="440" spans="3:5" x14ac:dyDescent="0.4">
      <c r="C440" s="6"/>
      <c r="D440" s="6"/>
      <c r="E440" s="58"/>
    </row>
    <row r="441" spans="3:5" x14ac:dyDescent="0.4">
      <c r="C441" s="6"/>
      <c r="D441" s="6"/>
      <c r="E441" s="58"/>
    </row>
    <row r="442" spans="3:5" x14ac:dyDescent="0.4">
      <c r="C442" s="6"/>
      <c r="D442" s="6"/>
      <c r="E442" s="58"/>
    </row>
    <row r="443" spans="3:5" x14ac:dyDescent="0.4">
      <c r="C443" s="6"/>
      <c r="D443" s="6"/>
      <c r="E443" s="58"/>
    </row>
    <row r="444" spans="3:5" x14ac:dyDescent="0.4">
      <c r="C444" s="6"/>
      <c r="D444" s="6"/>
      <c r="E444" s="58"/>
    </row>
    <row r="445" spans="3:5" x14ac:dyDescent="0.4">
      <c r="C445" s="6"/>
      <c r="D445" s="6"/>
      <c r="E445" s="58"/>
    </row>
    <row r="446" spans="3:5" x14ac:dyDescent="0.4">
      <c r="C446" s="6"/>
      <c r="D446" s="6"/>
      <c r="E446" s="58"/>
    </row>
    <row r="447" spans="3:5" x14ac:dyDescent="0.4">
      <c r="C447" s="6"/>
      <c r="D447" s="6"/>
      <c r="E447" s="58"/>
    </row>
    <row r="448" spans="3:5" x14ac:dyDescent="0.4">
      <c r="C448" s="6"/>
      <c r="D448" s="6"/>
      <c r="E448" s="58"/>
    </row>
    <row r="449" spans="3:5" x14ac:dyDescent="0.4">
      <c r="C449" s="6"/>
      <c r="D449" s="6"/>
      <c r="E449" s="58"/>
    </row>
    <row r="450" spans="3:5" x14ac:dyDescent="0.4">
      <c r="C450" s="6"/>
      <c r="D450" s="6"/>
      <c r="E450" s="58"/>
    </row>
    <row r="451" spans="3:5" x14ac:dyDescent="0.4">
      <c r="C451" s="6"/>
      <c r="D451" s="6"/>
      <c r="E451" s="58"/>
    </row>
    <row r="452" spans="3:5" x14ac:dyDescent="0.4">
      <c r="C452" s="6"/>
      <c r="D452" s="6"/>
      <c r="E452" s="58"/>
    </row>
    <row r="453" spans="3:5" x14ac:dyDescent="0.4">
      <c r="C453" s="6"/>
      <c r="D453" s="6"/>
      <c r="E453" s="58"/>
    </row>
    <row r="454" spans="3:5" x14ac:dyDescent="0.4">
      <c r="C454" s="6"/>
      <c r="D454" s="6"/>
      <c r="E454" s="58"/>
    </row>
    <row r="455" spans="3:5" x14ac:dyDescent="0.4">
      <c r="C455" s="6"/>
      <c r="D455" s="6"/>
      <c r="E455" s="58"/>
    </row>
    <row r="456" spans="3:5" x14ac:dyDescent="0.4">
      <c r="C456" s="6"/>
      <c r="D456" s="6"/>
      <c r="E456" s="58"/>
    </row>
    <row r="457" spans="3:5" x14ac:dyDescent="0.4">
      <c r="C457" s="6"/>
      <c r="D457" s="6"/>
      <c r="E457" s="58"/>
    </row>
    <row r="458" spans="3:5" x14ac:dyDescent="0.4">
      <c r="C458" s="6"/>
      <c r="D458" s="6"/>
      <c r="E458" s="58"/>
    </row>
    <row r="459" spans="3:5" x14ac:dyDescent="0.4">
      <c r="C459" s="6"/>
      <c r="D459" s="6"/>
      <c r="E459" s="58"/>
    </row>
    <row r="460" spans="3:5" x14ac:dyDescent="0.4">
      <c r="C460" s="6"/>
      <c r="D460" s="6"/>
      <c r="E460" s="58"/>
    </row>
    <row r="461" spans="3:5" x14ac:dyDescent="0.4">
      <c r="C461" s="6"/>
      <c r="D461" s="6"/>
      <c r="E461" s="58"/>
    </row>
    <row r="462" spans="3:5" x14ac:dyDescent="0.4">
      <c r="C462" s="6"/>
      <c r="D462" s="6"/>
      <c r="E462" s="58"/>
    </row>
    <row r="463" spans="3:5" x14ac:dyDescent="0.4">
      <c r="C463" s="6"/>
      <c r="D463" s="6"/>
      <c r="E463" s="58"/>
    </row>
    <row r="464" spans="3:5" x14ac:dyDescent="0.4">
      <c r="C464" s="6"/>
      <c r="D464" s="6"/>
      <c r="E464" s="58"/>
    </row>
    <row r="465" spans="3:5" x14ac:dyDescent="0.4">
      <c r="C465" s="6"/>
      <c r="D465" s="6"/>
      <c r="E465" s="58"/>
    </row>
    <row r="466" spans="3:5" x14ac:dyDescent="0.4">
      <c r="C466" s="6"/>
      <c r="D466" s="6"/>
      <c r="E466" s="58"/>
    </row>
    <row r="467" spans="3:5" x14ac:dyDescent="0.4">
      <c r="C467" s="6"/>
      <c r="D467" s="6"/>
      <c r="E467" s="58"/>
    </row>
    <row r="468" spans="3:5" x14ac:dyDescent="0.4">
      <c r="C468" s="6"/>
      <c r="D468" s="6"/>
      <c r="E468" s="58"/>
    </row>
    <row r="469" spans="3:5" x14ac:dyDescent="0.4">
      <c r="C469" s="6"/>
      <c r="D469" s="6"/>
      <c r="E469" s="58"/>
    </row>
    <row r="470" spans="3:5" x14ac:dyDescent="0.4">
      <c r="C470" s="6"/>
      <c r="D470" s="6"/>
      <c r="E470" s="58"/>
    </row>
    <row r="471" spans="3:5" x14ac:dyDescent="0.4">
      <c r="C471" s="6"/>
      <c r="D471" s="6"/>
      <c r="E471" s="58"/>
    </row>
    <row r="472" spans="3:5" x14ac:dyDescent="0.4">
      <c r="C472" s="6"/>
      <c r="D472" s="6"/>
      <c r="E472" s="58"/>
    </row>
    <row r="473" spans="3:5" x14ac:dyDescent="0.4">
      <c r="C473" s="6"/>
      <c r="D473" s="6"/>
      <c r="E473" s="58"/>
    </row>
    <row r="474" spans="3:5" x14ac:dyDescent="0.4">
      <c r="C474" s="6"/>
      <c r="D474" s="6"/>
      <c r="E474" s="58"/>
    </row>
    <row r="475" spans="3:5" x14ac:dyDescent="0.4">
      <c r="C475" s="6"/>
      <c r="D475" s="6"/>
      <c r="E475" s="58"/>
    </row>
    <row r="476" spans="3:5" x14ac:dyDescent="0.4">
      <c r="C476" s="6"/>
      <c r="D476" s="6"/>
      <c r="E476" s="58"/>
    </row>
    <row r="477" spans="3:5" x14ac:dyDescent="0.4">
      <c r="C477" s="6"/>
      <c r="D477" s="6"/>
      <c r="E477" s="58"/>
    </row>
    <row r="478" spans="3:5" x14ac:dyDescent="0.4">
      <c r="C478" s="6"/>
      <c r="D478" s="6"/>
      <c r="E478" s="58"/>
    </row>
    <row r="479" spans="3:5" x14ac:dyDescent="0.4">
      <c r="C479" s="6"/>
      <c r="D479" s="6"/>
      <c r="E479" s="58"/>
    </row>
    <row r="480" spans="3:5" x14ac:dyDescent="0.4">
      <c r="C480" s="6"/>
      <c r="D480" s="6"/>
      <c r="E480" s="58"/>
    </row>
    <row r="481" spans="3:5" x14ac:dyDescent="0.4">
      <c r="C481" s="6"/>
      <c r="D481" s="6"/>
      <c r="E481" s="58"/>
    </row>
    <row r="482" spans="3:5" x14ac:dyDescent="0.4">
      <c r="C482" s="6"/>
      <c r="D482" s="6"/>
      <c r="E482" s="58"/>
    </row>
    <row r="483" spans="3:5" x14ac:dyDescent="0.4">
      <c r="C483" s="6"/>
      <c r="D483" s="6"/>
      <c r="E483" s="58"/>
    </row>
    <row r="484" spans="3:5" x14ac:dyDescent="0.4">
      <c r="C484" s="6"/>
      <c r="D484" s="6"/>
      <c r="E484" s="58"/>
    </row>
    <row r="485" spans="3:5" x14ac:dyDescent="0.4">
      <c r="C485" s="6"/>
      <c r="D485" s="6"/>
      <c r="E485" s="58"/>
    </row>
    <row r="486" spans="3:5" x14ac:dyDescent="0.4">
      <c r="C486" s="6"/>
      <c r="D486" s="6"/>
      <c r="E486" s="58"/>
    </row>
    <row r="487" spans="3:5" x14ac:dyDescent="0.4">
      <c r="C487" s="6"/>
      <c r="D487" s="6"/>
      <c r="E487" s="58"/>
    </row>
    <row r="488" spans="3:5" x14ac:dyDescent="0.4">
      <c r="C488" s="6"/>
      <c r="D488" s="6"/>
      <c r="E488" s="58"/>
    </row>
    <row r="489" spans="3:5" x14ac:dyDescent="0.4">
      <c r="C489" s="6"/>
      <c r="D489" s="6"/>
      <c r="E489" s="58"/>
    </row>
    <row r="490" spans="3:5" x14ac:dyDescent="0.4">
      <c r="C490" s="6"/>
      <c r="D490" s="6"/>
      <c r="E490" s="58"/>
    </row>
    <row r="491" spans="3:5" x14ac:dyDescent="0.4">
      <c r="C491" s="6"/>
      <c r="D491" s="6"/>
      <c r="E491" s="58"/>
    </row>
    <row r="492" spans="3:5" x14ac:dyDescent="0.4">
      <c r="C492" s="6"/>
      <c r="D492" s="6"/>
      <c r="E492" s="58"/>
    </row>
    <row r="493" spans="3:5" x14ac:dyDescent="0.4">
      <c r="C493" s="6"/>
      <c r="D493" s="6"/>
      <c r="E493" s="58"/>
    </row>
    <row r="494" spans="3:5" x14ac:dyDescent="0.4">
      <c r="C494" s="6"/>
      <c r="D494" s="6"/>
      <c r="E494" s="58"/>
    </row>
    <row r="495" spans="3:5" x14ac:dyDescent="0.4">
      <c r="C495" s="6"/>
      <c r="D495" s="6"/>
      <c r="E495" s="58"/>
    </row>
    <row r="496" spans="3:5" x14ac:dyDescent="0.4">
      <c r="C496" s="6"/>
      <c r="D496" s="6"/>
      <c r="E496" s="58"/>
    </row>
    <row r="497" spans="3:5" x14ac:dyDescent="0.4">
      <c r="C497" s="6"/>
      <c r="D497" s="6"/>
      <c r="E497" s="58"/>
    </row>
    <row r="498" spans="3:5" x14ac:dyDescent="0.4">
      <c r="C498" s="6"/>
      <c r="D498" s="6"/>
      <c r="E498" s="58"/>
    </row>
    <row r="499" spans="3:5" x14ac:dyDescent="0.4">
      <c r="C499" s="6"/>
      <c r="D499" s="6"/>
      <c r="E499" s="58"/>
    </row>
    <row r="500" spans="3:5" x14ac:dyDescent="0.4">
      <c r="C500" s="6"/>
      <c r="D500" s="6"/>
      <c r="E500" s="58"/>
    </row>
    <row r="501" spans="3:5" x14ac:dyDescent="0.4">
      <c r="C501" s="6"/>
      <c r="D501" s="6"/>
      <c r="E501" s="58"/>
    </row>
    <row r="502" spans="3:5" x14ac:dyDescent="0.4">
      <c r="C502" s="6"/>
      <c r="D502" s="6"/>
      <c r="E502" s="58"/>
    </row>
    <row r="503" spans="3:5" x14ac:dyDescent="0.4">
      <c r="C503" s="6"/>
      <c r="D503" s="6"/>
      <c r="E503" s="58"/>
    </row>
    <row r="504" spans="3:5" x14ac:dyDescent="0.4">
      <c r="C504" s="6"/>
      <c r="D504" s="6"/>
      <c r="E504" s="58"/>
    </row>
    <row r="505" spans="3:5" x14ac:dyDescent="0.4">
      <c r="C505" s="6"/>
      <c r="D505" s="6"/>
      <c r="E505" s="58"/>
    </row>
    <row r="506" spans="3:5" x14ac:dyDescent="0.4">
      <c r="C506" s="6"/>
      <c r="D506" s="6"/>
      <c r="E506" s="58"/>
    </row>
    <row r="507" spans="3:5" x14ac:dyDescent="0.4">
      <c r="C507" s="6"/>
      <c r="D507" s="6"/>
      <c r="E507" s="58"/>
    </row>
    <row r="508" spans="3:5" x14ac:dyDescent="0.4">
      <c r="C508" s="6"/>
      <c r="D508" s="6"/>
      <c r="E508" s="58"/>
    </row>
    <row r="509" spans="3:5" x14ac:dyDescent="0.4">
      <c r="C509" s="6"/>
      <c r="D509" s="6"/>
      <c r="E509" s="58"/>
    </row>
    <row r="510" spans="3:5" x14ac:dyDescent="0.4">
      <c r="C510" s="6"/>
      <c r="D510" s="6"/>
      <c r="E510" s="58"/>
    </row>
    <row r="511" spans="3:5" x14ac:dyDescent="0.4">
      <c r="C511" s="6"/>
      <c r="D511" s="6"/>
      <c r="E511" s="58"/>
    </row>
    <row r="512" spans="3:5" x14ac:dyDescent="0.4">
      <c r="C512" s="6"/>
      <c r="D512" s="6"/>
      <c r="E512" s="58"/>
    </row>
    <row r="513" spans="3:5" x14ac:dyDescent="0.4">
      <c r="C513" s="6"/>
      <c r="D513" s="6"/>
      <c r="E513" s="58"/>
    </row>
    <row r="514" spans="3:5" x14ac:dyDescent="0.4">
      <c r="C514" s="6"/>
      <c r="D514" s="6"/>
      <c r="E514" s="58"/>
    </row>
    <row r="515" spans="3:5" x14ac:dyDescent="0.4">
      <c r="C515" s="6"/>
      <c r="D515" s="6"/>
      <c r="E515" s="58"/>
    </row>
    <row r="516" spans="3:5" x14ac:dyDescent="0.4">
      <c r="C516" s="6"/>
      <c r="D516" s="6"/>
      <c r="E516" s="58"/>
    </row>
    <row r="517" spans="3:5" x14ac:dyDescent="0.4">
      <c r="C517" s="6"/>
      <c r="D517" s="6"/>
      <c r="E517" s="58"/>
    </row>
    <row r="518" spans="3:5" x14ac:dyDescent="0.4">
      <c r="C518" s="6"/>
      <c r="D518" s="6"/>
      <c r="E518" s="58"/>
    </row>
    <row r="519" spans="3:5" x14ac:dyDescent="0.4">
      <c r="C519" s="6"/>
      <c r="D519" s="6"/>
      <c r="E519" s="58"/>
    </row>
    <row r="520" spans="3:5" x14ac:dyDescent="0.4">
      <c r="C520" s="6"/>
      <c r="D520" s="6"/>
      <c r="E520" s="58"/>
    </row>
    <row r="521" spans="3:5" x14ac:dyDescent="0.4">
      <c r="C521" s="6"/>
      <c r="D521" s="6"/>
      <c r="E521" s="58"/>
    </row>
    <row r="522" spans="3:5" x14ac:dyDescent="0.4">
      <c r="C522" s="6"/>
      <c r="D522" s="6"/>
      <c r="E522" s="58"/>
    </row>
    <row r="523" spans="3:5" x14ac:dyDescent="0.4">
      <c r="C523" s="6"/>
      <c r="D523" s="6"/>
      <c r="E523" s="58"/>
    </row>
    <row r="524" spans="3:5" x14ac:dyDescent="0.4">
      <c r="C524" s="6"/>
      <c r="D524" s="6"/>
      <c r="E524" s="58"/>
    </row>
    <row r="525" spans="3:5" x14ac:dyDescent="0.4">
      <c r="C525" s="6"/>
      <c r="D525" s="6"/>
      <c r="E525" s="58"/>
    </row>
    <row r="526" spans="3:5" x14ac:dyDescent="0.4">
      <c r="C526" s="6"/>
      <c r="D526" s="6"/>
      <c r="E526" s="58"/>
    </row>
    <row r="527" spans="3:5" x14ac:dyDescent="0.4">
      <c r="C527" s="6"/>
      <c r="D527" s="6"/>
      <c r="E527" s="58"/>
    </row>
    <row r="528" spans="3:5" x14ac:dyDescent="0.4">
      <c r="C528" s="6"/>
      <c r="D528" s="6"/>
      <c r="E528" s="6"/>
    </row>
    <row r="529" spans="3:5" x14ac:dyDescent="0.4">
      <c r="C529" s="6"/>
      <c r="D529" s="6"/>
      <c r="E529" s="6"/>
    </row>
    <row r="530" spans="3:5" x14ac:dyDescent="0.4">
      <c r="C530" s="6"/>
      <c r="D530" s="6"/>
      <c r="E530" s="6"/>
    </row>
    <row r="531" spans="3:5" x14ac:dyDescent="0.4">
      <c r="C531" s="6"/>
      <c r="D531" s="6"/>
      <c r="E531" s="6"/>
    </row>
    <row r="532" spans="3:5" x14ac:dyDescent="0.4">
      <c r="C532" s="6"/>
      <c r="D532" s="6"/>
      <c r="E532" s="6"/>
    </row>
    <row r="533" spans="3:5" x14ac:dyDescent="0.4">
      <c r="C533" s="6"/>
      <c r="D533" s="6"/>
      <c r="E533" s="6"/>
    </row>
    <row r="534" spans="3:5" x14ac:dyDescent="0.4">
      <c r="C534" s="6"/>
      <c r="D534" s="6"/>
      <c r="E534" s="6"/>
    </row>
    <row r="535" spans="3:5" x14ac:dyDescent="0.4">
      <c r="C535" s="6"/>
      <c r="D535" s="6"/>
      <c r="E535" s="6"/>
    </row>
    <row r="536" spans="3:5" x14ac:dyDescent="0.4">
      <c r="C536" s="6"/>
      <c r="D536" s="6"/>
      <c r="E536" s="6"/>
    </row>
    <row r="537" spans="3:5" x14ac:dyDescent="0.4">
      <c r="C537" s="6"/>
      <c r="D537" s="6"/>
      <c r="E537" s="6"/>
    </row>
    <row r="538" spans="3:5" x14ac:dyDescent="0.4">
      <c r="C538" s="6"/>
      <c r="D538" s="6"/>
      <c r="E538" s="6"/>
    </row>
    <row r="539" spans="3:5" x14ac:dyDescent="0.4">
      <c r="C539" s="6"/>
      <c r="D539" s="6"/>
      <c r="E539" s="6"/>
    </row>
    <row r="540" spans="3:5" x14ac:dyDescent="0.4">
      <c r="C540" s="6"/>
      <c r="D540" s="6"/>
      <c r="E540" s="6"/>
    </row>
    <row r="541" spans="3:5" x14ac:dyDescent="0.4">
      <c r="C541" s="6"/>
      <c r="D541" s="6"/>
      <c r="E541" s="6"/>
    </row>
    <row r="542" spans="3:5" x14ac:dyDescent="0.4">
      <c r="C542" s="6"/>
      <c r="D542" s="6"/>
      <c r="E542" s="6"/>
    </row>
    <row r="543" spans="3:5" x14ac:dyDescent="0.4">
      <c r="C543" s="6"/>
      <c r="D543" s="6"/>
      <c r="E543" s="6"/>
    </row>
    <row r="544" spans="3:5" x14ac:dyDescent="0.4">
      <c r="C544" s="6"/>
      <c r="D544" s="6"/>
      <c r="E544" s="6"/>
    </row>
    <row r="545" spans="3:5" x14ac:dyDescent="0.4">
      <c r="C545" s="6"/>
      <c r="D545" s="6"/>
      <c r="E545" s="6"/>
    </row>
    <row r="546" spans="3:5" x14ac:dyDescent="0.4">
      <c r="C546" s="6"/>
      <c r="D546" s="6"/>
      <c r="E546" s="6"/>
    </row>
    <row r="547" spans="3:5" x14ac:dyDescent="0.4">
      <c r="C547" s="6"/>
      <c r="D547" s="6"/>
      <c r="E547" s="6"/>
    </row>
    <row r="548" spans="3:5" x14ac:dyDescent="0.4">
      <c r="C548" s="6"/>
      <c r="D548" s="6"/>
      <c r="E548" s="6"/>
    </row>
    <row r="549" spans="3:5" x14ac:dyDescent="0.4">
      <c r="C549" s="6"/>
      <c r="D549" s="6"/>
      <c r="E549" s="6"/>
    </row>
    <row r="550" spans="3:5" x14ac:dyDescent="0.4">
      <c r="C550" s="6"/>
      <c r="D550" s="6"/>
      <c r="E550" s="6"/>
    </row>
    <row r="551" spans="3:5" x14ac:dyDescent="0.4">
      <c r="C551" s="6"/>
      <c r="D551" s="6"/>
      <c r="E551" s="6"/>
    </row>
    <row r="552" spans="3:5" x14ac:dyDescent="0.4">
      <c r="C552" s="6"/>
      <c r="D552" s="6"/>
      <c r="E552" s="6"/>
    </row>
    <row r="553" spans="3:5" x14ac:dyDescent="0.4">
      <c r="C553" s="6"/>
      <c r="D553" s="6"/>
      <c r="E553" s="6"/>
    </row>
    <row r="554" spans="3:5" x14ac:dyDescent="0.4">
      <c r="C554" s="6"/>
      <c r="D554" s="6"/>
      <c r="E554" s="6"/>
    </row>
    <row r="555" spans="3:5" x14ac:dyDescent="0.4">
      <c r="C555" s="6"/>
      <c r="D555" s="6"/>
      <c r="E555" s="6"/>
    </row>
    <row r="556" spans="3:5" x14ac:dyDescent="0.4">
      <c r="C556" s="6"/>
      <c r="D556" s="6"/>
      <c r="E556" s="6"/>
    </row>
    <row r="557" spans="3:5" x14ac:dyDescent="0.4">
      <c r="C557" s="6"/>
      <c r="D557" s="6"/>
      <c r="E557" s="6"/>
    </row>
    <row r="558" spans="3:5" x14ac:dyDescent="0.4">
      <c r="C558" s="6"/>
      <c r="D558" s="6"/>
      <c r="E558" s="6"/>
    </row>
    <row r="559" spans="3:5" x14ac:dyDescent="0.4">
      <c r="C559" s="6"/>
      <c r="D559" s="6"/>
      <c r="E559" s="6"/>
    </row>
    <row r="560" spans="3:5" x14ac:dyDescent="0.4">
      <c r="C560" s="6"/>
      <c r="D560" s="6"/>
      <c r="E560" s="6"/>
    </row>
    <row r="561" spans="3:5" x14ac:dyDescent="0.4">
      <c r="C561" s="6"/>
      <c r="D561" s="6"/>
      <c r="E561" s="6"/>
    </row>
    <row r="562" spans="3:5" x14ac:dyDescent="0.4">
      <c r="C562" s="6"/>
      <c r="D562" s="6"/>
      <c r="E562" s="6"/>
    </row>
    <row r="563" spans="3:5" x14ac:dyDescent="0.4">
      <c r="C563" s="6"/>
      <c r="D563" s="6"/>
      <c r="E563" s="6"/>
    </row>
    <row r="564" spans="3:5" x14ac:dyDescent="0.4">
      <c r="C564" s="6"/>
      <c r="D564" s="6"/>
      <c r="E564" s="6"/>
    </row>
    <row r="565" spans="3:5" x14ac:dyDescent="0.4">
      <c r="C565" s="6"/>
      <c r="D565" s="6"/>
      <c r="E565" s="6"/>
    </row>
    <row r="566" spans="3:5" x14ac:dyDescent="0.4">
      <c r="C566" s="6"/>
      <c r="D566" s="6"/>
      <c r="E566" s="6"/>
    </row>
    <row r="567" spans="3:5" x14ac:dyDescent="0.4">
      <c r="C567" s="6"/>
      <c r="D567" s="6"/>
      <c r="E567" s="6"/>
    </row>
    <row r="568" spans="3:5" x14ac:dyDescent="0.4">
      <c r="C568" s="6"/>
      <c r="D568" s="6"/>
      <c r="E568" s="6"/>
    </row>
    <row r="569" spans="3:5" x14ac:dyDescent="0.4">
      <c r="C569" s="6"/>
      <c r="D569" s="6"/>
      <c r="E569" s="6"/>
    </row>
    <row r="570" spans="3:5" x14ac:dyDescent="0.4">
      <c r="C570" s="6"/>
      <c r="D570" s="6"/>
      <c r="E570" s="6"/>
    </row>
    <row r="571" spans="3:5" x14ac:dyDescent="0.4">
      <c r="C571" s="6"/>
      <c r="D571" s="6"/>
      <c r="E571" s="6"/>
    </row>
    <row r="572" spans="3:5" x14ac:dyDescent="0.4">
      <c r="C572" s="6"/>
      <c r="D572" s="6"/>
      <c r="E572" s="6"/>
    </row>
    <row r="573" spans="3:5" x14ac:dyDescent="0.4">
      <c r="C573" s="6"/>
      <c r="D573" s="6"/>
      <c r="E573" s="6"/>
    </row>
    <row r="574" spans="3:5" x14ac:dyDescent="0.4">
      <c r="C574" s="6"/>
      <c r="D574" s="6"/>
      <c r="E574" s="6"/>
    </row>
    <row r="575" spans="3:5" x14ac:dyDescent="0.4">
      <c r="C575" s="6"/>
      <c r="D575" s="6"/>
      <c r="E575" s="6"/>
    </row>
    <row r="576" spans="3:5" x14ac:dyDescent="0.4">
      <c r="C576" s="6"/>
      <c r="D576" s="6"/>
      <c r="E576" s="6"/>
    </row>
    <row r="577" spans="3:5" x14ac:dyDescent="0.4">
      <c r="C577" s="6"/>
      <c r="D577" s="6"/>
      <c r="E577" s="6"/>
    </row>
    <row r="578" spans="3:5" x14ac:dyDescent="0.4">
      <c r="C578" s="6"/>
      <c r="D578" s="6"/>
      <c r="E578" s="6"/>
    </row>
    <row r="579" spans="3:5" x14ac:dyDescent="0.4">
      <c r="C579" s="6"/>
      <c r="D579" s="6"/>
      <c r="E579" s="6"/>
    </row>
    <row r="580" spans="3:5" x14ac:dyDescent="0.4">
      <c r="C580" s="6"/>
      <c r="D580" s="6"/>
      <c r="E580" s="6"/>
    </row>
    <row r="581" spans="3:5" x14ac:dyDescent="0.4">
      <c r="C581" s="6"/>
      <c r="D581" s="6"/>
      <c r="E581" s="6"/>
    </row>
    <row r="582" spans="3:5" x14ac:dyDescent="0.4">
      <c r="C582" s="6"/>
      <c r="D582" s="6"/>
      <c r="E582" s="6"/>
    </row>
    <row r="583" spans="3:5" x14ac:dyDescent="0.4">
      <c r="C583" s="6"/>
      <c r="D583" s="6"/>
      <c r="E583" s="6"/>
    </row>
    <row r="584" spans="3:5" x14ac:dyDescent="0.4">
      <c r="C584" s="6"/>
      <c r="D584" s="6"/>
      <c r="E584" s="6"/>
    </row>
    <row r="585" spans="3:5" x14ac:dyDescent="0.4">
      <c r="C585" s="6"/>
      <c r="D585" s="6"/>
      <c r="E585" s="6"/>
    </row>
    <row r="586" spans="3:5" x14ac:dyDescent="0.4">
      <c r="C586" s="6"/>
      <c r="D586" s="6"/>
      <c r="E586" s="6"/>
    </row>
    <row r="587" spans="3:5" x14ac:dyDescent="0.4">
      <c r="C587" s="6"/>
      <c r="D587" s="6"/>
      <c r="E587" s="6"/>
    </row>
    <row r="588" spans="3:5" x14ac:dyDescent="0.4">
      <c r="C588" s="6"/>
      <c r="D588" s="6"/>
      <c r="E588" s="6"/>
    </row>
    <row r="589" spans="3:5" x14ac:dyDescent="0.4">
      <c r="C589" s="6"/>
      <c r="D589" s="6"/>
      <c r="E589" s="6"/>
    </row>
    <row r="590" spans="3:5" x14ac:dyDescent="0.4">
      <c r="C590" s="6"/>
      <c r="D590" s="6"/>
      <c r="E590" s="6"/>
    </row>
    <row r="591" spans="3:5" x14ac:dyDescent="0.4">
      <c r="C591" s="6"/>
      <c r="D591" s="6"/>
      <c r="E591" s="6"/>
    </row>
    <row r="592" spans="3:5" x14ac:dyDescent="0.4">
      <c r="C592" s="6"/>
      <c r="D592" s="6"/>
      <c r="E592" s="6"/>
    </row>
    <row r="593" spans="3:5" x14ac:dyDescent="0.4">
      <c r="C593" s="6"/>
      <c r="D593" s="6"/>
      <c r="E593" s="6"/>
    </row>
    <row r="594" spans="3:5" x14ac:dyDescent="0.4">
      <c r="C594" s="6"/>
      <c r="D594" s="6"/>
      <c r="E594" s="6"/>
    </row>
    <row r="595" spans="3:5" x14ac:dyDescent="0.4">
      <c r="C595" s="6"/>
      <c r="D595" s="6"/>
      <c r="E595" s="6"/>
    </row>
    <row r="596" spans="3:5" x14ac:dyDescent="0.4">
      <c r="C596" s="6"/>
      <c r="D596" s="6"/>
      <c r="E596" s="6"/>
    </row>
    <row r="597" spans="3:5" x14ac:dyDescent="0.4">
      <c r="C597" s="6"/>
      <c r="D597" s="6"/>
      <c r="E597" s="6"/>
    </row>
    <row r="598" spans="3:5" x14ac:dyDescent="0.4">
      <c r="C598" s="6"/>
      <c r="D598" s="6"/>
      <c r="E598" s="6"/>
    </row>
    <row r="599" spans="3:5" x14ac:dyDescent="0.4">
      <c r="C599" s="6"/>
      <c r="D599" s="6"/>
      <c r="E599" s="6"/>
    </row>
    <row r="600" spans="3:5" x14ac:dyDescent="0.4">
      <c r="C600" s="6"/>
      <c r="D600" s="6"/>
      <c r="E600" s="6"/>
    </row>
    <row r="601" spans="3:5" x14ac:dyDescent="0.4">
      <c r="C601" s="6"/>
      <c r="D601" s="6"/>
      <c r="E601" s="6"/>
    </row>
    <row r="602" spans="3:5" x14ac:dyDescent="0.4">
      <c r="C602" s="6"/>
      <c r="D602" s="6"/>
      <c r="E602" s="6"/>
    </row>
    <row r="603" spans="3:5" x14ac:dyDescent="0.4">
      <c r="C603" s="6"/>
    </row>
  </sheetData>
  <pageMargins left="0.75" right="0.75" top="1" bottom="1" header="0.5" footer="0.5"/>
  <pageSetup scale="76" orientation="portrait" r:id="rId1"/>
  <headerFooter alignWithMargins="0"/>
  <rowBreaks count="11" manualBreakCount="11">
    <brk id="56" max="16383" man="1"/>
    <brk id="86" max="16383" man="1"/>
    <brk id="115" max="16383" man="1"/>
    <brk id="140" max="16383" man="1"/>
    <brk id="161" max="16383" man="1"/>
    <brk id="203" max="4" man="1"/>
    <brk id="227" max="16383" man="1"/>
    <brk id="250" max="16383" man="1"/>
    <brk id="275" max="16383" man="1"/>
    <brk id="301" max="16383" man="1"/>
    <brk id="3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RATE BUILD UP</vt:lpstr>
      <vt:lpstr>RATE BUILD UP (2)</vt:lpstr>
      <vt:lpstr>'RATE BUILD UP'!Print_Area</vt:lpstr>
      <vt:lpstr>'RATE BUILD UP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UrFavQ$</cp:lastModifiedBy>
  <dcterms:created xsi:type="dcterms:W3CDTF">2022-04-04T12:31:22Z</dcterms:created>
  <dcterms:modified xsi:type="dcterms:W3CDTF">2023-12-17T17:59:56Z</dcterms:modified>
</cp:coreProperties>
</file>