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S DESKTOP 2\Desktop\asoya\"/>
    </mc:Choice>
  </mc:AlternateContent>
  <xr:revisionPtr revIDLastSave="0" documentId="13_ncr:1_{2D0ADB3E-33A9-40F9-949C-E4BD6D2AC955}" xr6:coauthVersionLast="45" xr6:coauthVersionMax="47" xr10:uidLastSave="{00000000-0000-0000-0000-000000000000}"/>
  <bookViews>
    <workbookView xWindow="-120" yWindow="-120" windowWidth="20730" windowHeight="11160" xr2:uid="{7421802C-B785-4B97-A7D8-EEA4F56FA415}"/>
  </bookViews>
  <sheets>
    <sheet name="Asoya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cbd1">'[1]MAIN BLD TAKE OFF'!#REF!</definedName>
    <definedName name="__cbd2">'[1]MAIN BLD TAKE OFF'!#REF!</definedName>
    <definedName name="__cbd3">'[1]MAIN BLD TAKE OFF'!#REF!</definedName>
    <definedName name="__td2">'[1]MAIN BLD TAKE OFF'!#REF!</definedName>
    <definedName name="__tl1">'[1]MAIN BLD TAKE OFF'!#REF!</definedName>
    <definedName name="__tl2">'[1]MAIN BLD TAKE OFF'!#REF!</definedName>
    <definedName name="__tw1">'[2]MAIN BLD TAKE OFF'!$I$34</definedName>
    <definedName name="__tw2">'[1]MAIN BLD TAKE OFF'!#REF!</definedName>
    <definedName name="_1_allcaz">[3]_1_allcaz!$A$1:$BN$1974</definedName>
    <definedName name="_3_BEDROOM_SEMI___DETACHED_DUPLEX__134_M2">"5BRM DUPLEX '5BRM DUPLEX (134m2)+'5BRM DUPLEX (134m2)"</definedName>
    <definedName name="_cbd1">'[1]MAIN BLD TAKE OFF'!#REF!</definedName>
    <definedName name="_cbd2">'[1]MAIN BLD TAKE OFF'!#REF!</definedName>
    <definedName name="_cbd3">'[1]MAIN BLD TAKE OFF'!#REF!</definedName>
    <definedName name="_SK1">#REF!</definedName>
    <definedName name="_td2">'[1]MAIN BLD TAKE OFF'!#REF!</definedName>
    <definedName name="_tl1">'[1]MAIN BLD TAKE OFF'!#REF!</definedName>
    <definedName name="_tl2">'[1]MAIN BLD TAKE OFF'!#REF!</definedName>
    <definedName name="_tw1">'[2]MAIN BLD TAKE OFF'!$I$34</definedName>
    <definedName name="_tw2">'[1]MAIN BLD TAKE OFF'!#REF!</definedName>
    <definedName name="a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aa" hidden="1">{#N/A,#N/A,FALSE,"II-2 POP.HH";#N/A,#N/A,FALSE,"II-3 AGE.DIST";#N/A,#N/A,FALSE,"II-4 HH.DIST";#N/A,#N/A,FALSE,"II-5 EMP.INDUS"}</definedName>
    <definedName name="AAA" hidden="1">{#N/A,#N/A,FALSE,"AFR-ELC"}</definedName>
    <definedName name="aaaa">'[4]MAIN BLD TAKE OFF'!#REF!</definedName>
    <definedName name="ABU">'[4]MAIN BLD TAKE OFF'!#REF!</definedName>
    <definedName name="all">'[5]Materials on site'!#REF!</definedName>
    <definedName name="ALTV">'[6]Base case - condos'!$H$6</definedName>
    <definedName name="anscount" hidden="1">1</definedName>
    <definedName name="Area">'[7]Exhibit VI-8'!$A$1:$IV$11</definedName>
    <definedName name="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ACK" hidden="1">{#N/A,#N/A,FALSE,"AFR-ELC"}</definedName>
    <definedName name="BALL">{#N/A,#N/A,FALSE,"AFR-ELC"}</definedName>
    <definedName name="bank">{#N/A,#N/A,FALSE,"AFR-ELC"}</definedName>
    <definedName name="Barracks" hidden="1">{#N/A,#N/A,FALSE,"AFR-ELC"}</definedName>
    <definedName name="Beg_Bal">#REF!</definedName>
    <definedName name="builder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uilding">'[8]Materials on site'!#REF!</definedName>
    <definedName name="cf">{#N/A,#N/A,FALSE,"AFR-ELC"}</definedName>
    <definedName name="CLTV">'[6]Base case - condos'!$H$7</definedName>
    <definedName name="cogtaz_Query_from_wizard">#REF!</definedName>
    <definedName name="conv">[9]Assumptions!$C$9</definedName>
    <definedName name="Cum_Int">#REF!</definedName>
    <definedName name="Data">#REF!</definedName>
    <definedName name="_xlnm.Database">#REF!</definedName>
    <definedName name="dfr">'[4]MAIN BLD TAKE OFF'!#REF!</definedName>
    <definedName name="Division">#REF!</definedName>
    <definedName name="don">{#N/A,#N/A,FALSE,"AFR-ELC"}</definedName>
    <definedName name="dsa" hidden="1">{#N/A,#N/A,FALSE,"AFR-ELC"}</definedName>
    <definedName name="EFFIONG" hidden="1">{#N/A,#N/A,FALSE,"AFR-ELC"}</definedName>
    <definedName name="End_Bal">#REF!</definedName>
    <definedName name="EXHIBIT">#REF!</definedName>
    <definedName name="Extra_Pay">#REF!</definedName>
    <definedName name="fenchuc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FOIL">{#N/A,#N/A,FALSE,"AFR-ELC"}</definedName>
    <definedName name="Full_Print">#REF!</definedName>
    <definedName name="GAME">{#N/A,#N/A,FALSE,"AFR-ELC"}</definedName>
    <definedName name="gas">{#N/A,#N/A,FALSE,"AFR-ELC"}</definedName>
    <definedName name="globref">INDIRECT("rc",FALSE)</definedName>
    <definedName name="Header_Row">ROW(#REF!)</definedName>
    <definedName name="huh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Inflation">[10]Summary!$C$31</definedName>
    <definedName name="Int">#REF!</definedName>
    <definedName name="Interest_Rate">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"c373"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NUM_EST" hidden="1">"c421"</definedName>
    <definedName name="IQ_FFO_STDDEV_EST" hidden="1">"c422"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amb" hidden="1">{#N/A,#N/A,FALSE,"AFR-ELC"}</definedName>
    <definedName name="Land_Residual">#REF!</definedName>
    <definedName name="Last_Row">IF(Values_Entered,Header_Row+Number_of_Payments,Header_Row)</definedName>
    <definedName name="lastcell">'[11]Oct-99'!#REF!</definedName>
    <definedName name="Loan_Amount">#REF!</definedName>
    <definedName name="Loan_Start">#REF!</definedName>
    <definedName name="Loan_Years">#REF!</definedName>
    <definedName name="mix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Name1">[9]Assumptions!$B$15</definedName>
    <definedName name="name2">[9]Assumptions!$B$17</definedName>
    <definedName name="Name3">[9]Assumptions!$B$20</definedName>
    <definedName name="nnnnnnn" hidden="1">{#N/A,#N/A,FALSE,"AFR-ELC"}</definedName>
    <definedName name="NSF">'[6]Condo Pricing'!$F$15</definedName>
    <definedName name="Num_Pmt_Per_Year">#REF!</definedName>
    <definedName name="Number_of_Payments">MATCH(0.01,End_Bal,-1)+1</definedName>
    <definedName name="NWC" hidden="1">{#N/A,#N/A,FALSE,"AFR-ELC"}</definedName>
    <definedName name="OLTV">'[6]Base case - condos'!$H$8</definedName>
    <definedName name="pay">'[5]Materials on site'!#REF!</definedName>
    <definedName name="Pay_Date">#REF!</definedName>
    <definedName name="Pay_Num">#REF!</definedName>
    <definedName name="Payment_Date">DATE(YEAR(Loan_Start),MONTH(Loan_Start)+Payment_Number,DAY(Loan_Start))</definedName>
    <definedName name="Princ">#REF!</definedName>
    <definedName name="Print">'[7]Exhibit VI-8'!$A$12:$G$21</definedName>
    <definedName name="_xlnm.Print_Area" localSheetId="0">'Asoya bOQ'!$A$1:$F$907</definedName>
    <definedName name="_xlnm.Print_Area">#REF!</definedName>
    <definedName name="Print_Area_Reset">OFFSET(Full_Print,0,0,Last_Row)</definedName>
    <definedName name="_xlnm.Print_Titles">[12]Model!#REF!</definedName>
    <definedName name="ProjectName">{"Client Name or Project Name"}</definedName>
    <definedName name="ProjectName2">{"Client Name or Project Name"}</definedName>
    <definedName name="ProjectName3">{"Client Name or Project Name"}</definedName>
    <definedName name="RAT" hidden="1">{#N/A,#N/A,FALSE,"AFR-ELC"}</definedName>
    <definedName name="RATE">[13]ex.!#REF!</definedName>
    <definedName name="RCLCo_Products">'[14]TCG PRODUCT MENU'!$A$48:$R$67</definedName>
    <definedName name="row" hidden="1">{#N/A,#N/A,FALSE,"AFR-ELC"}</definedName>
    <definedName name="sa">{#N/A,#N/A,FALSE,"AFR-ELC"}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 hidden="1">{#N/A,#N/A,FALSE,"AFR-ELC"}</definedName>
    <definedName name="SDER" hidden="1">{#N/A,#N/A,FALSE,"AFR-ELC"}</definedName>
    <definedName name="sencount" hidden="1">2</definedName>
    <definedName name="S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Total_Interest">#REF!</definedName>
    <definedName name="Total_Pay">#REF!</definedName>
    <definedName name="Total_Payment">Scheduled_Payment+Extra_Payment</definedName>
    <definedName name="totalsf">'[15]Unit Mix'!$K$26</definedName>
    <definedName name="totalunits">'[15]Unit Mix'!$G$26</definedName>
    <definedName name="TTLE">{#N/A,#N/A,FALSE,"AFR-ELC"}</definedName>
    <definedName name="TTLET" hidden="1">{#N/A,#N/A,FALSE,"AFR-ELC"}</definedName>
    <definedName name="un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Units">'[6]Construction Details'!$H$4</definedName>
    <definedName name="Values_Entered">IF(Loan_Amount*Interest_Rate*Loan_Years*Loan_Start&gt;0,1,0)</definedName>
    <definedName name="VAT">{#N/A,#N/A,FALSE,"AFR-ELC"}</definedName>
    <definedName name="Vibrated_Reinforced_Concrete__1_2_4___19mm__aggregate__in">"5 BRM DUPLEX "</definedName>
    <definedName name="vvvvv" hidden="1">{#N/A,#N/A,FALSE,"AFR-ELC"}</definedName>
    <definedName name="wacko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as">{#N/A,#N/A,FALSE,"AFR-ELC"}</definedName>
    <definedName name="WHAT" hidden="1">{#N/A,#N/A,FALSE,"II-2 POP.HH";#N/A,#N/A,FALSE,"II-3 AGE.DIST";#N/A,#N/A,FALSE,"II-4 HH.DIST";#N/A,#N/A,FALSE,"II-5 EMP.INDUS"}</definedName>
    <definedName name="what2" hidden="1">{#N/A,#N/A,FALSE,"II-2 POP.HH";#N/A,#N/A,FALSE,"II-3 AGE.DIST";#N/A,#N/A,FALSE,"II-4 HH.DIST";#N/A,#N/A,FALSE,"II-5 EMP.INDUS"}</definedName>
    <definedName name="width1">'[2]MAIN BLD TAKE OFF'!$I$18</definedName>
    <definedName name="win">#REF!</definedName>
    <definedName name="wrn.96126.00._.ValCo.Segmentation.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rn.ABUBAKAR._.RIMI._.KAD." hidden="1">{#N/A,#N/A,FALSE,"AFR-ELC"}</definedName>
    <definedName name="wrn.AFRIBANK._.ELECTRICAL._.BILL._.by._.Effiong._.A.._.Uko.">{#N/A,#N/A,FALSE,"AFR-ELC"}</definedName>
    <definedName name="wrn.demand." hidden="1">{#N/A,#N/A,FALSE,"III-1 Sum.Dem";#N/A,#N/A,FALSE,"III-2 RER.Dem.Pop";#N/A,#N/A,FALSE,"III-3 RER.Cap.Pop";#N/A,#N/A,FALSE,"III-4 RER.Dem.TCSS";#N/A,#N/A,FALSE,"III-5 RER.Cap.TCSS";#N/A,#N/A,FALSE,"III-6 Pow.Center.Dem";#N/A,#N/A,FALSE,"III-7 Off.Demand";#N/A,#N/A,FALSE,"III-8 Htl.Dem"}</definedName>
    <definedName name="wrn.demographics." hidden="1">{#N/A,#N/A,FALSE,"pop.hh";#N/A,#N/A,FALSE,"age.dist";#N/A,#N/A,FALSE,"hh.income";#N/A,#N/A,FALSE,"hh.chars"}</definedName>
    <definedName name="wrn.Demos." hidden="1">{#N/A,#N/A,FALSE,"II-2 POP.HH";#N/A,#N/A,FALSE,"II-3 AGE.DIST";#N/A,#N/A,FALSE,"II-4 HH.DIST";#N/A,#N/A,FALSE,"II-5 EMP.INDUS"}</definedName>
    <definedName name="wrn.Print.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Short._.Print." hidden="1">{#N/A,#N/A,FALSE,"Cover";#N/A,#N/A,FALSE,"Stack";#N/A,#N/A,FALSE,"Cost S";#N/A,#N/A,FALSE," CF";#N/A,#N/A,FALSE,"Investor"}</definedName>
    <definedName name="xxx">#REF!</definedName>
    <definedName name="YUOR">{#N/A,#N/A,FALSE,"AFR-ELC"}</definedName>
    <definedName name="ZX">"Best Answer Data - v1.5"</definedName>
    <definedName name="ZXA000">#REF!</definedName>
    <definedName name="ZXA001">#REF!</definedName>
    <definedName name="ZXC000">#REF!</definedName>
    <definedName name="ZXC001">#REF!</definedName>
    <definedName name="ZXC002">#REF!</definedName>
    <definedName name="ZXC003">#REF!</definedName>
    <definedName name="ZXC004">#REF!</definedName>
    <definedName name="ZXC005">#REF!</definedName>
    <definedName name="ZXC006">#REF!</definedName>
    <definedName name="ZXC007">#REF!</definedName>
    <definedName name="ZXC008">#REF!</definedName>
    <definedName name="ZXJ000">#REF!</definedName>
    <definedName name="ZXJ00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95" i="1" l="1"/>
  <c r="E707" i="1"/>
  <c r="C715" i="1"/>
  <c r="C687" i="1"/>
  <c r="C696" i="1"/>
  <c r="E675" i="1"/>
  <c r="F675" i="1" s="1"/>
  <c r="E676" i="1"/>
  <c r="F676" i="1" s="1"/>
  <c r="C641" i="1"/>
  <c r="C645" i="1" s="1"/>
  <c r="C621" i="1"/>
  <c r="C640" i="1" s="1"/>
  <c r="C644" i="1" s="1"/>
  <c r="C599" i="1"/>
  <c r="C604" i="1" s="1"/>
  <c r="C608" i="1" s="1"/>
  <c r="C598" i="1"/>
  <c r="C603" i="1" s="1"/>
  <c r="C607" i="1" s="1"/>
  <c r="C130" i="1"/>
  <c r="C117" i="1"/>
  <c r="C121" i="1"/>
  <c r="C686" i="1" l="1"/>
  <c r="C494" i="1"/>
  <c r="C492" i="1"/>
  <c r="G460" i="1"/>
  <c r="H460" i="1" s="1"/>
  <c r="F460" i="1"/>
  <c r="C390" i="1"/>
  <c r="C366" i="1"/>
  <c r="C392" i="1" s="1"/>
  <c r="C365" i="1"/>
  <c r="E346" i="1"/>
  <c r="F346" i="1" s="1"/>
  <c r="C249" i="1"/>
  <c r="C264" i="1" s="1"/>
  <c r="C274" i="1" s="1"/>
  <c r="C247" i="1"/>
  <c r="C262" i="1" s="1"/>
  <c r="C272" i="1" s="1"/>
  <c r="C245" i="1"/>
  <c r="C260" i="1" s="1"/>
  <c r="C270" i="1" s="1"/>
  <c r="C239" i="1"/>
  <c r="C237" i="1"/>
  <c r="C235" i="1"/>
  <c r="C221" i="1"/>
  <c r="C233" i="1" s="1"/>
  <c r="D203" i="1"/>
  <c r="C38" i="1"/>
  <c r="C37" i="1"/>
  <c r="F41" i="1"/>
  <c r="C21" i="1" l="1"/>
  <c r="F842" i="1" l="1"/>
  <c r="F849" i="1" s="1"/>
  <c r="E827" i="1"/>
  <c r="F827" i="1" s="1"/>
  <c r="E826" i="1"/>
  <c r="F826" i="1" s="1"/>
  <c r="E825" i="1"/>
  <c r="F825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F811" i="1"/>
  <c r="E810" i="1"/>
  <c r="F810" i="1" s="1"/>
  <c r="E808" i="1"/>
  <c r="E809" i="1" s="1"/>
  <c r="F809" i="1" s="1"/>
  <c r="E807" i="1"/>
  <c r="F807" i="1" s="1"/>
  <c r="E806" i="1"/>
  <c r="F806" i="1" s="1"/>
  <c r="E805" i="1"/>
  <c r="F805" i="1" s="1"/>
  <c r="E802" i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E715" i="1"/>
  <c r="E712" i="1"/>
  <c r="E709" i="1"/>
  <c r="E692" i="1"/>
  <c r="F692" i="1" s="1"/>
  <c r="E691" i="1"/>
  <c r="F691" i="1" s="1"/>
  <c r="E687" i="1"/>
  <c r="E696" i="1" s="1"/>
  <c r="F696" i="1" s="1"/>
  <c r="E686" i="1"/>
  <c r="E695" i="1" s="1"/>
  <c r="E682" i="1"/>
  <c r="E679" i="1"/>
  <c r="E680" i="1" s="1"/>
  <c r="F680" i="1" s="1"/>
  <c r="E677" i="1"/>
  <c r="E678" i="1" s="1"/>
  <c r="F678" i="1" s="1"/>
  <c r="E671" i="1"/>
  <c r="E673" i="1" s="1"/>
  <c r="E669" i="1"/>
  <c r="F669" i="1" s="1"/>
  <c r="E644" i="1"/>
  <c r="E641" i="1"/>
  <c r="E640" i="1"/>
  <c r="F636" i="1"/>
  <c r="F633" i="1"/>
  <c r="F630" i="1"/>
  <c r="F624" i="1"/>
  <c r="F623" i="1"/>
  <c r="E622" i="1"/>
  <c r="F622" i="1" s="1"/>
  <c r="E621" i="1"/>
  <c r="F707" i="1" s="1"/>
  <c r="E616" i="1"/>
  <c r="F616" i="1" s="1"/>
  <c r="E612" i="1"/>
  <c r="E611" i="1"/>
  <c r="F611" i="1" s="1"/>
  <c r="E607" i="1"/>
  <c r="E608" i="1" s="1"/>
  <c r="F608" i="1" s="1"/>
  <c r="E603" i="1"/>
  <c r="E604" i="1" s="1"/>
  <c r="F604" i="1" s="1"/>
  <c r="E598" i="1"/>
  <c r="E599" i="1" s="1"/>
  <c r="F599" i="1" s="1"/>
  <c r="F589" i="1"/>
  <c r="E587" i="1"/>
  <c r="F587" i="1" s="1"/>
  <c r="E585" i="1"/>
  <c r="F585" i="1" s="1"/>
  <c r="E582" i="1"/>
  <c r="F582" i="1" s="1"/>
  <c r="F579" i="1"/>
  <c r="F578" i="1"/>
  <c r="G575" i="1"/>
  <c r="E575" i="1"/>
  <c r="F575" i="1" s="1"/>
  <c r="G574" i="1"/>
  <c r="E574" i="1"/>
  <c r="F574" i="1" s="1"/>
  <c r="G573" i="1"/>
  <c r="E573" i="1"/>
  <c r="F573" i="1" s="1"/>
  <c r="G572" i="1"/>
  <c r="E572" i="1"/>
  <c r="E569" i="1"/>
  <c r="F569" i="1" s="1"/>
  <c r="F568" i="1"/>
  <c r="E567" i="1"/>
  <c r="F567" i="1" s="1"/>
  <c r="E566" i="1"/>
  <c r="F566" i="1" s="1"/>
  <c r="G562" i="1"/>
  <c r="F562" i="1"/>
  <c r="G561" i="1"/>
  <c r="F561" i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F525" i="1"/>
  <c r="F522" i="1"/>
  <c r="E518" i="1"/>
  <c r="F518" i="1" s="1"/>
  <c r="E516" i="1"/>
  <c r="F516" i="1" s="1"/>
  <c r="E480" i="1"/>
  <c r="F480" i="1" s="1"/>
  <c r="E478" i="1"/>
  <c r="F466" i="1"/>
  <c r="F465" i="1"/>
  <c r="G459" i="1"/>
  <c r="H459" i="1" s="1"/>
  <c r="F459" i="1"/>
  <c r="G458" i="1"/>
  <c r="H458" i="1" s="1"/>
  <c r="F458" i="1"/>
  <c r="G457" i="1"/>
  <c r="H457" i="1" s="1"/>
  <c r="F457" i="1"/>
  <c r="E422" i="1"/>
  <c r="F422" i="1" s="1"/>
  <c r="E420" i="1"/>
  <c r="F420" i="1" s="1"/>
  <c r="E390" i="1"/>
  <c r="E392" i="1" s="1"/>
  <c r="F392" i="1" s="1"/>
  <c r="E384" i="1"/>
  <c r="F384" i="1" s="1"/>
  <c r="E378" i="1"/>
  <c r="E365" i="1"/>
  <c r="E358" i="1"/>
  <c r="F358" i="1" s="1"/>
  <c r="F352" i="1"/>
  <c r="E348" i="1"/>
  <c r="E350" i="1" s="1"/>
  <c r="F350" i="1" s="1"/>
  <c r="F344" i="1"/>
  <c r="E330" i="1"/>
  <c r="E332" i="1" s="1"/>
  <c r="F332" i="1" s="1"/>
  <c r="E317" i="1"/>
  <c r="E442" i="1" s="1"/>
  <c r="E500" i="1" s="1"/>
  <c r="E309" i="1"/>
  <c r="E270" i="1"/>
  <c r="E272" i="1" s="1"/>
  <c r="E274" i="1" s="1"/>
  <c r="F274" i="1" s="1"/>
  <c r="E260" i="1"/>
  <c r="E262" i="1" s="1"/>
  <c r="E264" i="1" s="1"/>
  <c r="F264" i="1" s="1"/>
  <c r="E245" i="1"/>
  <c r="E247" i="1" s="1"/>
  <c r="E249" i="1" s="1"/>
  <c r="E239" i="1"/>
  <c r="F239" i="1" s="1"/>
  <c r="E233" i="1"/>
  <c r="E235" i="1" s="1"/>
  <c r="E221" i="1"/>
  <c r="E227" i="1" s="1"/>
  <c r="F227" i="1" s="1"/>
  <c r="F233" i="1"/>
  <c r="E64" i="1"/>
  <c r="E45" i="1"/>
  <c r="E46" i="1" s="1"/>
  <c r="E36" i="1"/>
  <c r="E37" i="1" s="1"/>
  <c r="E115" i="1" s="1"/>
  <c r="E32" i="1"/>
  <c r="E26" i="1"/>
  <c r="E21" i="1"/>
  <c r="E22" i="1" s="1"/>
  <c r="F22" i="1" s="1"/>
  <c r="E18" i="1"/>
  <c r="F18" i="1" s="1"/>
  <c r="E17" i="1"/>
  <c r="F17" i="1" s="1"/>
  <c r="E16" i="1"/>
  <c r="F16" i="1" s="1"/>
  <c r="E15" i="1"/>
  <c r="F15" i="1" s="1"/>
  <c r="E14" i="1"/>
  <c r="E13" i="1"/>
  <c r="F13" i="1" s="1"/>
  <c r="E12" i="1"/>
  <c r="F12" i="1" s="1"/>
  <c r="E11" i="1"/>
  <c r="F11" i="1" s="1"/>
  <c r="E10" i="1"/>
  <c r="E9" i="1"/>
  <c r="F9" i="1" s="1"/>
  <c r="F641" i="1" l="1"/>
  <c r="E645" i="1"/>
  <c r="F645" i="1" s="1"/>
  <c r="E434" i="1"/>
  <c r="F434" i="1" s="1"/>
  <c r="E311" i="1"/>
  <c r="F311" i="1" s="1"/>
  <c r="H572" i="1"/>
  <c r="E33" i="1"/>
  <c r="F33" i="1" s="1"/>
  <c r="E105" i="1"/>
  <c r="F105" i="1" s="1"/>
  <c r="F26" i="1"/>
  <c r="E24" i="1"/>
  <c r="F45" i="1"/>
  <c r="F64" i="1"/>
  <c r="F79" i="1" s="1"/>
  <c r="E88" i="1" s="1"/>
  <c r="E237" i="1"/>
  <c r="E334" i="1"/>
  <c r="E336" i="1" s="1"/>
  <c r="F336" i="1" s="1"/>
  <c r="F32" i="1"/>
  <c r="F36" i="1"/>
  <c r="F330" i="1"/>
  <c r="F348" i="1"/>
  <c r="E38" i="1"/>
  <c r="E39" i="1" s="1"/>
  <c r="F39" i="1" s="1"/>
  <c r="F245" i="1"/>
  <c r="F808" i="1"/>
  <c r="E319" i="1"/>
  <c r="F319" i="1" s="1"/>
  <c r="H574" i="1"/>
  <c r="F21" i="1"/>
  <c r="F37" i="1"/>
  <c r="F309" i="1"/>
  <c r="F317" i="1"/>
  <c r="F442" i="1"/>
  <c r="F543" i="1"/>
  <c r="E871" i="1" s="1"/>
  <c r="F572" i="1"/>
  <c r="F591" i="1" s="1"/>
  <c r="E873" i="1" s="1"/>
  <c r="H573" i="1"/>
  <c r="H575" i="1"/>
  <c r="F469" i="1"/>
  <c r="E867" i="1" s="1"/>
  <c r="F478" i="1"/>
  <c r="F677" i="1"/>
  <c r="F262" i="1"/>
  <c r="F272" i="1"/>
  <c r="E492" i="1"/>
  <c r="E494" i="1" s="1"/>
  <c r="F494" i="1" s="1"/>
  <c r="F791" i="1"/>
  <c r="F14" i="1"/>
  <c r="F10" i="1"/>
  <c r="E117" i="1"/>
  <c r="E152" i="1" s="1"/>
  <c r="F115" i="1"/>
  <c r="F270" i="1"/>
  <c r="F260" i="1"/>
  <c r="E683" i="1"/>
  <c r="F683" i="1" s="1"/>
  <c r="F682" i="1"/>
  <c r="F46" i="1"/>
  <c r="E47" i="1"/>
  <c r="F47" i="1" s="1"/>
  <c r="E380" i="1"/>
  <c r="E382" i="1" s="1"/>
  <c r="F382" i="1" s="1"/>
  <c r="F378" i="1"/>
  <c r="F673" i="1"/>
  <c r="E674" i="1"/>
  <c r="F674" i="1" s="1"/>
  <c r="F695" i="1"/>
  <c r="F715" i="1"/>
  <c r="F712" i="1"/>
  <c r="F709" i="1"/>
  <c r="F686" i="1"/>
  <c r="E804" i="1"/>
  <c r="F804" i="1" s="1"/>
  <c r="E803" i="1"/>
  <c r="F803" i="1" s="1"/>
  <c r="F802" i="1"/>
  <c r="E225" i="1"/>
  <c r="F225" i="1" s="1"/>
  <c r="F221" i="1"/>
  <c r="E223" i="1"/>
  <c r="E113" i="1"/>
  <c r="F113" i="1" s="1"/>
  <c r="E366" i="1"/>
  <c r="F366" i="1" s="1"/>
  <c r="F612" i="1"/>
  <c r="F671" i="1"/>
  <c r="F687" i="1"/>
  <c r="F247" i="1"/>
  <c r="F679" i="1"/>
  <c r="E672" i="1"/>
  <c r="F672" i="1" s="1"/>
  <c r="F235" i="1"/>
  <c r="F249" i="1"/>
  <c r="F500" i="1"/>
  <c r="E436" i="1" l="1"/>
  <c r="F436" i="1" s="1"/>
  <c r="F380" i="1"/>
  <c r="E25" i="1"/>
  <c r="F25" i="1" s="1"/>
  <c r="F24" i="1"/>
  <c r="F334" i="1"/>
  <c r="F38" i="1"/>
  <c r="F698" i="1"/>
  <c r="E877" i="1" s="1"/>
  <c r="F728" i="1"/>
  <c r="E879" i="1" s="1"/>
  <c r="E128" i="1"/>
  <c r="E130" i="1" s="1"/>
  <c r="F365" i="1"/>
  <c r="F390" i="1"/>
  <c r="F277" i="1"/>
  <c r="E284" i="1" s="1"/>
  <c r="F598" i="1"/>
  <c r="F492" i="1"/>
  <c r="F621" i="1"/>
  <c r="F223" i="1"/>
  <c r="F237" i="1"/>
  <c r="E119" i="1"/>
  <c r="F117" i="1"/>
  <c r="E107" i="1"/>
  <c r="E428" i="1"/>
  <c r="E301" i="1"/>
  <c r="F301" i="1" s="1"/>
  <c r="F394" i="1" l="1"/>
  <c r="E403" i="1" s="1"/>
  <c r="F28" i="1"/>
  <c r="E84" i="1" s="1"/>
  <c r="F371" i="1"/>
  <c r="E401" i="1" s="1"/>
  <c r="F253" i="1"/>
  <c r="E282" i="1" s="1"/>
  <c r="E303" i="1"/>
  <c r="E146" i="1"/>
  <c r="F107" i="1"/>
  <c r="F644" i="1"/>
  <c r="F640" i="1"/>
  <c r="F119" i="1"/>
  <c r="E121" i="1"/>
  <c r="F128" i="1"/>
  <c r="E486" i="1"/>
  <c r="F486" i="1" s="1"/>
  <c r="F507" i="1" s="1"/>
  <c r="E869" i="1" s="1"/>
  <c r="F428" i="1"/>
  <c r="F449" i="1" s="1"/>
  <c r="E865" i="1" s="1"/>
  <c r="F607" i="1"/>
  <c r="F603" i="1"/>
  <c r="F625" i="1" l="1"/>
  <c r="E651" i="1" s="1"/>
  <c r="F121" i="1"/>
  <c r="F303" i="1"/>
  <c r="F647" i="1"/>
  <c r="E653" i="1" s="1"/>
  <c r="E183" i="1"/>
  <c r="F183" i="1" s="1"/>
  <c r="F146" i="1"/>
  <c r="F661" i="1" l="1"/>
  <c r="E875" i="1" s="1"/>
  <c r="F56" i="1"/>
  <c r="E86" i="1" s="1"/>
  <c r="F94" i="1" s="1"/>
  <c r="E855" i="1" s="1"/>
  <c r="F130" i="1"/>
  <c r="E160" i="1"/>
  <c r="F325" i="1"/>
  <c r="E399" i="1" s="1"/>
  <c r="F411" i="1" s="1"/>
  <c r="E863" i="1" s="1"/>
  <c r="F160" i="1" l="1"/>
  <c r="E162" i="1"/>
  <c r="E199" i="1" l="1"/>
  <c r="F162" i="1"/>
  <c r="F135" i="1"/>
  <c r="E857" i="1" s="1"/>
  <c r="F199" i="1" l="1"/>
  <c r="E201" i="1"/>
  <c r="E154" i="1"/>
  <c r="F152" i="1"/>
  <c r="E203" i="1" l="1"/>
  <c r="F201" i="1"/>
  <c r="F154" i="1"/>
  <c r="F172" i="1" s="1"/>
  <c r="E859" i="1" s="1"/>
  <c r="E189" i="1"/>
  <c r="E191" i="1" l="1"/>
  <c r="F189" i="1"/>
  <c r="F203" i="1"/>
  <c r="E205" i="1"/>
  <c r="F205" i="1" l="1"/>
  <c r="E207" i="1"/>
  <c r="F191" i="1"/>
  <c r="E193" i="1"/>
  <c r="F193" i="1" s="1"/>
  <c r="F207" i="1" l="1"/>
  <c r="E209" i="1"/>
  <c r="F209" i="1" s="1"/>
  <c r="F214" i="1" l="1"/>
  <c r="E280" i="1" s="1"/>
  <c r="F290" i="1" s="1"/>
  <c r="E861" i="1" s="1"/>
  <c r="E889" i="1" s="1"/>
  <c r="E891" i="1" s="1"/>
  <c r="E893" i="1" s="1"/>
  <c r="E894" i="1" s="1"/>
  <c r="E896" i="1" l="1"/>
  <c r="E897" i="1" s="1"/>
  <c r="F900" i="1" s="1"/>
</calcChain>
</file>

<file path=xl/sharedStrings.xml><?xml version="1.0" encoding="utf-8"?>
<sst xmlns="http://schemas.openxmlformats.org/spreadsheetml/2006/main" count="1067" uniqueCount="428">
  <si>
    <t>ELEMENT NR. 1</t>
  </si>
  <si>
    <t>SUBSTRUCTURE (All Provisional)</t>
  </si>
  <si>
    <t>D20: EXCAVATING AND FILLING</t>
  </si>
  <si>
    <t>General Site Clearance</t>
  </si>
  <si>
    <t>A</t>
  </si>
  <si>
    <t xml:space="preserve">Excavate oversite to remove vegetable soil average 150mm deep. </t>
  </si>
  <si>
    <r>
      <t>m</t>
    </r>
    <r>
      <rPr>
        <vertAlign val="superscript"/>
        <sz val="10"/>
        <rFont val="Comic Sans MS"/>
        <family val="4"/>
      </rPr>
      <t>2</t>
    </r>
  </si>
  <si>
    <t>B</t>
  </si>
  <si>
    <t xml:space="preserve">Excavate trench to receive Ground beam starting from stripped level and not exceeding 1.50m deep. </t>
  </si>
  <si>
    <r>
      <t>m</t>
    </r>
    <r>
      <rPr>
        <vertAlign val="superscript"/>
        <sz val="10"/>
        <rFont val="Comic Sans MS"/>
        <family val="4"/>
      </rPr>
      <t>3</t>
    </r>
  </si>
  <si>
    <t>C</t>
  </si>
  <si>
    <t xml:space="preserve">Excavate pit for column bases starting from stripped level and not exceeding 1.50m deep. </t>
  </si>
  <si>
    <t>D</t>
  </si>
  <si>
    <t xml:space="preserve">Excavate for working space including back filling arround retaining walls starting from stripped level and not exceeding 1.50m deep. </t>
  </si>
  <si>
    <t>E</t>
  </si>
  <si>
    <t>Level and compact bottom of excavation to receive concrete in foundation.</t>
  </si>
  <si>
    <t>F</t>
  </si>
  <si>
    <t>Remove surplus excavated material from site.</t>
  </si>
  <si>
    <t>G</t>
  </si>
  <si>
    <t>Return, fill and consolidate selected excavated material around foundation.</t>
  </si>
  <si>
    <t>H</t>
  </si>
  <si>
    <t>Approved laterite earth filling to make up level well rammed and consolidated in layers of 600mm thick.</t>
  </si>
  <si>
    <t>J</t>
  </si>
  <si>
    <t>100mm thick approved rock hardcore filling well rammed and consolidated.</t>
  </si>
  <si>
    <t>K</t>
  </si>
  <si>
    <t>Dieldrex 20" anti-termites to surfaces of excavation</t>
  </si>
  <si>
    <t>E10: In situ concrete</t>
  </si>
  <si>
    <t>Vibrated Concrete Grade 15 in:</t>
  </si>
  <si>
    <t>L</t>
  </si>
  <si>
    <t>50mm blinding under bases and Bed</t>
  </si>
  <si>
    <t>Vibrated Concrete grade 20 in</t>
  </si>
  <si>
    <t>O</t>
  </si>
  <si>
    <t>Steps</t>
  </si>
  <si>
    <t>Carried to Collection</t>
  </si>
  <si>
    <t>N</t>
  </si>
  <si>
    <t>SUBSTRUCTURE CONT'D</t>
  </si>
  <si>
    <t>Reinforced  insitu concrete</t>
  </si>
  <si>
    <t>Vibrated Concrete grade 20 in:</t>
  </si>
  <si>
    <t>E30: Reinforcement for in situ concrete</t>
  </si>
  <si>
    <t>kg</t>
  </si>
  <si>
    <t>M</t>
  </si>
  <si>
    <t>P</t>
  </si>
  <si>
    <t>Q</t>
  </si>
  <si>
    <t>R</t>
  </si>
  <si>
    <t>E20: Formwork for in situ concrete</t>
  </si>
  <si>
    <t>Sawn formwork to:</t>
  </si>
  <si>
    <t>S</t>
  </si>
  <si>
    <t>T</t>
  </si>
  <si>
    <t>U</t>
  </si>
  <si>
    <t>V</t>
  </si>
  <si>
    <t>W</t>
  </si>
  <si>
    <t>m</t>
  </si>
  <si>
    <t>Carried to collection</t>
  </si>
  <si>
    <t>Damp Proofing</t>
  </si>
  <si>
    <t>Damp proof membrane</t>
  </si>
  <si>
    <t>0.26mm polythene damp proof membrane lapped 450mm at all welted joints, laid on hardcore</t>
  </si>
  <si>
    <t>COLLECTION</t>
  </si>
  <si>
    <t>page /1</t>
  </si>
  <si>
    <t>page /2</t>
  </si>
  <si>
    <t>page /3</t>
  </si>
  <si>
    <t xml:space="preserve">SUBSTRUCTURE </t>
  </si>
  <si>
    <t>Carried to Summary</t>
  </si>
  <si>
    <t>Element Nr. 2</t>
  </si>
  <si>
    <t>FRAME</t>
  </si>
  <si>
    <t xml:space="preserve">Reinforced Insitu Concrete </t>
  </si>
  <si>
    <t>Vibrated Concrete Grade 20</t>
  </si>
  <si>
    <t>Columns</t>
  </si>
  <si>
    <t>Ditto: Beams</t>
  </si>
  <si>
    <t xml:space="preserve">High yield deformed bars to BS 4449 in beams, columns etc </t>
  </si>
  <si>
    <t>Vertical sides of columns</t>
  </si>
  <si>
    <t>sides and soffits of beams</t>
  </si>
  <si>
    <t>carried to Summary</t>
  </si>
  <si>
    <t>Element Nr. 3</t>
  </si>
  <si>
    <t>UPPER FLOOR</t>
  </si>
  <si>
    <t>Suspended floor slabs</t>
  </si>
  <si>
    <t xml:space="preserve">High yield deformed bars to BS 4449 in concrete floor slabs </t>
  </si>
  <si>
    <t>12mm diameter bars</t>
  </si>
  <si>
    <t>10mm diameter bars</t>
  </si>
  <si>
    <t>Horizontal soffit of suspended floor slab</t>
  </si>
  <si>
    <t>Edge of slab 150mm wide</t>
  </si>
  <si>
    <t>UPPER FLOORS</t>
  </si>
  <si>
    <t>Element Nr. 4</t>
  </si>
  <si>
    <t>M20: Plastered/Rendered/Roughcast coatings</t>
  </si>
  <si>
    <t>12mm Thick cement and sand (1:5) smooth rendering to:</t>
  </si>
  <si>
    <t>M40: Stone/Concrete/Quarry/Ceramic/ Mosaic tiling</t>
  </si>
  <si>
    <t>Approved ceramic wall tiles bedded and jointed in cement and sand (1:3) screeded backing (measured separately) and pointed in matching coloured cement.</t>
  </si>
  <si>
    <t>m2</t>
  </si>
  <si>
    <t>M10: Sand cement beds /Concrete/Screeds/backings</t>
  </si>
  <si>
    <t>Cement and sand (1:3) in backings</t>
  </si>
  <si>
    <t>15mm screeded backings</t>
  </si>
  <si>
    <t>Ceramic floor tiles of approved colour, bedded and jointed in cement and sand (1:3) mix floated bed (measured separately) with and including pointing with matching cement colour</t>
  </si>
  <si>
    <t>Cement and sand (1:3) mix</t>
  </si>
  <si>
    <t>44mm screeded bed</t>
  </si>
  <si>
    <t xml:space="preserve">STAIRCASES </t>
  </si>
  <si>
    <t>Staircases including landings and beams</t>
  </si>
  <si>
    <t>High yield deformed bars to BS 4449 in beams, staircases and landing</t>
  </si>
  <si>
    <t>16mm diameter bar</t>
  </si>
  <si>
    <t>12mm diameter bar</t>
  </si>
  <si>
    <t>10mm diameter links and stirrups</t>
  </si>
  <si>
    <t>Sloping soffit of staircases / ramps</t>
  </si>
  <si>
    <t>Soffits of landing</t>
  </si>
  <si>
    <t>Sides and soffits of beam</t>
  </si>
  <si>
    <t>Sides of staircases / ramps including cutting and fitting to risers.</t>
  </si>
  <si>
    <t>Risers of steps 150mm high</t>
  </si>
  <si>
    <t>Sides of Landing</t>
  </si>
  <si>
    <t>STAIRCASES CONT'D</t>
  </si>
  <si>
    <t>M4O: Stone/Concrete/Quarry/Ceramic Tiling/Mosaic</t>
  </si>
  <si>
    <t>Polished granite tiles, laid on cement and sand (1:3) base on: (Fix only)</t>
  </si>
  <si>
    <t>Landings</t>
  </si>
  <si>
    <t>Ditto treads of staircase 300mm wide</t>
  </si>
  <si>
    <t>Ditto risers of staircase 150mm high</t>
  </si>
  <si>
    <t>Ditto 75mm wide skirting along risers and tread</t>
  </si>
  <si>
    <t>M10: Sand cement/ Concrete/ Screeds/ Toppings</t>
  </si>
  <si>
    <t>Cement and sand (1:3) mix:</t>
  </si>
  <si>
    <t>25mm thick floated bed (Landing)</t>
  </si>
  <si>
    <t>15mm thick backing 150mm high (Risers)</t>
  </si>
  <si>
    <t>25mm thick floated bed 300mm wide (Tread)</t>
  </si>
  <si>
    <t>15mm thick backing 75mm high (Skirting)</t>
  </si>
  <si>
    <t>15mm Thick cement and sand (1:5) smooth rendering to:</t>
  </si>
  <si>
    <t>Sloping soffit of staircases</t>
  </si>
  <si>
    <t>Soffit of landing</t>
  </si>
  <si>
    <t>Sides of staircases</t>
  </si>
  <si>
    <t>P.O.P Floating</t>
  </si>
  <si>
    <t>Prepare and apply aduplan or other approved floating  materials on rendered surfaces</t>
  </si>
  <si>
    <t>M60: Painting/Clear finishing</t>
  </si>
  <si>
    <t>Prepare, prime and apply 3 coats of Dulux emulsion paint on:</t>
  </si>
  <si>
    <t>page /6</t>
  </si>
  <si>
    <t>page /7</t>
  </si>
  <si>
    <t>page /8</t>
  </si>
  <si>
    <t>STAIRCASES</t>
  </si>
  <si>
    <t>Element Nr. 5</t>
  </si>
  <si>
    <t>ROOF</t>
  </si>
  <si>
    <t>Roof Beams</t>
  </si>
  <si>
    <t>Fascia/roof beam externally/Coppings</t>
  </si>
  <si>
    <t>High yield deformed bars to BS 4449 in beams, facia, slab, &amp; copping.</t>
  </si>
  <si>
    <t>Sides and soffits of roof beams</t>
  </si>
  <si>
    <t>Sides and soffits of concrete facia/copping</t>
  </si>
  <si>
    <t>ROOF CONT'D</t>
  </si>
  <si>
    <t>H72: 0.70mm longspan aluminium coloured roofing sheets</t>
  </si>
  <si>
    <t>Aluminium roof covering</t>
  </si>
  <si>
    <t>Wall flashing 350mm girth</t>
  </si>
  <si>
    <t>Eave angle flashing 150mm girth</t>
  </si>
  <si>
    <t>Eave Flash 150mm girth</t>
  </si>
  <si>
    <t>G20: Steel trusses/Timber framing/First fixing</t>
  </si>
  <si>
    <t>Sawn hardwood roof carcass treated with solignum</t>
  </si>
  <si>
    <t>Allow provisional sum for steel roof trusses</t>
  </si>
  <si>
    <t>item</t>
  </si>
  <si>
    <t>100 x 50mm rafter</t>
  </si>
  <si>
    <t>100 x 50mm tie beam</t>
  </si>
  <si>
    <t>100 x 50mm struts</t>
  </si>
  <si>
    <t>50 x 75mm hardwood purlins</t>
  </si>
  <si>
    <t>F10: Brick/Block walling</t>
  </si>
  <si>
    <t xml:space="preserve">Hollow sandcrete blockwork jointed in cement mortar  </t>
  </si>
  <si>
    <t>225mm in parapet wall</t>
  </si>
  <si>
    <t>Parapet wall</t>
  </si>
  <si>
    <t>Sides and soffits of concrete facia/coping</t>
  </si>
  <si>
    <t>H66: Bitumen felt shingling</t>
  </si>
  <si>
    <t>3mm thick Amortine or other approved bituminous felt</t>
  </si>
  <si>
    <t>Surfaces of roof slabs</t>
  </si>
  <si>
    <t>Vertical sides of parapet walls n.e 400mm high</t>
  </si>
  <si>
    <t>Surface of roof gutter</t>
  </si>
  <si>
    <t>Dishing arround rainwater oulet with 150mm pipe</t>
  </si>
  <si>
    <t>M60: Texture Paint</t>
  </si>
  <si>
    <t>Prepare and apply standard coat of Texture paint on</t>
  </si>
  <si>
    <t>Sides and soffits of concrete facia/coppin</t>
  </si>
  <si>
    <t>page /9</t>
  </si>
  <si>
    <t>page /10</t>
  </si>
  <si>
    <t>page /11</t>
  </si>
  <si>
    <t>Element Nr. 6</t>
  </si>
  <si>
    <t>EXTERNAL WALLS</t>
  </si>
  <si>
    <t>Hollow sandcrete blockwork laid and jointed in cement mortar (1:3) mix:</t>
  </si>
  <si>
    <t xml:space="preserve">230mm wall </t>
  </si>
  <si>
    <t xml:space="preserve">150mm wall </t>
  </si>
  <si>
    <t>Reinforced Vibrated Insitu Concrete  Grade 20</t>
  </si>
  <si>
    <t>Lintels</t>
  </si>
  <si>
    <t>High yield deformed bars to BS 4449 in lintels</t>
  </si>
  <si>
    <t>10mm diameter bars in links and stirrups</t>
  </si>
  <si>
    <t>Sides and soffits of lintels</t>
  </si>
  <si>
    <t>Element Nr. 7</t>
  </si>
  <si>
    <t xml:space="preserve">WINDOWS AND EXTERNAL DOORS </t>
  </si>
  <si>
    <t>L11: Metal windows/rooflights/screens/louvres</t>
  </si>
  <si>
    <t>L10: Windows/roofing-lights/Screens/ Louvres</t>
  </si>
  <si>
    <t>2 openable pannel aluminium casement window coupled with top and bottom fixed light, super skylum HDC system (mini), flyscreen, powder coated aluminium section and glazed with 5mm thick bronze tinted.</t>
  </si>
  <si>
    <t>Nr</t>
  </si>
  <si>
    <t>L20: Metal doors/shutters/hatches</t>
  </si>
  <si>
    <t>Supply and fix 5mm thick guage isreali steel security doors externally.</t>
  </si>
  <si>
    <t>WINDOWS AND EXTERNAL DOORS</t>
  </si>
  <si>
    <t>Element Nr. 8</t>
  </si>
  <si>
    <t>INTERNAL WALLS</t>
  </si>
  <si>
    <t>Element Nr. 9</t>
  </si>
  <si>
    <t>INTERNAL DOORS</t>
  </si>
  <si>
    <t>Supply and fix wood finish flush door complete with frame, architrave and accessories from approved manufacturers.</t>
  </si>
  <si>
    <t>American steel doors complete with frame</t>
  </si>
  <si>
    <t>750x2100mm high (bq)</t>
  </si>
  <si>
    <t>Door size 1220 x 2134mm high</t>
  </si>
  <si>
    <t xml:space="preserve">INTERNAL DOORS </t>
  </si>
  <si>
    <t>Element Nr. 10</t>
  </si>
  <si>
    <t>FITTINGS AND FIXTURES</t>
  </si>
  <si>
    <t>N10:General fixtures/furnishing/equipment</t>
  </si>
  <si>
    <t>Wardrobes obtainable from approved manufacturers"</t>
  </si>
  <si>
    <t>Size 7200mm long x600mm deep x2800mm high</t>
  </si>
  <si>
    <t>5300mm long x600mm deep x2800mm high</t>
  </si>
  <si>
    <t>4400mm long x600mm deep x2800mm high</t>
  </si>
  <si>
    <t>Ditto 3400mm long x 600mm x 2800 high</t>
  </si>
  <si>
    <t>Ditto 2845mm long x 600mm x 2800 high</t>
  </si>
  <si>
    <t>Ditto 2000mm long x 600mm x 2800 high</t>
  </si>
  <si>
    <t>Ditto 900mm long x 600mm x 2800 high (BQ Provisional)</t>
  </si>
  <si>
    <t>N11: Domestic kitchen fitting</t>
  </si>
  <si>
    <t>Kitchen carbinets  obtainable from approved manufacturers"</t>
  </si>
  <si>
    <t>Supply and fix kitchen cabinet size 8250mm long x 600mm deep x 900mm high with wall mounted  constructed of MBF quality laminated plywood complete with granite work tops</t>
  </si>
  <si>
    <t>Ditto 6400mm long x 600mm deep x 900mm high</t>
  </si>
  <si>
    <t>L30: Stairs/Walkways/Balustrades</t>
  </si>
  <si>
    <t>Supply and fix the followings approved pattern 1000mm high stainless steel:</t>
  </si>
  <si>
    <t>Staircase handrails.</t>
  </si>
  <si>
    <t>Ditto balcony balustrades 300mm high</t>
  </si>
  <si>
    <t>Ditto balcony balustrades 600mm high</t>
  </si>
  <si>
    <t>Ditto balcony balustrades 1200mm high</t>
  </si>
  <si>
    <t>Fabricate and fix the followings approved pattern 450mm wide steel duct cover and Grill</t>
  </si>
  <si>
    <t>450mm x 7000mm high</t>
  </si>
  <si>
    <t>450mm x 3000mm high</t>
  </si>
  <si>
    <t>450mm x 10650mm high</t>
  </si>
  <si>
    <t>2430mm x 3100mm high</t>
  </si>
  <si>
    <t>Pergular</t>
  </si>
  <si>
    <t xml:space="preserve">Supply and fix steel Metal grills as per approved design </t>
  </si>
  <si>
    <t xml:space="preserve">Supply and fix steel frames pergular  per approved design </t>
  </si>
  <si>
    <t>Felt</t>
  </si>
  <si>
    <t xml:space="preserve">Single ply of paralon NT4 prefabricated membrane bitumen felt for water proofing on </t>
  </si>
  <si>
    <t>Toilet floor lapped on wall</t>
  </si>
  <si>
    <t>Armorthane Coating</t>
  </si>
  <si>
    <t xml:space="preserve">Polyurethane coating on floor for water proofing on </t>
  </si>
  <si>
    <t>Terrace and Sit-out floor lapped on wall</t>
  </si>
  <si>
    <t>Vanities and Windows Top</t>
  </si>
  <si>
    <t>Plinth</t>
  </si>
  <si>
    <t>Construct 75-100mm high plinth to receive Shower Cubicle (M/S)</t>
  </si>
  <si>
    <t>Element Nr. 11</t>
  </si>
  <si>
    <t>WALL FINISHES</t>
  </si>
  <si>
    <t>Internal work</t>
  </si>
  <si>
    <t>M20: Plastered/Randered/Roughcast coatings</t>
  </si>
  <si>
    <t>15mm thick cement and sand (1:4) smooth rendering to:</t>
  </si>
  <si>
    <t>Walls</t>
  </si>
  <si>
    <t>Ditto not exceeding 300mm girth including dressing around that arises.</t>
  </si>
  <si>
    <t>M31: Fibrous Plaster of Paris</t>
  </si>
  <si>
    <t>POP Wall Floating</t>
  </si>
  <si>
    <t>Prepare and apply ''aduplan'' or other equal and approved wall floating material on rendered walls</t>
  </si>
  <si>
    <t>Rendered surfaces</t>
  </si>
  <si>
    <t>Rendered surfaces, width not exceeding 300mm</t>
  </si>
  <si>
    <t>Prepare and apply two finishing coats of emulsion paint on:</t>
  </si>
  <si>
    <t>Ditto not exceeding 300mm girth</t>
  </si>
  <si>
    <t>Kitchen walls</t>
  </si>
  <si>
    <t>M10: Sand cement beds /Concrete/Screeds/ 
backings</t>
  </si>
  <si>
    <t>External work</t>
  </si>
  <si>
    <t>M20: Plastered/Rendered/Roughcast/ Coatings</t>
  </si>
  <si>
    <t>15mm thick cement and sand (1:5) smooth rendering to:</t>
  </si>
  <si>
    <t>Ditto not exceeding 300mm girth including dressing 
the arrises</t>
  </si>
  <si>
    <t>Capping on canopy and outdoor wall</t>
  </si>
  <si>
    <t>Dressing of groves on wall</t>
  </si>
  <si>
    <t>WALL FINISHES CONT'D</t>
  </si>
  <si>
    <t>Precast concrete band</t>
  </si>
  <si>
    <t>Vibrated Concrete (1:2:4 - 19mm aggregate)</t>
  </si>
  <si>
    <t>Wall band</t>
  </si>
  <si>
    <t>Waterock stones tiles bedded and jointed in cement and sand (1:3) screeded backing (measured separately) and well pointed on walls</t>
  </si>
  <si>
    <t xml:space="preserve">Wall tiles </t>
  </si>
  <si>
    <t>Cement Floating</t>
  </si>
  <si>
    <t>Prepare and apply ''aduplan'' or other equal and approved wall floating material mix with portland cement on rendered walls</t>
  </si>
  <si>
    <t>Prepare and apply two finishing coats of Dulux weather sheild paint on:</t>
  </si>
  <si>
    <t>page /17</t>
  </si>
  <si>
    <t>page /18</t>
  </si>
  <si>
    <t>Carried to summary</t>
  </si>
  <si>
    <t>Element Nr. 12</t>
  </si>
  <si>
    <t>FLOOR FINISHES</t>
  </si>
  <si>
    <t>M40: Stone/Concrete Quarry/Ceramic tilling/Mosaic</t>
  </si>
  <si>
    <t>8mm unglazed tiles ( toilets)</t>
  </si>
  <si>
    <t>Fully vitrified ceramic tiles of approved colour bedded and jointed in cement and sand floated bed (measured separately) with and including pointing with matching cement mortar on:</t>
  </si>
  <si>
    <t>Ditto skirting 75mm high</t>
  </si>
  <si>
    <t>8mm glazed floor tiles (Guest room)</t>
  </si>
  <si>
    <t>Vitrified tiles of approved colour bedded and jointed in cement and sand floated bed (measured separately) with and including pointing with matching cement mortar on:</t>
  </si>
  <si>
    <t>6mm glazed floor tiles (lounge/dinning /lobby)</t>
  </si>
  <si>
    <t>M50: Rubber/Plastics/Cork/Lino/ Carpet tiling sheeting</t>
  </si>
  <si>
    <t>Wooden finished tiles</t>
  </si>
  <si>
    <t>8mm unglazed wooden floor tiles ( Terrace &amp; Balcony)</t>
  </si>
  <si>
    <t>42mm floated bed to receive floor tiles</t>
  </si>
  <si>
    <t>Element Nr. 13</t>
  </si>
  <si>
    <t>CEILING FINISHES</t>
  </si>
  <si>
    <t>Internal and External works</t>
  </si>
  <si>
    <t>15mm thick rendering finished fair and smooth on:</t>
  </si>
  <si>
    <t>Soffit of suspended floor slab</t>
  </si>
  <si>
    <t>Plaster Board Ceiling complete with fixing accessories</t>
  </si>
  <si>
    <t>G20: Carpentary/Timber framing/ First fixing</t>
  </si>
  <si>
    <t>Sawn Treated Hardwood</t>
  </si>
  <si>
    <t>50 x 50mm noggins</t>
  </si>
  <si>
    <t>Prepare, prime and apply two coats of emulsion paint on:</t>
  </si>
  <si>
    <t>Soffits of suspended POP board</t>
  </si>
  <si>
    <t>Element Nr. 14</t>
  </si>
  <si>
    <t>MECHANICAL INSTALLATIONS</t>
  </si>
  <si>
    <t>Plumbing Installations</t>
  </si>
  <si>
    <t>Water supply and Waste water installation</t>
  </si>
  <si>
    <t xml:space="preserve">3/4" GREEN PPR pipe </t>
  </si>
  <si>
    <t>length</t>
  </si>
  <si>
    <t>3/4" GREEN PPR elbow</t>
  </si>
  <si>
    <t>3/4" GREEN PPR tee</t>
  </si>
  <si>
    <t>3/4" GREEN PPR valve</t>
  </si>
  <si>
    <t>nos</t>
  </si>
  <si>
    <t>3/4"x1/2" GREEN PPR elbow</t>
  </si>
  <si>
    <t>3/4"x1/2" GREEN PPR tee</t>
  </si>
  <si>
    <t>3/4" socket</t>
  </si>
  <si>
    <t>3/4" plug</t>
  </si>
  <si>
    <t xml:space="preserve">1/2" GREEN PPR pipe </t>
  </si>
  <si>
    <t>1/2" GREEN PPR elbow</t>
  </si>
  <si>
    <t>1/2" GREEN PPR tee</t>
  </si>
  <si>
    <t>1/2" GREEN PPR Female Threaded elbow</t>
  </si>
  <si>
    <t>1/2" socket</t>
  </si>
  <si>
    <t>1/2" Plug</t>
  </si>
  <si>
    <t>1/2" GREEN PPR Male Threaded elbow</t>
  </si>
  <si>
    <t>1/2" GREEN PPR Male Threaded socket</t>
  </si>
  <si>
    <t>Thread Tape</t>
  </si>
  <si>
    <t>EXTERNAL</t>
  </si>
  <si>
    <t xml:space="preserve">1" GREEN PPR pipe </t>
  </si>
  <si>
    <t>1" GREEN PPR elbow</t>
  </si>
  <si>
    <t>pcs</t>
  </si>
  <si>
    <t>1" GREEN PPR tee</t>
  </si>
  <si>
    <t>1" x 3/4" Female Threaded Elbow</t>
  </si>
  <si>
    <t>1" x 3/4" Elbow</t>
  </si>
  <si>
    <t>3/4" Sweet Home Tap</t>
  </si>
  <si>
    <t>1" Socket</t>
  </si>
  <si>
    <t>1" x 3/4" Tee</t>
  </si>
  <si>
    <t>1" Male Threaded Socket</t>
  </si>
  <si>
    <t>4" PVC Pipe (4bar)</t>
  </si>
  <si>
    <t>Length</t>
  </si>
  <si>
    <t>4" x 90 PVC bend</t>
  </si>
  <si>
    <t>4" x 45 PVC bend</t>
  </si>
  <si>
    <t>4"  PVC Y tee</t>
  </si>
  <si>
    <t>4"x2"  PVC Y tee</t>
  </si>
  <si>
    <t>4" PVC tee</t>
  </si>
  <si>
    <t>2" PVC  Pipe (6bar)</t>
  </si>
  <si>
    <t>2x90 degree bend</t>
  </si>
  <si>
    <t>2x45 degree bend</t>
  </si>
  <si>
    <t>2" pvc y tee</t>
  </si>
  <si>
    <t>Big Agro gum</t>
  </si>
  <si>
    <t>tin</t>
  </si>
  <si>
    <t>4" Chip</t>
  </si>
  <si>
    <t>X</t>
  </si>
  <si>
    <t>4" Floor Drain</t>
  </si>
  <si>
    <t>Y</t>
  </si>
  <si>
    <t>2" Floor Drain</t>
  </si>
  <si>
    <t>Labour (Pipping)</t>
  </si>
  <si>
    <t>MECHANICAL INSTALLATIONS continued ...</t>
  </si>
  <si>
    <t>Plumbing Fittings</t>
  </si>
  <si>
    <t>Supply, assemble and fix the following sanitary appliances and accessories, including all joints to cold water supply and discharge pipes.</t>
  </si>
  <si>
    <t>close coupled WC complete with soft close seat and cover.</t>
  </si>
  <si>
    <t>nr</t>
  </si>
  <si>
    <t xml:space="preserve">WHB suite complete with </t>
  </si>
  <si>
    <t xml:space="preserve">Master WHB suite complete with </t>
  </si>
  <si>
    <t>Remer basin mixer</t>
  </si>
  <si>
    <t>Eago or equal and approved 1700x700mm fibre bath tub complete with 38mm bath waste, telephone shower, waste plug and chain and bath mixer</t>
  </si>
  <si>
    <t>Ditto Complete Jacuzzi Bath</t>
  </si>
  <si>
    <t>1200mm fixed glass cubicle</t>
  </si>
  <si>
    <t>1500mm fixed glass cubicle</t>
  </si>
  <si>
    <t>1800mm fixed glass cubicle</t>
  </si>
  <si>
    <t>Conceal Bath mixer and shower pole</t>
  </si>
  <si>
    <t>Ariston water heater 30 Ltr</t>
  </si>
  <si>
    <t>Set of accessories comprising:Soap dish, Toilet roll holder, Towel rail, hook and cup</t>
  </si>
  <si>
    <t>Mirror size 1200 x 900mm complete with clips and screws for mounting to wall.</t>
  </si>
  <si>
    <t>Mirror size 900 x 900mm complete with clips and screws for mounting to wall.</t>
  </si>
  <si>
    <t xml:space="preserve">Double bowl and double tray sink </t>
  </si>
  <si>
    <t>Complete wc Basin, pedler{cover bath}</t>
  </si>
  <si>
    <t>Pam connector</t>
  </si>
  <si>
    <t>silicon gum (clear)</t>
  </si>
  <si>
    <t>floor drain{foreign}</t>
  </si>
  <si>
    <t>floor drain{foreign} in Balcony</t>
  </si>
  <si>
    <t>1/2'' male &amp; female G.I socket</t>
  </si>
  <si>
    <t>1/2'' GREEN PPR nipples</t>
  </si>
  <si>
    <t>1/2'' GREEN PPR elbow</t>
  </si>
  <si>
    <t>1/2'' GREEN PPR socket</t>
  </si>
  <si>
    <t>1/2'' flexible connector</t>
  </si>
  <si>
    <t>1/2'' Angle valve</t>
  </si>
  <si>
    <t xml:space="preserve">2'' magic wate </t>
  </si>
  <si>
    <t>Single tap Hoster toilet basin</t>
  </si>
  <si>
    <t>piller tap for kitchen mixer</t>
  </si>
  <si>
    <t>shower mmixer complete</t>
  </si>
  <si>
    <t>3/4" hoses tap</t>
  </si>
  <si>
    <t>Z</t>
  </si>
  <si>
    <t>9kg `Angus' Carbon-dioxide (CO2)  fire extinguisher to BS 1382 complete with holder bracket mounted on blockwork or concretework</t>
  </si>
  <si>
    <t>Labour</t>
  </si>
  <si>
    <t>page /21</t>
  </si>
  <si>
    <t>page /22</t>
  </si>
  <si>
    <t>PLUMBING INSTALLATIONS</t>
  </si>
  <si>
    <t>Element Nr. 15</t>
  </si>
  <si>
    <t>E;ECTRICAL INSTALLATIONS</t>
  </si>
  <si>
    <t>ELECTRICAL INSTALLATIONS</t>
  </si>
  <si>
    <t>SUMMARY</t>
  </si>
  <si>
    <t>MAIN BUILDING</t>
  </si>
  <si>
    <t>Carried to General Summary</t>
  </si>
  <si>
    <t>Net construction cost</t>
  </si>
  <si>
    <t>Add</t>
  </si>
  <si>
    <t>Prelims @ 5%</t>
  </si>
  <si>
    <t>VAT @ 7.5%</t>
  </si>
  <si>
    <t>TOTAL ESTIMATE</t>
  </si>
  <si>
    <t>GFA</t>
  </si>
  <si>
    <t>M2</t>
  </si>
  <si>
    <t>COST/M2</t>
  </si>
  <si>
    <t>Ditto oversite</t>
  </si>
  <si>
    <t>Column bases</t>
  </si>
  <si>
    <t>20mm diameter bar</t>
  </si>
  <si>
    <t>BRC Fabric mesh reinforcement to BS 4483 ref.No A.142 weighing 2.22kg/sq.m lapped 200mm at all joints in:</t>
  </si>
  <si>
    <t>Bed</t>
  </si>
  <si>
    <t>Sides of column bases</t>
  </si>
  <si>
    <t>Sides of columns</t>
  </si>
  <si>
    <t xml:space="preserve">Sides of steps </t>
  </si>
  <si>
    <t xml:space="preserve">Foundation </t>
  </si>
  <si>
    <t>150mm horizontal bed</t>
  </si>
  <si>
    <t>High yield deformed bars to BS 4449 in column bases and column</t>
  </si>
  <si>
    <t>25mm diameter bar</t>
  </si>
  <si>
    <t>16mm diameter bars in roof beam</t>
  </si>
  <si>
    <t>100 x 50mm king post</t>
  </si>
  <si>
    <t xml:space="preserve">Door size 900 x 2100mm high </t>
  </si>
  <si>
    <t xml:space="preserve">Door size 1200 x 210mm high </t>
  </si>
  <si>
    <t>Ditto 600 x 1800mm high</t>
  </si>
  <si>
    <t>Window size 1500 x 1800mm high</t>
  </si>
  <si>
    <t>Ditto 600 x 600mm high</t>
  </si>
  <si>
    <t>Ditto 1200 x 1800mm high</t>
  </si>
  <si>
    <t>Supply and fix sliding  Door</t>
  </si>
  <si>
    <t>Ditto 900x2100mm high</t>
  </si>
  <si>
    <t>Ditto 750x2100mm high</t>
  </si>
  <si>
    <t>Toilet walls</t>
  </si>
  <si>
    <t xml:space="preserve">8mm glazed floor tiles (Master bedroom </t>
  </si>
  <si>
    <t xml:space="preserve">8mm glazed floor tiles (bedrooms </t>
  </si>
  <si>
    <t>8mm glazed floor tiles (maids room)</t>
  </si>
  <si>
    <t>8mm unglazed floor tiles (kitchen/store floor)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</si>
</sst>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#,##0.00;[Red]#,##0.00"/>
    <numFmt numFmtId="167" formatCode="#,##0;[Red]#,##0"/>
    <numFmt numFmtId="168" formatCode="_(&quot;$&quot;* #,##0.00_);_(&quot;$&quot;* \(#,##0.00\);_(&quot;$&quot;* &quot;-&quot;??_);_(@_)"/>
    <numFmt numFmtId="169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mic Sans MS"/>
      <family val="4"/>
    </font>
    <font>
      <b/>
      <u/>
      <sz val="10"/>
      <name val="Comic Sans MS"/>
      <family val="4"/>
    </font>
    <font>
      <i/>
      <sz val="10"/>
      <name val="Comic Sans MS"/>
      <family val="4"/>
    </font>
    <font>
      <b/>
      <sz val="10"/>
      <name val="Comic Sans MS"/>
      <family val="4"/>
    </font>
    <font>
      <vertAlign val="superscript"/>
      <sz val="10"/>
      <name val="Comic Sans MS"/>
      <family val="4"/>
    </font>
    <font>
      <u/>
      <sz val="10"/>
      <name val="Comic Sans MS"/>
      <family val="4"/>
    </font>
    <font>
      <b/>
      <i/>
      <sz val="10"/>
      <name val="Comic Sans MS"/>
      <family val="4"/>
    </font>
    <font>
      <sz val="10"/>
      <color rgb="FFFF0000"/>
      <name val="Comic Sans MS"/>
      <family val="4"/>
    </font>
    <font>
      <b/>
      <sz val="10"/>
      <color rgb="FFFF0000"/>
      <name val="Comic Sans MS"/>
      <family val="4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1"/>
      <name val="Comic Sans MS"/>
      <family val="4"/>
    </font>
    <font>
      <u/>
      <sz val="11"/>
      <name val="Comic Sans MS"/>
      <family val="4"/>
    </font>
    <font>
      <i/>
      <sz val="1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48118533890809E-2"/>
      </top>
      <bottom style="thin">
        <color theme="2" tint="-9.9917600024414813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</cellStyleXfs>
  <cellXfs count="117">
    <xf numFmtId="0" fontId="0" fillId="0" borderId="0" xfId="0"/>
    <xf numFmtId="9" fontId="3" fillId="0" borderId="0" xfId="2" applyFont="1" applyFill="1" applyBorder="1" applyAlignment="1">
      <alignment horizontal="center" vertical="center"/>
    </xf>
    <xf numFmtId="9" fontId="4" fillId="0" borderId="0" xfId="2" applyFont="1" applyFill="1" applyBorder="1" applyAlignment="1">
      <alignment vertical="center"/>
    </xf>
    <xf numFmtId="0" fontId="3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164" fontId="5" fillId="0" borderId="0" xfId="1" applyFont="1" applyAlignment="1">
      <alignment horizontal="right" vertical="center"/>
    </xf>
    <xf numFmtId="164" fontId="3" fillId="0" borderId="0" xfId="1" applyFont="1" applyAlignment="1">
      <alignment vertical="center"/>
    </xf>
    <xf numFmtId="0" fontId="6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0" xfId="3" applyFont="1" applyAlignment="1">
      <alignment horizontal="left" vertical="center"/>
    </xf>
    <xf numFmtId="4" fontId="3" fillId="0" borderId="0" xfId="4" applyNumberFormat="1" applyFont="1" applyFill="1" applyAlignment="1">
      <alignment horizontal="center" vertical="center"/>
    </xf>
    <xf numFmtId="164" fontId="3" fillId="0" borderId="0" xfId="1" applyFont="1" applyFill="1" applyAlignment="1">
      <alignment horizontal="right" vertical="center"/>
    </xf>
    <xf numFmtId="164" fontId="2" fillId="0" borderId="0" xfId="1" applyFont="1" applyAlignment="1">
      <alignment vertical="center"/>
    </xf>
    <xf numFmtId="0" fontId="2" fillId="0" borderId="0" xfId="3" applyAlignment="1">
      <alignment vertical="center"/>
    </xf>
    <xf numFmtId="0" fontId="3" fillId="0" borderId="0" xfId="3" applyFont="1" applyAlignment="1">
      <alignment horizontal="justify" vertical="center" wrapText="1"/>
    </xf>
    <xf numFmtId="165" fontId="3" fillId="0" borderId="0" xfId="5" applyNumberFormat="1" applyFont="1" applyFill="1" applyBorder="1" applyAlignment="1">
      <alignment vertical="center"/>
    </xf>
    <xf numFmtId="4" fontId="3" fillId="0" borderId="0" xfId="6" applyNumberFormat="1" applyFont="1" applyFill="1" applyBorder="1" applyAlignment="1">
      <alignment horizontal="center" vertical="center"/>
    </xf>
    <xf numFmtId="166" fontId="5" fillId="0" borderId="0" xfId="6" applyNumberFormat="1" applyFont="1" applyFill="1" applyBorder="1" applyAlignment="1">
      <alignment vertical="center"/>
    </xf>
    <xf numFmtId="1" fontId="3" fillId="0" borderId="0" xfId="3" applyNumberFormat="1" applyFont="1" applyAlignment="1">
      <alignment vertical="center"/>
    </xf>
    <xf numFmtId="0" fontId="3" fillId="0" borderId="0" xfId="3" applyFont="1" applyAlignment="1">
      <alignment vertical="center" wrapText="1"/>
    </xf>
    <xf numFmtId="165" fontId="3" fillId="0" borderId="0" xfId="5" applyNumberFormat="1" applyFont="1" applyFill="1" applyAlignment="1">
      <alignment horizontal="center" vertical="center"/>
    </xf>
    <xf numFmtId="4" fontId="3" fillId="0" borderId="0" xfId="6" applyNumberFormat="1" applyFont="1" applyFill="1" applyAlignment="1">
      <alignment horizontal="center" vertical="center"/>
    </xf>
    <xf numFmtId="0" fontId="8" fillId="0" borderId="0" xfId="3" applyFont="1" applyAlignment="1">
      <alignment vertical="center"/>
    </xf>
    <xf numFmtId="167" fontId="5" fillId="0" borderId="0" xfId="6" applyNumberFormat="1" applyFont="1" applyFill="1" applyBorder="1" applyAlignment="1">
      <alignment vertical="center"/>
    </xf>
    <xf numFmtId="0" fontId="6" fillId="0" borderId="0" xfId="3" applyFont="1" applyAlignment="1">
      <alignment vertical="center"/>
    </xf>
    <xf numFmtId="4" fontId="6" fillId="0" borderId="0" xfId="6" applyNumberFormat="1" applyFont="1" applyFill="1" applyBorder="1" applyAlignment="1">
      <alignment horizontal="right" vertical="center"/>
    </xf>
    <xf numFmtId="164" fontId="9" fillId="0" borderId="0" xfId="1" applyFont="1" applyFill="1" applyBorder="1" applyAlignment="1">
      <alignment horizontal="right" vertical="center"/>
    </xf>
    <xf numFmtId="4" fontId="6" fillId="0" borderId="0" xfId="3" applyNumberFormat="1" applyFont="1" applyAlignment="1">
      <alignment horizontal="center" vertical="center"/>
    </xf>
    <xf numFmtId="164" fontId="9" fillId="0" borderId="0" xfId="1" applyFont="1" applyAlignment="1">
      <alignment horizontal="right" vertical="center"/>
    </xf>
    <xf numFmtId="0" fontId="8" fillId="0" borderId="0" xfId="3" applyFont="1" applyAlignment="1">
      <alignment vertical="center" wrapText="1"/>
    </xf>
    <xf numFmtId="0" fontId="6" fillId="0" borderId="0" xfId="3" applyFont="1" applyAlignment="1">
      <alignment horizontal="left" vertical="center"/>
    </xf>
    <xf numFmtId="4" fontId="3" fillId="0" borderId="0" xfId="4" applyNumberFormat="1" applyFont="1" applyFill="1" applyBorder="1" applyAlignment="1">
      <alignment horizontal="center" vertical="center"/>
    </xf>
    <xf numFmtId="4" fontId="6" fillId="0" borderId="0" xfId="6" applyNumberFormat="1" applyFont="1" applyFill="1" applyBorder="1" applyAlignment="1">
      <alignment horizontal="center" vertical="center"/>
    </xf>
    <xf numFmtId="0" fontId="8" fillId="0" borderId="0" xfId="3" applyFont="1" applyAlignment="1">
      <alignment horizontal="justify" vertical="center" wrapText="1"/>
    </xf>
    <xf numFmtId="166" fontId="5" fillId="0" borderId="0" xfId="3" applyNumberFormat="1" applyFont="1" applyAlignment="1">
      <alignment vertical="center"/>
    </xf>
    <xf numFmtId="0" fontId="3" fillId="0" borderId="0" xfId="3" applyFont="1" applyAlignment="1">
      <alignment horizontal="right" vertical="center"/>
    </xf>
    <xf numFmtId="0" fontId="6" fillId="0" borderId="0" xfId="3" applyFont="1" applyAlignment="1">
      <alignment horizontal="right" vertical="center"/>
    </xf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vertical="center" wrapText="1"/>
    </xf>
    <xf numFmtId="164" fontId="6" fillId="0" borderId="0" xfId="1" applyFont="1" applyAlignment="1">
      <alignment horizontal="right" vertical="center"/>
    </xf>
    <xf numFmtId="165" fontId="3" fillId="0" borderId="0" xfId="3" applyNumberFormat="1" applyFont="1" applyAlignment="1">
      <alignment vertical="center"/>
    </xf>
    <xf numFmtId="164" fontId="3" fillId="0" borderId="0" xfId="1" applyFont="1" applyAlignment="1">
      <alignment horizontal="center" vertical="center"/>
    </xf>
    <xf numFmtId="0" fontId="3" fillId="0" borderId="0" xfId="3" applyFont="1" applyAlignment="1">
      <alignment horizontal="left" vertical="center" wrapText="1"/>
    </xf>
    <xf numFmtId="0" fontId="4" fillId="0" borderId="0" xfId="3" applyFont="1" applyAlignment="1">
      <alignment horizontal="left" vertical="center" wrapText="1"/>
    </xf>
    <xf numFmtId="0" fontId="6" fillId="0" borderId="0" xfId="3" applyFont="1" applyAlignment="1">
      <alignment vertical="center" wrapText="1"/>
    </xf>
    <xf numFmtId="0" fontId="8" fillId="0" borderId="0" xfId="3" applyFont="1" applyAlignment="1">
      <alignment horizontal="left" vertical="center" wrapText="1"/>
    </xf>
    <xf numFmtId="4" fontId="3" fillId="0" borderId="0" xfId="7" applyNumberFormat="1" applyFont="1" applyFill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64" fontId="5" fillId="0" borderId="0" xfId="1" applyFont="1" applyFill="1" applyBorder="1" applyAlignment="1">
      <alignment horizontal="right" vertical="center"/>
    </xf>
    <xf numFmtId="0" fontId="8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4" fontId="3" fillId="0" borderId="0" xfId="3" applyNumberFormat="1" applyFont="1" applyAlignment="1">
      <alignment horizontal="center" vertical="center" wrapText="1"/>
    </xf>
    <xf numFmtId="164" fontId="5" fillId="0" borderId="0" xfId="1" applyFont="1" applyAlignment="1">
      <alignment horizontal="right" vertical="center" wrapText="1"/>
    </xf>
    <xf numFmtId="164" fontId="3" fillId="0" borderId="0" xfId="1" applyFont="1" applyFill="1" applyBorder="1" applyAlignment="1">
      <alignment vertical="center"/>
    </xf>
    <xf numFmtId="16" fontId="3" fillId="0" borderId="0" xfId="3" applyNumberFormat="1" applyFont="1" applyAlignment="1">
      <alignment horizontal="right" vertical="center"/>
    </xf>
    <xf numFmtId="16" fontId="3" fillId="0" borderId="0" xfId="3" quotePrefix="1" applyNumberFormat="1" applyFont="1" applyAlignment="1">
      <alignment horizontal="right" vertical="center"/>
    </xf>
    <xf numFmtId="164" fontId="3" fillId="0" borderId="0" xfId="3" applyNumberFormat="1" applyFont="1" applyAlignment="1">
      <alignment vertical="center"/>
    </xf>
    <xf numFmtId="16" fontId="8" fillId="0" borderId="0" xfId="3" applyNumberFormat="1" applyFont="1" applyAlignment="1">
      <alignment horizontal="left" vertical="center" wrapText="1"/>
    </xf>
    <xf numFmtId="16" fontId="3" fillId="0" borderId="0" xfId="3" applyNumberFormat="1" applyFont="1" applyAlignment="1">
      <alignment horizontal="left" vertical="center"/>
    </xf>
    <xf numFmtId="16" fontId="3" fillId="0" borderId="0" xfId="3" quotePrefix="1" applyNumberFormat="1" applyFont="1" applyAlignment="1">
      <alignment horizontal="left" vertical="center"/>
    </xf>
    <xf numFmtId="0" fontId="10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164" fontId="3" fillId="0" borderId="0" xfId="1" applyFont="1" applyFill="1" applyAlignment="1">
      <alignment vertical="center"/>
    </xf>
    <xf numFmtId="2" fontId="3" fillId="0" borderId="0" xfId="3" applyNumberFormat="1" applyFont="1" applyAlignment="1">
      <alignment vertical="center"/>
    </xf>
    <xf numFmtId="166" fontId="3" fillId="0" borderId="0" xfId="3" applyNumberFormat="1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5" fontId="3" fillId="0" borderId="0" xfId="5" applyNumberFormat="1" applyFont="1" applyFill="1" applyAlignment="1">
      <alignment vertical="center"/>
    </xf>
    <xf numFmtId="0" fontId="3" fillId="0" borderId="0" xfId="3" applyFont="1"/>
    <xf numFmtId="1" fontId="3" fillId="0" borderId="0" xfId="1" applyNumberFormat="1" applyFont="1" applyFill="1" applyBorder="1" applyAlignment="1">
      <alignment vertical="center"/>
    </xf>
    <xf numFmtId="164" fontId="8" fillId="0" borderId="0" xfId="4" applyFont="1" applyFill="1" applyAlignment="1">
      <alignment horizontal="left" vertical="center"/>
    </xf>
    <xf numFmtId="169" fontId="3" fillId="0" borderId="0" xfId="3" applyNumberFormat="1" applyFont="1" applyAlignment="1">
      <alignment vertical="center"/>
    </xf>
    <xf numFmtId="164" fontId="3" fillId="0" borderId="0" xfId="1" applyFont="1" applyFill="1" applyBorder="1" applyAlignment="1">
      <alignment horizontal="right" vertical="center"/>
    </xf>
    <xf numFmtId="169" fontId="11" fillId="0" borderId="0" xfId="1" applyNumberFormat="1" applyFont="1" applyFill="1" applyAlignment="1">
      <alignment vertical="center"/>
    </xf>
    <xf numFmtId="164" fontId="6" fillId="0" borderId="0" xfId="1" applyFont="1" applyBorder="1" applyAlignment="1">
      <alignment horizontal="right" vertical="center"/>
    </xf>
    <xf numFmtId="164" fontId="9" fillId="0" borderId="0" xfId="1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169" fontId="3" fillId="0" borderId="0" xfId="1" applyNumberFormat="1" applyFont="1" applyFill="1" applyAlignment="1">
      <alignment vertical="center"/>
    </xf>
    <xf numFmtId="164" fontId="12" fillId="0" borderId="0" xfId="0" applyNumberFormat="1" applyFont="1" applyAlignment="1">
      <alignment horizontal="right"/>
    </xf>
    <xf numFmtId="164" fontId="12" fillId="0" borderId="0" xfId="1" applyFont="1" applyAlignment="1">
      <alignment horizontal="right"/>
    </xf>
    <xf numFmtId="164" fontId="12" fillId="0" borderId="0" xfId="1" applyFont="1"/>
    <xf numFmtId="0" fontId="13" fillId="0" borderId="0" xfId="0" applyFont="1"/>
    <xf numFmtId="169" fontId="3" fillId="0" borderId="0" xfId="1" applyNumberFormat="1" applyFont="1" applyFill="1" applyAlignment="1">
      <alignment horizontal="right" vertical="center"/>
    </xf>
    <xf numFmtId="1" fontId="12" fillId="0" borderId="0" xfId="0" applyNumberFormat="1" applyFont="1"/>
    <xf numFmtId="164" fontId="13" fillId="0" borderId="0" xfId="0" applyNumberFormat="1" applyFont="1" applyAlignment="1">
      <alignment horizontal="right"/>
    </xf>
    <xf numFmtId="164" fontId="13" fillId="0" borderId="0" xfId="1" applyFont="1" applyAlignment="1">
      <alignment horizontal="right"/>
    </xf>
    <xf numFmtId="4" fontId="3" fillId="0" borderId="0" xfId="3" applyNumberFormat="1" applyFont="1" applyAlignment="1">
      <alignment vertical="center"/>
    </xf>
    <xf numFmtId="169" fontId="12" fillId="0" borderId="0" xfId="1" applyNumberFormat="1" applyFont="1" applyFill="1" applyAlignment="1">
      <alignment vertical="center"/>
    </xf>
    <xf numFmtId="4" fontId="3" fillId="0" borderId="0" xfId="3" applyNumberFormat="1" applyFont="1" applyAlignment="1">
      <alignment horizontal="right" vertical="center"/>
    </xf>
    <xf numFmtId="0" fontId="3" fillId="2" borderId="1" xfId="8" applyFont="1" applyFill="1" applyBorder="1"/>
    <xf numFmtId="164" fontId="12" fillId="0" borderId="0" xfId="1" applyFont="1" applyAlignment="1" applyProtection="1">
      <protection locked="0"/>
    </xf>
    <xf numFmtId="164" fontId="12" fillId="0" borderId="0" xfId="0" applyNumberFormat="1" applyFont="1"/>
    <xf numFmtId="0" fontId="12" fillId="0" borderId="0" xfId="0" applyFont="1" applyAlignment="1">
      <alignment horizontal="center" wrapText="1"/>
    </xf>
    <xf numFmtId="0" fontId="12" fillId="0" borderId="2" xfId="0" applyFont="1" applyBorder="1" applyAlignment="1">
      <alignment horizontal="center"/>
    </xf>
    <xf numFmtId="169" fontId="10" fillId="0" borderId="0" xfId="1" applyNumberFormat="1" applyFont="1" applyFill="1" applyAlignment="1">
      <alignment vertical="center"/>
    </xf>
    <xf numFmtId="164" fontId="5" fillId="0" borderId="0" xfId="1" applyFont="1" applyBorder="1" applyAlignment="1">
      <alignment horizontal="right" vertical="center"/>
    </xf>
    <xf numFmtId="164" fontId="3" fillId="0" borderId="0" xfId="1" applyFont="1" applyBorder="1" applyAlignment="1">
      <alignment horizontal="right" vertical="center"/>
    </xf>
    <xf numFmtId="164" fontId="3" fillId="0" borderId="0" xfId="1" applyFont="1" applyBorder="1" applyAlignment="1">
      <alignment vertical="center"/>
    </xf>
    <xf numFmtId="164" fontId="4" fillId="0" borderId="0" xfId="1" applyFont="1" applyAlignment="1">
      <alignment horizontal="right" vertical="center" wrapText="1"/>
    </xf>
    <xf numFmtId="164" fontId="3" fillId="0" borderId="0" xfId="1" applyFont="1" applyAlignment="1">
      <alignment horizontal="right" vertical="center"/>
    </xf>
    <xf numFmtId="164" fontId="5" fillId="0" borderId="0" xfId="1" applyFont="1" applyAlignment="1">
      <alignment horizontal="center" vertical="center"/>
    </xf>
    <xf numFmtId="0" fontId="3" fillId="0" borderId="0" xfId="3" quotePrefix="1" applyFont="1" applyAlignment="1">
      <alignment vertical="center"/>
    </xf>
    <xf numFmtId="0" fontId="3" fillId="0" borderId="0" xfId="3" quotePrefix="1" applyFont="1" applyAlignment="1">
      <alignment horizontal="center" vertical="center"/>
    </xf>
    <xf numFmtId="166" fontId="9" fillId="0" borderId="3" xfId="6" applyNumberFormat="1" applyFont="1" applyFill="1" applyBorder="1" applyAlignment="1">
      <alignment vertical="center"/>
    </xf>
    <xf numFmtId="166" fontId="6" fillId="0" borderId="0" xfId="6" applyNumberFormat="1" applyFont="1" applyFill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right" vertical="center"/>
    </xf>
    <xf numFmtId="4" fontId="9" fillId="0" borderId="4" xfId="6" applyNumberFormat="1" applyFont="1" applyFill="1" applyBorder="1" applyAlignment="1">
      <alignment horizontal="center" vertical="center"/>
    </xf>
    <xf numFmtId="4" fontId="6" fillId="0" borderId="5" xfId="6" applyNumberFormat="1" applyFont="1" applyFill="1" applyBorder="1" applyAlignment="1">
      <alignment horizontal="center" vertical="center"/>
    </xf>
    <xf numFmtId="4" fontId="6" fillId="0" borderId="3" xfId="6" applyNumberFormat="1" applyFont="1" applyFill="1" applyBorder="1" applyAlignment="1">
      <alignment horizontal="center" vertical="center"/>
    </xf>
    <xf numFmtId="4" fontId="9" fillId="0" borderId="0" xfId="6" applyNumberFormat="1" applyFont="1" applyFill="1" applyBorder="1" applyAlignment="1">
      <alignment horizontal="center" vertical="center"/>
    </xf>
    <xf numFmtId="164" fontId="6" fillId="0" borderId="0" xfId="1" applyFont="1" applyAlignment="1">
      <alignment vertical="center"/>
    </xf>
    <xf numFmtId="0" fontId="14" fillId="0" borderId="0" xfId="3" applyFont="1" applyAlignment="1">
      <alignment vertical="center"/>
    </xf>
    <xf numFmtId="0" fontId="15" fillId="0" borderId="0" xfId="3" applyFont="1" applyAlignment="1">
      <alignment vertical="center" wrapText="1"/>
    </xf>
    <xf numFmtId="0" fontId="14" fillId="0" borderId="0" xfId="3" applyFont="1" applyAlignment="1">
      <alignment horizontal="center" vertical="center"/>
    </xf>
    <xf numFmtId="166" fontId="16" fillId="0" borderId="0" xfId="6" applyNumberFormat="1" applyFont="1" applyAlignment="1">
      <alignment vertical="center"/>
    </xf>
  </cellXfs>
  <cellStyles count="9">
    <cellStyle name="Comma" xfId="1" builtinId="3"/>
    <cellStyle name="Comma 13" xfId="5" xr:uid="{9B7EDA7E-EF0F-47C5-A441-C1DDC70E9718}"/>
    <cellStyle name="Comma 2" xfId="6" xr:uid="{BDDCD866-2F87-483B-A333-64BC0B93EEC8}"/>
    <cellStyle name="Comma 3" xfId="4" xr:uid="{EDDEA6B2-6CDE-48D1-A715-2C9EA776E100}"/>
    <cellStyle name="Currency 2" xfId="7" xr:uid="{FC9C01A8-3124-44CD-8B63-1E435C70E32D}"/>
    <cellStyle name="Normal" xfId="0" builtinId="0"/>
    <cellStyle name="Normal 2" xfId="3" xr:uid="{459CFD82-93C0-438E-9FE4-DD64E0334B5A}"/>
    <cellStyle name="Normal 9" xfId="8" xr:uid="{E7A9A0B5-27C3-45BF-890B-BF050D194C30}"/>
    <cellStyle name="Percent 2" xfId="2" xr:uid="{A4B34118-4386-460D-B76D-36AC319A71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sers/NANA%20FATIMA/Documents/YAHAYA%20ABUKUR%20DOCUMENTS/MANGAL%20PROJECT%20AT%20KADUNA/CONSTRUCTION%20OF%20BLOCK%20OF%20STUDENT%20HOSTEL%20AT%20NYSC%20%20CENTRE%20KATSIN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ojects/affordable%20housing/rental/614%20Longfellow%20Rental%20ProForma%20-%2020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dams\c-didams\My%20Documents\BON\Labour-fluct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/8000's/8148.00,%2004-%20Gewirz%20Grosvenor/FINANCIALS/FIN-RENTAL-AGGR-9.5%25-MPDU-MX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/ARCHIVES/Projects/7000-8000/01-7068.00%20Sunrise/01-7068.00%20EXHIBITS/Houston/Ex.%203%20Age%20Distribution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OLDMENU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M/IBD/Atlanta%20Region/ACQ_MORT/Equity/Multifamily/Sawyer%20Heights/Sawyer%20Heights%20MS%20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ED/Google%20Drive/QS%20Usman/USL/ASOKORO/BOQ/ASOKORO%20APPROVE%20BILL%20-%20RE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bubakar\Desktop\FCE%20OKENE%20PROJECTS\CONSTRUCTION%20OF%20BLOCK%20OF%20OFFICE%20AND%20CLASS%20AT%20FCE%20OKENE.%20AMMEND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6240.02,%2004-%20Toll%20Bros%20Loudoun/Toll%20Brothers%20market%20exhibits/employment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MANGAL%20PROJECT%20AT%20KADUNA\CONSTRUCTION%20OF%20BLOCK%20OF%20STUDENT%20HOSTEL%20AT%20NYSC%20%20CENTRE%20KATSINA%20WITH%20MINISTRY%20RAT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OTHER%20PROJECTS\EXPANSION%20OF%20SCH%20OF%20LANG%20%20LOTC%20VAL%20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actice%20Proforma/701%20Lamont%20-Debt-%20BB&amp;T%20Termsheet%20&amp;%20scenario%20analys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Atntbdc01/macstuff/CURRENT%20PROJECTS/01-7528.00RR%20LA%20BID/Exhibits/VI.%20Housing/Hous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cuments%20and%20Settings/user.OWNER/My%20Documents/My%20Documents/HIGH%20COURT%20V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/Documents%20and%20Settings/Marisa%20Gaither/Desktop/GDA%20Engagements/The%20Strand/The%20Strand.Revised%20SubmissionFinanci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-99 "/>
      <sheetName val="Oct-99"/>
      <sheetName val="Nov-99"/>
      <sheetName val="DECEMBER-99"/>
      <sheetName val="JAN-2000"/>
      <sheetName val="FEB-2000"/>
      <sheetName val="MARCH-2000"/>
      <sheetName val="APRIL-2000"/>
      <sheetName val="MAY-2000 "/>
      <sheetName val="JUNE-2000"/>
      <sheetName val="JULY-2000 "/>
      <sheetName val="AUG,-2000 "/>
      <sheetName val="SEPT-2000 "/>
      <sheetName val="OCT-2000 "/>
      <sheetName val="Nov-2000 "/>
      <sheetName val="DEC-2000"/>
      <sheetName val="JAN-2001"/>
      <sheetName val="FEB-2001"/>
      <sheetName val="MARCH-200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Rate"/>
      <sheetName val="MPDU-14.8%"/>
      <sheetName val="Total"/>
      <sheetName val="Mode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."/>
      <sheetName val="Sheet1"/>
      <sheetName val="Sheet2"/>
      <sheetName val="ex_"/>
    </sheetNames>
    <sheetDataSet>
      <sheetData sheetId="0"/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G PRODUCT MENU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"/>
      <sheetName val="Assumptions"/>
      <sheetName val="Unit Mix"/>
      <sheetName val="Project Budget"/>
      <sheetName val="Monthly CF"/>
      <sheetName val="Quarterly CF"/>
      <sheetName val="Yearly CF"/>
      <sheetName val="OS"/>
      <sheetName val="Construction Schedule"/>
      <sheetName val="Construction Matrix"/>
    </sheetNames>
    <sheetDataSet>
      <sheetData sheetId="0"/>
      <sheetData sheetId="1"/>
      <sheetData sheetId="2">
        <row r="26">
          <cell r="G26">
            <v>325</v>
          </cell>
          <cell r="K26">
            <v>304852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 HERITAGE HEIGHT"/>
      <sheetName val="Type S-0"/>
      <sheetName val="Type S4"/>
      <sheetName val="Type S6"/>
      <sheetName val="Type S7"/>
      <sheetName val="Type A"/>
      <sheetName val="Type B1"/>
      <sheetName val="Type B2"/>
      <sheetName val="Type C"/>
      <sheetName val="Type D"/>
      <sheetName val="CONDOS"/>
      <sheetName val="S0 Elect"/>
      <sheetName val="EXT WRKS SUMRY"/>
      <sheetName val="RATE BUILD UP"/>
      <sheetName val="RATE ANALYSIS"/>
    </sheetNames>
    <sheetDataSet>
      <sheetData sheetId="0" refreshError="1"/>
      <sheetData sheetId="1" refreshError="1">
        <row r="9">
          <cell r="E9">
            <v>100</v>
          </cell>
        </row>
        <row r="10">
          <cell r="E10">
            <v>1200</v>
          </cell>
        </row>
        <row r="11">
          <cell r="E11">
            <v>1200</v>
          </cell>
        </row>
        <row r="13">
          <cell r="E13">
            <v>1200</v>
          </cell>
        </row>
        <row r="14">
          <cell r="E14">
            <v>150</v>
          </cell>
        </row>
        <row r="15">
          <cell r="E15">
            <v>450</v>
          </cell>
        </row>
        <row r="16">
          <cell r="E16">
            <v>400</v>
          </cell>
        </row>
        <row r="17">
          <cell r="E17">
            <v>3500</v>
          </cell>
        </row>
        <row r="18">
          <cell r="E18">
            <v>2500</v>
          </cell>
        </row>
        <row r="19">
          <cell r="E19">
            <v>150</v>
          </cell>
        </row>
        <row r="22">
          <cell r="E22">
            <v>2450</v>
          </cell>
        </row>
        <row r="25">
          <cell r="E25">
            <v>45000</v>
          </cell>
        </row>
        <row r="31">
          <cell r="E31">
            <v>45000</v>
          </cell>
        </row>
        <row r="36">
          <cell r="E36">
            <v>550</v>
          </cell>
        </row>
        <row r="49">
          <cell r="E49">
            <v>5500</v>
          </cell>
        </row>
        <row r="68">
          <cell r="E68">
            <v>500</v>
          </cell>
        </row>
        <row r="294">
          <cell r="E294">
            <v>30000</v>
          </cell>
        </row>
        <row r="306">
          <cell r="E306">
            <v>2000</v>
          </cell>
        </row>
        <row r="312">
          <cell r="E312">
            <v>200</v>
          </cell>
        </row>
        <row r="318">
          <cell r="E318">
            <v>1700</v>
          </cell>
        </row>
        <row r="333">
          <cell r="E333">
            <v>950</v>
          </cell>
        </row>
        <row r="343">
          <cell r="E343">
            <v>1100</v>
          </cell>
        </row>
        <row r="386">
          <cell r="E386">
            <v>550</v>
          </cell>
        </row>
        <row r="398">
          <cell r="E398">
            <v>5500</v>
          </cell>
        </row>
        <row r="411">
          <cell r="E411">
            <v>8500</v>
          </cell>
        </row>
        <row r="436">
          <cell r="E436">
            <v>5500</v>
          </cell>
        </row>
        <row r="442">
          <cell r="E442">
            <v>1700</v>
          </cell>
        </row>
        <row r="461">
          <cell r="E461">
            <v>15000</v>
          </cell>
        </row>
        <row r="463">
          <cell r="E463">
            <v>6500</v>
          </cell>
        </row>
        <row r="474">
          <cell r="E474">
            <v>1400</v>
          </cell>
        </row>
        <row r="509">
          <cell r="E509">
            <v>5200</v>
          </cell>
        </row>
        <row r="511">
          <cell r="E511">
            <v>5000</v>
          </cell>
        </row>
        <row r="584">
          <cell r="E584">
            <v>5200</v>
          </cell>
        </row>
        <row r="586">
          <cell r="E586">
            <v>5000</v>
          </cell>
        </row>
        <row r="626">
          <cell r="E626">
            <v>155000</v>
          </cell>
        </row>
        <row r="630">
          <cell r="E630">
            <v>155000</v>
          </cell>
        </row>
        <row r="669">
          <cell r="E669">
            <v>50000</v>
          </cell>
        </row>
        <row r="670">
          <cell r="E670">
            <v>20000</v>
          </cell>
        </row>
        <row r="671">
          <cell r="E671">
            <v>50000</v>
          </cell>
        </row>
        <row r="682">
          <cell r="E682">
            <v>6000</v>
          </cell>
        </row>
        <row r="685">
          <cell r="E685">
            <v>13000</v>
          </cell>
        </row>
        <row r="687">
          <cell r="E687">
            <v>13000</v>
          </cell>
        </row>
        <row r="699">
          <cell r="E699">
            <v>1700</v>
          </cell>
        </row>
        <row r="704">
          <cell r="E704">
            <v>950</v>
          </cell>
        </row>
        <row r="708">
          <cell r="E708">
            <v>1300</v>
          </cell>
        </row>
        <row r="712">
          <cell r="E712">
            <v>12000</v>
          </cell>
        </row>
        <row r="713">
          <cell r="E713">
            <v>9000</v>
          </cell>
        </row>
        <row r="716">
          <cell r="E716">
            <v>1800</v>
          </cell>
        </row>
        <row r="720">
          <cell r="E720">
            <v>1700</v>
          </cell>
        </row>
        <row r="721">
          <cell r="E721">
            <v>510</v>
          </cell>
        </row>
        <row r="730">
          <cell r="E730">
            <v>950</v>
          </cell>
        </row>
        <row r="731">
          <cell r="E731">
            <v>285</v>
          </cell>
        </row>
        <row r="735">
          <cell r="E735">
            <v>1650</v>
          </cell>
        </row>
        <row r="769">
          <cell r="E769">
            <v>9000</v>
          </cell>
        </row>
        <row r="771">
          <cell r="E771">
            <v>9500</v>
          </cell>
        </row>
        <row r="773">
          <cell r="E773">
            <v>9500</v>
          </cell>
        </row>
        <row r="776">
          <cell r="E776">
            <v>18000</v>
          </cell>
        </row>
        <row r="787">
          <cell r="E787">
            <v>12000</v>
          </cell>
        </row>
        <row r="788">
          <cell r="E788">
            <v>900</v>
          </cell>
        </row>
        <row r="793">
          <cell r="E793">
            <v>2800</v>
          </cell>
        </row>
        <row r="794">
          <cell r="E794">
            <v>450</v>
          </cell>
        </row>
        <row r="809">
          <cell r="E809">
            <v>12000</v>
          </cell>
        </row>
        <row r="812">
          <cell r="E812">
            <v>650</v>
          </cell>
        </row>
        <row r="816">
          <cell r="E816">
            <v>1300</v>
          </cell>
        </row>
        <row r="888">
          <cell r="E888">
            <v>134316.16935000001</v>
          </cell>
        </row>
        <row r="889">
          <cell r="E889">
            <v>35230.439750000005</v>
          </cell>
        </row>
        <row r="890">
          <cell r="E890">
            <v>70460.87950000001</v>
          </cell>
        </row>
        <row r="891">
          <cell r="E891">
            <v>38856.056250000001</v>
          </cell>
        </row>
        <row r="892">
          <cell r="E892">
            <v>139782.5</v>
          </cell>
        </row>
        <row r="893">
          <cell r="E893">
            <v>990000.00000000012</v>
          </cell>
        </row>
        <row r="896">
          <cell r="E896">
            <v>99645.315000000002</v>
          </cell>
        </row>
        <row r="897">
          <cell r="E897">
            <v>99251.900000000009</v>
          </cell>
        </row>
        <row r="898">
          <cell r="E898">
            <v>74508.5</v>
          </cell>
        </row>
        <row r="899">
          <cell r="E899">
            <v>30783.433450000004</v>
          </cell>
        </row>
        <row r="900">
          <cell r="E900">
            <v>74022.234000000011</v>
          </cell>
        </row>
        <row r="904">
          <cell r="E904">
            <v>3795.0000000000005</v>
          </cell>
        </row>
        <row r="905">
          <cell r="E905">
            <v>3162.5000000000005</v>
          </cell>
        </row>
        <row r="906">
          <cell r="E906">
            <v>4195.0182999999997</v>
          </cell>
        </row>
        <row r="907">
          <cell r="E907">
            <v>1100</v>
          </cell>
        </row>
        <row r="908">
          <cell r="E908">
            <v>5000</v>
          </cell>
        </row>
        <row r="909">
          <cell r="E909">
            <v>500</v>
          </cell>
        </row>
        <row r="910">
          <cell r="E910">
            <v>500</v>
          </cell>
        </row>
        <row r="911">
          <cell r="E911">
            <v>500</v>
          </cell>
        </row>
        <row r="912">
          <cell r="E912">
            <v>6250</v>
          </cell>
        </row>
        <row r="913">
          <cell r="E913">
            <v>3750</v>
          </cell>
        </row>
        <row r="914">
          <cell r="E914">
            <v>10000</v>
          </cell>
        </row>
        <row r="915">
          <cell r="E915">
            <v>11250</v>
          </cell>
        </row>
        <row r="917">
          <cell r="E917">
            <v>51562.500000000007</v>
          </cell>
        </row>
        <row r="918">
          <cell r="E918">
            <v>3125</v>
          </cell>
        </row>
        <row r="919">
          <cell r="E919">
            <v>65625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28">
          <cell r="F328">
            <v>8235661.5736814234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1_allcaz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EXTERNAL WORKS"/>
      <sheetName val="Summary"/>
      <sheetName val="previus pay"/>
      <sheetName val="Materials on si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 - condos"/>
      <sheetName val="Condo Pricing"/>
      <sheetName val="Construction Detail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VI-8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restaurant"/>
      <sheetName val="MOSQUE"/>
      <sheetName val="ABLUTION BLOCK"/>
      <sheetName val="GATE HOUSE"/>
      <sheetName val="EXTERNAL WORKS"/>
      <sheetName val="Summary"/>
      <sheetName val="Materials on 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nu-Ptshp Splits"/>
      <sheetName val="Monthly"/>
      <sheetName val=" Draw Schedule"/>
      <sheetName val=" Budget"/>
      <sheetName val="Operating"/>
      <sheetName val="Annual Operating"/>
      <sheetName val="sources.uses"/>
      <sheetName val="NMTC Analysis"/>
      <sheetName val="PROGRAM "/>
      <sheetName val="Rent&amp;Exp Drivers"/>
      <sheetName val="dnu-Taxes"/>
      <sheetName val="dnu-LIBOR"/>
      <sheetName val="dnu-Cons Annual CF"/>
      <sheetName val="dnu - Cons Monthly"/>
      <sheetName val="dnu-Cons Budget"/>
      <sheetName val="dnu-Budget Drivers"/>
      <sheetName val="dnu-Residential Proforma"/>
      <sheetName val="dnu-Debt Service"/>
    </sheetNames>
    <sheetDataSet>
      <sheetData sheetId="0">
        <row r="9">
          <cell r="C9">
            <v>1</v>
          </cell>
        </row>
        <row r="15">
          <cell r="B15" t="str">
            <v>(not used)</v>
          </cell>
        </row>
        <row r="17">
          <cell r="B17" t="str">
            <v xml:space="preserve">The Strand 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E948-FD4B-49D9-8027-5A5BE6795468}">
  <dimension ref="A1:L1031"/>
  <sheetViews>
    <sheetView tabSelected="1" view="pageBreakPreview" topLeftCell="A841" zoomScale="106" zoomScaleNormal="139" zoomScaleSheetLayoutView="106" zoomScalePageLayoutView="139" workbookViewId="0">
      <selection activeCell="C378" sqref="C378"/>
    </sheetView>
  </sheetViews>
  <sheetFormatPr defaultColWidth="9.140625" defaultRowHeight="15" x14ac:dyDescent="0.25"/>
  <cols>
    <col min="1" max="1" width="4.140625" style="4" customWidth="1"/>
    <col min="2" max="2" width="42.140625" style="3" customWidth="1"/>
    <col min="3" max="3" width="9.28515625" style="3" customWidth="1"/>
    <col min="4" max="4" width="6.5703125" style="4" customWidth="1"/>
    <col min="5" max="5" width="18.42578125" style="5" customWidth="1"/>
    <col min="6" max="6" width="17.140625" style="6" customWidth="1"/>
    <col min="7" max="7" width="16.5703125" style="3" customWidth="1"/>
    <col min="8" max="8" width="16.7109375" style="7" customWidth="1"/>
    <col min="9" max="9" width="12.28515625" style="3" customWidth="1"/>
    <col min="10" max="10" width="17.28515625" style="3" bestFit="1" customWidth="1"/>
    <col min="11" max="11" width="16" style="3" bestFit="1" customWidth="1"/>
    <col min="12" max="16384" width="9.140625" style="3"/>
  </cols>
  <sheetData>
    <row r="1" spans="1:8" ht="16.5" x14ac:dyDescent="0.25">
      <c r="A1" s="1"/>
      <c r="B1" s="2" t="s">
        <v>0</v>
      </c>
    </row>
    <row r="2" spans="1:8" ht="16.5" x14ac:dyDescent="0.25">
      <c r="B2" s="8"/>
    </row>
    <row r="3" spans="1:8" ht="16.5" x14ac:dyDescent="0.25">
      <c r="B3" s="9" t="s">
        <v>1</v>
      </c>
    </row>
    <row r="4" spans="1:8" ht="16.5" x14ac:dyDescent="0.25">
      <c r="B4" s="9"/>
    </row>
    <row r="5" spans="1:8" s="14" customFormat="1" ht="16.5" x14ac:dyDescent="0.25">
      <c r="A5" s="4"/>
      <c r="B5" s="10" t="s">
        <v>2</v>
      </c>
      <c r="C5" s="3"/>
      <c r="D5" s="4"/>
      <c r="E5" s="11"/>
      <c r="F5" s="12"/>
      <c r="G5" s="3"/>
      <c r="H5" s="13"/>
    </row>
    <row r="6" spans="1:8" s="14" customFormat="1" ht="16.5" x14ac:dyDescent="0.25">
      <c r="A6" s="4"/>
      <c r="B6" s="10"/>
      <c r="C6" s="3"/>
      <c r="D6" s="4"/>
      <c r="E6" s="11"/>
      <c r="F6" s="12"/>
      <c r="G6" s="3"/>
      <c r="H6" s="13"/>
    </row>
    <row r="7" spans="1:8" s="14" customFormat="1" ht="16.5" x14ac:dyDescent="0.25">
      <c r="A7" s="4"/>
      <c r="B7" s="10" t="s">
        <v>3</v>
      </c>
      <c r="C7" s="3"/>
      <c r="D7" s="4"/>
      <c r="E7" s="11"/>
      <c r="F7" s="12"/>
      <c r="G7" s="3"/>
      <c r="H7" s="13"/>
    </row>
    <row r="8" spans="1:8" ht="17.25" customHeight="1" x14ac:dyDescent="0.25"/>
    <row r="9" spans="1:8" ht="40.5" customHeight="1" x14ac:dyDescent="0.25">
      <c r="A9" s="4" t="s">
        <v>4</v>
      </c>
      <c r="B9" s="15" t="s">
        <v>5</v>
      </c>
      <c r="C9" s="16">
        <v>379</v>
      </c>
      <c r="D9" s="4" t="s">
        <v>6</v>
      </c>
      <c r="E9" s="17">
        <f>'[16]Type S-0'!E9</f>
        <v>100</v>
      </c>
      <c r="F9" s="6">
        <f t="shared" ref="F9:F18" si="0">C9*E9</f>
        <v>37900</v>
      </c>
      <c r="G9" s="18"/>
    </row>
    <row r="10" spans="1:8" ht="51.75" customHeight="1" x14ac:dyDescent="0.25">
      <c r="A10" s="4" t="s">
        <v>7</v>
      </c>
      <c r="B10" s="15" t="s">
        <v>8</v>
      </c>
      <c r="C10" s="19">
        <v>74</v>
      </c>
      <c r="D10" s="4" t="s">
        <v>9</v>
      </c>
      <c r="E10" s="17">
        <f>'[16]Type S-0'!E10</f>
        <v>1200</v>
      </c>
      <c r="F10" s="6">
        <f t="shared" si="0"/>
        <v>88800</v>
      </c>
      <c r="G10" s="18"/>
    </row>
    <row r="11" spans="1:8" ht="45" customHeight="1" x14ac:dyDescent="0.25">
      <c r="A11" s="4" t="s">
        <v>10</v>
      </c>
      <c r="B11" s="15" t="s">
        <v>11</v>
      </c>
      <c r="C11" s="3">
        <v>47</v>
      </c>
      <c r="D11" s="4" t="s">
        <v>9</v>
      </c>
      <c r="E11" s="17">
        <f>'[16]Type S-0'!E11</f>
        <v>1200</v>
      </c>
      <c r="F11" s="6">
        <f t="shared" si="0"/>
        <v>56400</v>
      </c>
      <c r="G11" s="18"/>
    </row>
    <row r="12" spans="1:8" ht="55.5" customHeight="1" x14ac:dyDescent="0.25">
      <c r="A12" s="4" t="s">
        <v>12</v>
      </c>
      <c r="B12" s="15" t="s">
        <v>13</v>
      </c>
      <c r="C12" s="19"/>
      <c r="D12" s="4" t="s">
        <v>9</v>
      </c>
      <c r="E12" s="17">
        <f>'[16]Type S-0'!E13</f>
        <v>1200</v>
      </c>
      <c r="F12" s="6">
        <f t="shared" si="0"/>
        <v>0</v>
      </c>
    </row>
    <row r="13" spans="1:8" ht="30.75" customHeight="1" x14ac:dyDescent="0.25">
      <c r="A13" s="4" t="s">
        <v>14</v>
      </c>
      <c r="B13" s="15" t="s">
        <v>15</v>
      </c>
      <c r="C13" s="19">
        <v>101</v>
      </c>
      <c r="D13" s="4" t="s">
        <v>6</v>
      </c>
      <c r="E13" s="17">
        <f>'[16]Type S-0'!E14</f>
        <v>150</v>
      </c>
      <c r="F13" s="6">
        <f t="shared" si="0"/>
        <v>15150</v>
      </c>
      <c r="G13" s="18"/>
    </row>
    <row r="14" spans="1:8" ht="30.75" customHeight="1" x14ac:dyDescent="0.25">
      <c r="A14" s="4" t="s">
        <v>16</v>
      </c>
      <c r="B14" s="15" t="s">
        <v>17</v>
      </c>
      <c r="C14" s="19"/>
      <c r="D14" s="4" t="s">
        <v>9</v>
      </c>
      <c r="E14" s="17">
        <f>'[16]Type S-0'!E15</f>
        <v>450</v>
      </c>
      <c r="F14" s="6">
        <f t="shared" si="0"/>
        <v>0</v>
      </c>
      <c r="G14" s="18"/>
    </row>
    <row r="15" spans="1:8" ht="44.25" customHeight="1" x14ac:dyDescent="0.25">
      <c r="A15" s="4" t="s">
        <v>18</v>
      </c>
      <c r="B15" s="15" t="s">
        <v>19</v>
      </c>
      <c r="C15" s="19">
        <v>59</v>
      </c>
      <c r="D15" s="4" t="s">
        <v>9</v>
      </c>
      <c r="E15" s="17">
        <f>'[16]Type S-0'!E16</f>
        <v>400</v>
      </c>
      <c r="F15" s="6">
        <f t="shared" si="0"/>
        <v>23600</v>
      </c>
      <c r="G15" s="18"/>
    </row>
    <row r="16" spans="1:8" ht="44.25" customHeight="1" x14ac:dyDescent="0.25">
      <c r="A16" s="4" t="s">
        <v>20</v>
      </c>
      <c r="B16" s="20" t="s">
        <v>21</v>
      </c>
      <c r="C16" s="21">
        <v>56</v>
      </c>
      <c r="D16" s="4" t="s">
        <v>9</v>
      </c>
      <c r="E16" s="22">
        <f>'[16]Type S-0'!E17</f>
        <v>3500</v>
      </c>
      <c r="F16" s="6">
        <f t="shared" si="0"/>
        <v>196000</v>
      </c>
      <c r="G16" s="18"/>
    </row>
    <row r="17" spans="1:8" ht="36" customHeight="1" x14ac:dyDescent="0.25">
      <c r="A17" s="4" t="s">
        <v>22</v>
      </c>
      <c r="B17" s="15" t="s">
        <v>23</v>
      </c>
      <c r="C17" s="16">
        <v>186</v>
      </c>
      <c r="D17" s="4" t="s">
        <v>6</v>
      </c>
      <c r="E17" s="17">
        <f>'[16]Type S-0'!E18</f>
        <v>2500</v>
      </c>
      <c r="F17" s="6">
        <f t="shared" si="0"/>
        <v>465000</v>
      </c>
      <c r="G17" s="18"/>
    </row>
    <row r="18" spans="1:8" ht="36" customHeight="1" x14ac:dyDescent="0.25">
      <c r="A18" s="4" t="s">
        <v>24</v>
      </c>
      <c r="B18" s="15" t="s">
        <v>25</v>
      </c>
      <c r="C18" s="16"/>
      <c r="D18" s="4" t="s">
        <v>6</v>
      </c>
      <c r="E18" s="17">
        <f>'[16]Type S-0'!E19</f>
        <v>150</v>
      </c>
      <c r="F18" s="6">
        <f t="shared" si="0"/>
        <v>0</v>
      </c>
      <c r="G18" s="18"/>
    </row>
    <row r="19" spans="1:8" ht="16.5" x14ac:dyDescent="0.25">
      <c r="B19" s="10" t="s">
        <v>26</v>
      </c>
      <c r="E19" s="17"/>
    </row>
    <row r="20" spans="1:8" ht="17.25" customHeight="1" x14ac:dyDescent="0.25">
      <c r="B20" s="23" t="s">
        <v>27</v>
      </c>
      <c r="E20" s="17"/>
    </row>
    <row r="21" spans="1:8" ht="17.25" customHeight="1" x14ac:dyDescent="0.25">
      <c r="A21" s="4" t="s">
        <v>28</v>
      </c>
      <c r="B21" s="3" t="s">
        <v>29</v>
      </c>
      <c r="C21" s="19">
        <f>39</f>
        <v>39</v>
      </c>
      <c r="D21" s="4" t="s">
        <v>6</v>
      </c>
      <c r="E21" s="17">
        <f>'[16]Type S-0'!E22</f>
        <v>2450</v>
      </c>
      <c r="F21" s="6">
        <f>C21*E21</f>
        <v>95550</v>
      </c>
      <c r="G21" s="18"/>
    </row>
    <row r="22" spans="1:8" ht="17.25" customHeight="1" x14ac:dyDescent="0.25">
      <c r="A22" s="4" t="s">
        <v>28</v>
      </c>
      <c r="B22" s="3" t="s">
        <v>400</v>
      </c>
      <c r="C22" s="3">
        <v>221</v>
      </c>
      <c r="D22" s="4" t="s">
        <v>6</v>
      </c>
      <c r="E22" s="17">
        <f>E21</f>
        <v>2450</v>
      </c>
      <c r="F22" s="6">
        <f>C22*E22</f>
        <v>541450</v>
      </c>
      <c r="G22" s="24"/>
    </row>
    <row r="23" spans="1:8" ht="17.25" customHeight="1" x14ac:dyDescent="0.25">
      <c r="B23" s="23" t="s">
        <v>30</v>
      </c>
      <c r="E23" s="17"/>
    </row>
    <row r="24" spans="1:8" s="113" customFormat="1" ht="17.25" customHeight="1" x14ac:dyDescent="0.25">
      <c r="A24" s="115" t="s">
        <v>40</v>
      </c>
      <c r="B24" s="3" t="s">
        <v>408</v>
      </c>
      <c r="C24" s="3">
        <v>12</v>
      </c>
      <c r="D24" s="4" t="s">
        <v>9</v>
      </c>
      <c r="E24" s="42">
        <f>E26</f>
        <v>45000</v>
      </c>
      <c r="F24" s="35">
        <f>C24*E24</f>
        <v>540000</v>
      </c>
      <c r="G24" s="116"/>
    </row>
    <row r="25" spans="1:8" s="113" customFormat="1" ht="17.25" customHeight="1" x14ac:dyDescent="0.25">
      <c r="A25" s="115" t="s">
        <v>34</v>
      </c>
      <c r="B25" s="3" t="s">
        <v>409</v>
      </c>
      <c r="C25" s="3">
        <v>33</v>
      </c>
      <c r="D25" s="4" t="s">
        <v>9</v>
      </c>
      <c r="E25" s="42">
        <f>E24</f>
        <v>45000</v>
      </c>
      <c r="F25" s="35">
        <f>C25*E25</f>
        <v>1485000</v>
      </c>
      <c r="G25" s="116"/>
    </row>
    <row r="26" spans="1:8" ht="17.25" customHeight="1" x14ac:dyDescent="0.25">
      <c r="A26" s="4" t="s">
        <v>31</v>
      </c>
      <c r="B26" s="3" t="s">
        <v>32</v>
      </c>
      <c r="D26" s="4" t="s">
        <v>9</v>
      </c>
      <c r="E26" s="17">
        <f>'[16]Type S-0'!E25</f>
        <v>45000</v>
      </c>
      <c r="F26" s="6">
        <f>C26*E26</f>
        <v>0</v>
      </c>
      <c r="G26" s="18"/>
    </row>
    <row r="27" spans="1:8" ht="17.25" customHeight="1" x14ac:dyDescent="0.25">
      <c r="E27" s="17"/>
      <c r="G27" s="18"/>
    </row>
    <row r="28" spans="1:8" ht="17.25" customHeight="1" x14ac:dyDescent="0.25">
      <c r="B28" s="25" t="s">
        <v>33</v>
      </c>
      <c r="C28" s="25"/>
      <c r="D28" s="8"/>
      <c r="E28" s="26" t="s">
        <v>34</v>
      </c>
      <c r="F28" s="27">
        <f>SUM(F5:F27)</f>
        <v>3544850</v>
      </c>
    </row>
    <row r="29" spans="1:8" s="25" customFormat="1" ht="17.25" customHeight="1" x14ac:dyDescent="0.25">
      <c r="A29" s="8"/>
      <c r="B29" s="9" t="s">
        <v>35</v>
      </c>
      <c r="D29" s="8"/>
      <c r="E29" s="28"/>
      <c r="F29" s="29"/>
      <c r="H29" s="7"/>
    </row>
    <row r="30" spans="1:8" ht="30.75" customHeight="1" x14ac:dyDescent="0.25">
      <c r="B30" s="23" t="s">
        <v>36</v>
      </c>
    </row>
    <row r="31" spans="1:8" ht="17.25" customHeight="1" x14ac:dyDescent="0.25">
      <c r="B31" s="23" t="s">
        <v>37</v>
      </c>
    </row>
    <row r="32" spans="1:8" ht="23.25" customHeight="1" x14ac:dyDescent="0.25">
      <c r="A32" s="4" t="s">
        <v>4</v>
      </c>
      <c r="B32" s="3" t="s">
        <v>401</v>
      </c>
      <c r="C32" s="19">
        <v>11</v>
      </c>
      <c r="D32" s="4" t="s">
        <v>9</v>
      </c>
      <c r="E32" s="17">
        <f>'[16]Type S-0'!E31</f>
        <v>45000</v>
      </c>
      <c r="F32" s="6">
        <f>C32*E32</f>
        <v>495000</v>
      </c>
      <c r="G32" s="18"/>
    </row>
    <row r="33" spans="1:7" ht="23.25" customHeight="1" x14ac:dyDescent="0.25">
      <c r="A33" s="4" t="s">
        <v>7</v>
      </c>
      <c r="B33" s="3" t="s">
        <v>66</v>
      </c>
      <c r="C33" s="19">
        <v>2</v>
      </c>
      <c r="D33" s="4" t="s">
        <v>9</v>
      </c>
      <c r="E33" s="17">
        <f>E32</f>
        <v>45000</v>
      </c>
      <c r="F33" s="6">
        <f>C33*E33</f>
        <v>90000</v>
      </c>
      <c r="G33" s="18"/>
    </row>
    <row r="34" spans="1:7" ht="21.75" customHeight="1" x14ac:dyDescent="0.25">
      <c r="B34" s="10" t="s">
        <v>38</v>
      </c>
    </row>
    <row r="35" spans="1:7" ht="33" x14ac:dyDescent="0.25">
      <c r="B35" s="114" t="s">
        <v>410</v>
      </c>
    </row>
    <row r="36" spans="1:7" ht="22.5" customHeight="1" x14ac:dyDescent="0.25">
      <c r="A36" s="4" t="s">
        <v>16</v>
      </c>
      <c r="B36" s="113" t="s">
        <v>402</v>
      </c>
      <c r="C36" s="16"/>
      <c r="D36" s="4" t="s">
        <v>39</v>
      </c>
      <c r="E36" s="17">
        <f>'[16]Type S-0'!E36</f>
        <v>550</v>
      </c>
      <c r="F36" s="6">
        <f t="shared" ref="F36:F39" si="1">C36*E36</f>
        <v>0</v>
      </c>
      <c r="G36" s="18"/>
    </row>
    <row r="37" spans="1:7" ht="22.5" customHeight="1" x14ac:dyDescent="0.25">
      <c r="A37" s="4" t="s">
        <v>18</v>
      </c>
      <c r="B37" s="113" t="s">
        <v>96</v>
      </c>
      <c r="C37" s="16">
        <f>232</f>
        <v>232</v>
      </c>
      <c r="D37" s="4" t="s">
        <v>39</v>
      </c>
      <c r="E37" s="17">
        <f t="shared" ref="E37:E39" si="2">E36</f>
        <v>550</v>
      </c>
      <c r="F37" s="6">
        <f t="shared" si="1"/>
        <v>127600</v>
      </c>
      <c r="G37" s="18"/>
    </row>
    <row r="38" spans="1:7" ht="18" customHeight="1" x14ac:dyDescent="0.25">
      <c r="A38" s="4" t="s">
        <v>20</v>
      </c>
      <c r="B38" s="113" t="s">
        <v>97</v>
      </c>
      <c r="C38" s="16">
        <f>595+37</f>
        <v>632</v>
      </c>
      <c r="D38" s="4" t="s">
        <v>39</v>
      </c>
      <c r="E38" s="17">
        <f t="shared" si="2"/>
        <v>550</v>
      </c>
      <c r="F38" s="6">
        <f t="shared" si="1"/>
        <v>347600</v>
      </c>
      <c r="G38" s="18"/>
    </row>
    <row r="39" spans="1:7" ht="18" customHeight="1" x14ac:dyDescent="0.25">
      <c r="A39" s="4" t="s">
        <v>22</v>
      </c>
      <c r="B39" s="113" t="s">
        <v>98</v>
      </c>
      <c r="C39" s="16">
        <v>112</v>
      </c>
      <c r="D39" s="4" t="s">
        <v>39</v>
      </c>
      <c r="E39" s="17">
        <f t="shared" si="2"/>
        <v>550</v>
      </c>
      <c r="F39" s="6">
        <f t="shared" si="1"/>
        <v>61600</v>
      </c>
      <c r="G39" s="18"/>
    </row>
    <row r="40" spans="1:7" ht="66" x14ac:dyDescent="0.25">
      <c r="B40" s="114" t="s">
        <v>403</v>
      </c>
    </row>
    <row r="41" spans="1:7" s="113" customFormat="1" ht="20.25" customHeight="1" x14ac:dyDescent="0.25">
      <c r="A41" s="115" t="s">
        <v>18</v>
      </c>
      <c r="B41" s="20" t="s">
        <v>404</v>
      </c>
      <c r="C41" s="3">
        <v>213</v>
      </c>
      <c r="D41" s="4" t="s">
        <v>6</v>
      </c>
      <c r="E41" s="42">
        <v>650</v>
      </c>
      <c r="F41" s="35">
        <f>C41*E41</f>
        <v>138450</v>
      </c>
      <c r="G41" s="116"/>
    </row>
    <row r="42" spans="1:7" ht="20.25" customHeight="1" x14ac:dyDescent="0.25">
      <c r="B42" s="20"/>
      <c r="G42" s="18"/>
    </row>
    <row r="43" spans="1:7" ht="21" customHeight="1" x14ac:dyDescent="0.25">
      <c r="B43" s="10" t="s">
        <v>44</v>
      </c>
    </row>
    <row r="44" spans="1:7" ht="24.75" customHeight="1" x14ac:dyDescent="0.25">
      <c r="B44" s="23" t="s">
        <v>45</v>
      </c>
    </row>
    <row r="45" spans="1:7" ht="18.75" customHeight="1" x14ac:dyDescent="0.25">
      <c r="A45" s="4" t="s">
        <v>46</v>
      </c>
      <c r="B45" s="3" t="s">
        <v>405</v>
      </c>
      <c r="C45" s="19"/>
      <c r="D45" s="4" t="s">
        <v>6</v>
      </c>
      <c r="E45" s="17">
        <f>'[16]Type S-0'!E49</f>
        <v>5500</v>
      </c>
      <c r="F45" s="6">
        <f>C45*E45</f>
        <v>0</v>
      </c>
      <c r="G45" s="18"/>
    </row>
    <row r="46" spans="1:7" ht="18.75" customHeight="1" x14ac:dyDescent="0.25">
      <c r="A46" s="4" t="s">
        <v>47</v>
      </c>
      <c r="B46" s="3" t="s">
        <v>406</v>
      </c>
      <c r="C46" s="19">
        <v>23</v>
      </c>
      <c r="D46" s="4" t="s">
        <v>6</v>
      </c>
      <c r="E46" s="17">
        <f>E45</f>
        <v>5500</v>
      </c>
      <c r="F46" s="6">
        <f>C46*E46</f>
        <v>126500</v>
      </c>
      <c r="G46" s="18"/>
    </row>
    <row r="47" spans="1:7" ht="18.75" customHeight="1" x14ac:dyDescent="0.25">
      <c r="A47" s="4" t="s">
        <v>48</v>
      </c>
      <c r="B47" s="3" t="s">
        <v>407</v>
      </c>
      <c r="C47" s="19"/>
      <c r="D47" s="4" t="s">
        <v>6</v>
      </c>
      <c r="E47" s="17">
        <f>E46</f>
        <v>5500</v>
      </c>
      <c r="F47" s="6">
        <f>C47*E47</f>
        <v>0</v>
      </c>
      <c r="G47" s="18"/>
    </row>
    <row r="56" spans="1:7" ht="16.5" x14ac:dyDescent="0.25">
      <c r="B56" s="31" t="s">
        <v>52</v>
      </c>
      <c r="E56" s="26" t="s">
        <v>34</v>
      </c>
      <c r="F56" s="29">
        <f>SUM(F31:F55)</f>
        <v>1386750</v>
      </c>
    </row>
    <row r="57" spans="1:7" ht="16.5" x14ac:dyDescent="0.25">
      <c r="B57" s="9" t="s">
        <v>35</v>
      </c>
    </row>
    <row r="58" spans="1:7" ht="16.5" x14ac:dyDescent="0.25">
      <c r="B58" s="9"/>
    </row>
    <row r="59" spans="1:7" x14ac:dyDescent="0.25">
      <c r="B59" s="23"/>
    </row>
    <row r="60" spans="1:7" x14ac:dyDescent="0.25">
      <c r="B60" s="23" t="s">
        <v>53</v>
      </c>
    </row>
    <row r="61" spans="1:7" x14ac:dyDescent="0.25">
      <c r="G61" s="18"/>
    </row>
    <row r="62" spans="1:7" x14ac:dyDescent="0.25">
      <c r="B62" s="23" t="s">
        <v>54</v>
      </c>
      <c r="G62" s="18"/>
    </row>
    <row r="64" spans="1:7" ht="45" x14ac:dyDescent="0.25">
      <c r="A64" s="4" t="s">
        <v>4</v>
      </c>
      <c r="B64" s="15" t="s">
        <v>55</v>
      </c>
      <c r="C64" s="3">
        <v>221</v>
      </c>
      <c r="D64" s="4" t="s">
        <v>6</v>
      </c>
      <c r="E64" s="32">
        <f>'[16]Type S-0'!E68</f>
        <v>500</v>
      </c>
      <c r="F64" s="6">
        <f>C64*E64</f>
        <v>110500</v>
      </c>
    </row>
    <row r="65" spans="2:9" ht="16.5" x14ac:dyDescent="0.25">
      <c r="B65" s="30"/>
      <c r="C65" s="25"/>
      <c r="D65" s="8"/>
      <c r="E65" s="33"/>
      <c r="F65" s="27"/>
    </row>
    <row r="66" spans="2:9" ht="16.5" x14ac:dyDescent="0.25">
      <c r="B66" s="30"/>
      <c r="C66" s="25"/>
      <c r="D66" s="8"/>
      <c r="E66" s="33"/>
      <c r="F66" s="27"/>
    </row>
    <row r="67" spans="2:9" x14ac:dyDescent="0.25">
      <c r="B67" s="20"/>
      <c r="E67" s="17"/>
      <c r="G67" s="18"/>
    </row>
    <row r="74" spans="2:9" x14ac:dyDescent="0.25">
      <c r="B74" s="15"/>
    </row>
    <row r="75" spans="2:9" x14ac:dyDescent="0.25">
      <c r="B75" s="34"/>
      <c r="D75" s="16"/>
      <c r="E75" s="4"/>
      <c r="G75" s="32"/>
      <c r="I75" s="35"/>
    </row>
    <row r="76" spans="2:9" x14ac:dyDescent="0.25">
      <c r="B76" s="15"/>
      <c r="E76" s="32"/>
      <c r="I76" s="35"/>
    </row>
    <row r="77" spans="2:9" x14ac:dyDescent="0.25">
      <c r="B77" s="15"/>
      <c r="E77" s="32"/>
      <c r="I77" s="35"/>
    </row>
    <row r="78" spans="2:9" x14ac:dyDescent="0.25">
      <c r="B78" s="15"/>
    </row>
    <row r="79" spans="2:9" ht="18.75" customHeight="1" x14ac:dyDescent="0.25">
      <c r="B79" s="31" t="s">
        <v>52</v>
      </c>
      <c r="E79" s="26" t="s">
        <v>34</v>
      </c>
      <c r="F79" s="29">
        <f>SUM(F60:F78)</f>
        <v>110500</v>
      </c>
    </row>
    <row r="80" spans="2:9" x14ac:dyDescent="0.25">
      <c r="B80" s="15"/>
    </row>
    <row r="81" spans="2:8" ht="16.5" x14ac:dyDescent="0.25">
      <c r="B81" s="31"/>
      <c r="E81" s="26"/>
      <c r="F81" s="27"/>
    </row>
    <row r="82" spans="2:8" ht="16.5" x14ac:dyDescent="0.25">
      <c r="B82" s="10" t="s">
        <v>56</v>
      </c>
      <c r="E82" s="26"/>
      <c r="F82" s="27"/>
    </row>
    <row r="84" spans="2:8" x14ac:dyDescent="0.25">
      <c r="B84" s="36" t="s">
        <v>57</v>
      </c>
      <c r="E84" s="5">
        <f>F28</f>
        <v>3544850</v>
      </c>
    </row>
    <row r="85" spans="2:8" ht="16.5" x14ac:dyDescent="0.25">
      <c r="B85" s="37"/>
    </row>
    <row r="86" spans="2:8" x14ac:dyDescent="0.25">
      <c r="B86" s="36" t="s">
        <v>58</v>
      </c>
      <c r="E86" s="5">
        <f>F56</f>
        <v>1386750</v>
      </c>
    </row>
    <row r="87" spans="2:8" x14ac:dyDescent="0.25">
      <c r="B87" s="36"/>
    </row>
    <row r="88" spans="2:8" x14ac:dyDescent="0.25">
      <c r="B88" s="36" t="s">
        <v>59</v>
      </c>
      <c r="E88" s="5">
        <f>F79</f>
        <v>110500</v>
      </c>
    </row>
    <row r="89" spans="2:8" x14ac:dyDescent="0.25">
      <c r="B89" s="38"/>
    </row>
    <row r="90" spans="2:8" x14ac:dyDescent="0.25">
      <c r="B90" s="38"/>
    </row>
    <row r="91" spans="2:8" x14ac:dyDescent="0.25">
      <c r="B91" s="38"/>
    </row>
    <row r="92" spans="2:8" x14ac:dyDescent="0.25">
      <c r="B92" s="38"/>
    </row>
    <row r="93" spans="2:8" ht="16.5" x14ac:dyDescent="0.25">
      <c r="B93" s="39" t="s">
        <v>60</v>
      </c>
      <c r="C93" s="25"/>
      <c r="D93" s="8"/>
      <c r="F93" s="29"/>
    </row>
    <row r="94" spans="2:8" ht="16.5" x14ac:dyDescent="0.25">
      <c r="B94" s="25" t="s">
        <v>61</v>
      </c>
      <c r="C94" s="25"/>
      <c r="D94" s="8"/>
      <c r="E94" s="26" t="s">
        <v>34</v>
      </c>
      <c r="F94" s="40">
        <f>SUM(E84:E88)</f>
        <v>5042100</v>
      </c>
      <c r="H94" s="27"/>
    </row>
    <row r="95" spans="2:8" ht="16.5" x14ac:dyDescent="0.25">
      <c r="B95" s="2" t="s">
        <v>62</v>
      </c>
    </row>
    <row r="97" spans="1:7" ht="16.5" x14ac:dyDescent="0.25">
      <c r="B97" s="9" t="s">
        <v>63</v>
      </c>
    </row>
    <row r="98" spans="1:7" ht="8.4499999999999993" customHeight="1" x14ac:dyDescent="0.25">
      <c r="B98" s="9"/>
    </row>
    <row r="99" spans="1:7" ht="16.5" x14ac:dyDescent="0.25">
      <c r="B99" s="10" t="s">
        <v>26</v>
      </c>
    </row>
    <row r="100" spans="1:7" x14ac:dyDescent="0.25">
      <c r="E100" s="3"/>
    </row>
    <row r="101" spans="1:7" x14ac:dyDescent="0.25">
      <c r="B101" s="23" t="s">
        <v>64</v>
      </c>
    </row>
    <row r="102" spans="1:7" x14ac:dyDescent="0.25">
      <c r="B102" s="23"/>
    </row>
    <row r="103" spans="1:7" x14ac:dyDescent="0.25">
      <c r="B103" s="23" t="s">
        <v>65</v>
      </c>
    </row>
    <row r="105" spans="1:7" ht="16.5" x14ac:dyDescent="0.25">
      <c r="A105" s="4" t="s">
        <v>4</v>
      </c>
      <c r="B105" s="3" t="s">
        <v>66</v>
      </c>
      <c r="C105" s="19">
        <v>11</v>
      </c>
      <c r="D105" s="4" t="s">
        <v>9</v>
      </c>
      <c r="E105" s="17">
        <f>E32</f>
        <v>45000</v>
      </c>
      <c r="F105" s="6">
        <f>C105*E105</f>
        <v>495000</v>
      </c>
      <c r="G105" s="18"/>
    </row>
    <row r="106" spans="1:7" x14ac:dyDescent="0.25">
      <c r="E106" s="17"/>
      <c r="G106" s="18"/>
    </row>
    <row r="107" spans="1:7" ht="16.5" x14ac:dyDescent="0.25">
      <c r="A107" s="4" t="s">
        <v>10</v>
      </c>
      <c r="B107" s="3" t="s">
        <v>67</v>
      </c>
      <c r="C107" s="19">
        <v>12</v>
      </c>
      <c r="D107" s="4" t="s">
        <v>9</v>
      </c>
      <c r="E107" s="17">
        <f>E105</f>
        <v>45000</v>
      </c>
      <c r="F107" s="6">
        <f>C107*E107</f>
        <v>540000</v>
      </c>
      <c r="G107" s="18"/>
    </row>
    <row r="108" spans="1:7" x14ac:dyDescent="0.25">
      <c r="E108" s="17"/>
      <c r="G108" s="18"/>
    </row>
    <row r="109" spans="1:7" ht="16.5" x14ac:dyDescent="0.25">
      <c r="B109" s="10" t="s">
        <v>38</v>
      </c>
    </row>
    <row r="111" spans="1:7" ht="30" x14ac:dyDescent="0.25">
      <c r="B111" s="30" t="s">
        <v>68</v>
      </c>
    </row>
    <row r="112" spans="1:7" x14ac:dyDescent="0.25">
      <c r="B112" s="30"/>
    </row>
    <row r="113" spans="1:7" x14ac:dyDescent="0.25">
      <c r="A113" s="4" t="s">
        <v>12</v>
      </c>
      <c r="B113" s="3" t="s">
        <v>411</v>
      </c>
      <c r="C113" s="16"/>
      <c r="D113" s="4" t="s">
        <v>39</v>
      </c>
      <c r="E113" s="17">
        <f>E36</f>
        <v>550</v>
      </c>
      <c r="F113" s="6">
        <f>E113*C113</f>
        <v>0</v>
      </c>
      <c r="G113" s="18"/>
    </row>
    <row r="114" spans="1:7" x14ac:dyDescent="0.25">
      <c r="C114" s="16"/>
      <c r="E114" s="17"/>
      <c r="G114" s="18"/>
    </row>
    <row r="115" spans="1:7" x14ac:dyDescent="0.25">
      <c r="A115" s="4" t="s">
        <v>14</v>
      </c>
      <c r="B115" s="3" t="s">
        <v>402</v>
      </c>
      <c r="C115" s="16"/>
      <c r="D115" s="4" t="s">
        <v>39</v>
      </c>
      <c r="E115" s="17">
        <f>E37</f>
        <v>550</v>
      </c>
      <c r="F115" s="6">
        <f t="shared" ref="F115:F121" si="3">E115*C115</f>
        <v>0</v>
      </c>
      <c r="G115" s="18"/>
    </row>
    <row r="116" spans="1:7" x14ac:dyDescent="0.25">
      <c r="C116" s="16"/>
      <c r="E116" s="17"/>
      <c r="G116" s="18"/>
    </row>
    <row r="117" spans="1:7" x14ac:dyDescent="0.25">
      <c r="A117" s="4" t="s">
        <v>16</v>
      </c>
      <c r="B117" s="3" t="s">
        <v>96</v>
      </c>
      <c r="C117" s="16">
        <f>1222+913*2</f>
        <v>3048</v>
      </c>
      <c r="D117" s="4" t="s">
        <v>39</v>
      </c>
      <c r="E117" s="17">
        <f>E115</f>
        <v>550</v>
      </c>
      <c r="F117" s="6">
        <f t="shared" si="3"/>
        <v>1676400</v>
      </c>
      <c r="G117" s="18"/>
    </row>
    <row r="118" spans="1:7" x14ac:dyDescent="0.25">
      <c r="C118" s="16"/>
      <c r="E118" s="17"/>
      <c r="G118" s="18"/>
    </row>
    <row r="119" spans="1:7" x14ac:dyDescent="0.25">
      <c r="A119" s="4" t="s">
        <v>18</v>
      </c>
      <c r="B119" s="3" t="s">
        <v>97</v>
      </c>
      <c r="C119" s="16">
        <v>196</v>
      </c>
      <c r="D119" s="4" t="s">
        <v>39</v>
      </c>
      <c r="E119" s="17">
        <f>E117</f>
        <v>550</v>
      </c>
      <c r="F119" s="6">
        <f t="shared" si="3"/>
        <v>107800</v>
      </c>
      <c r="G119" s="18"/>
    </row>
    <row r="120" spans="1:7" x14ac:dyDescent="0.25">
      <c r="E120" s="17"/>
      <c r="G120" s="41"/>
    </row>
    <row r="121" spans="1:7" x14ac:dyDescent="0.25">
      <c r="A121" s="4" t="s">
        <v>20</v>
      </c>
      <c r="B121" s="3" t="s">
        <v>98</v>
      </c>
      <c r="C121" s="16">
        <f>572+278*2</f>
        <v>1128</v>
      </c>
      <c r="D121" s="4" t="s">
        <v>39</v>
      </c>
      <c r="E121" s="17">
        <f>E119</f>
        <v>550</v>
      </c>
      <c r="F121" s="6">
        <f t="shared" si="3"/>
        <v>620400</v>
      </c>
      <c r="G121" s="18"/>
    </row>
    <row r="122" spans="1:7" x14ac:dyDescent="0.25">
      <c r="C122" s="16"/>
      <c r="E122" s="17"/>
      <c r="G122" s="18"/>
    </row>
    <row r="124" spans="1:7" ht="16.5" x14ac:dyDescent="0.25">
      <c r="B124" s="10" t="s">
        <v>44</v>
      </c>
    </row>
    <row r="126" spans="1:7" x14ac:dyDescent="0.25">
      <c r="B126" s="23" t="s">
        <v>45</v>
      </c>
    </row>
    <row r="128" spans="1:7" ht="16.5" x14ac:dyDescent="0.25">
      <c r="A128" s="4" t="s">
        <v>40</v>
      </c>
      <c r="B128" s="3" t="s">
        <v>69</v>
      </c>
      <c r="C128" s="16">
        <v>182</v>
      </c>
      <c r="D128" s="4" t="s">
        <v>6</v>
      </c>
      <c r="E128" s="17">
        <f>E47</f>
        <v>5500</v>
      </c>
      <c r="F128" s="6">
        <f>C128*E128</f>
        <v>1001000</v>
      </c>
      <c r="G128" s="18"/>
    </row>
    <row r="129" spans="1:8" x14ac:dyDescent="0.25">
      <c r="C129" s="16"/>
      <c r="E129" s="17"/>
      <c r="G129" s="18"/>
    </row>
    <row r="130" spans="1:8" ht="16.5" x14ac:dyDescent="0.25">
      <c r="A130" s="4" t="s">
        <v>41</v>
      </c>
      <c r="B130" s="3" t="s">
        <v>70</v>
      </c>
      <c r="C130" s="16">
        <f>51*2</f>
        <v>102</v>
      </c>
      <c r="D130" s="4" t="s">
        <v>6</v>
      </c>
      <c r="E130" s="17">
        <f>E128</f>
        <v>5500</v>
      </c>
      <c r="F130" s="6">
        <f>C130*E130</f>
        <v>561000</v>
      </c>
      <c r="G130" s="18"/>
    </row>
    <row r="131" spans="1:8" x14ac:dyDescent="0.25">
      <c r="C131" s="16"/>
      <c r="E131" s="17"/>
      <c r="G131" s="18"/>
    </row>
    <row r="132" spans="1:8" x14ac:dyDescent="0.25">
      <c r="C132" s="16"/>
      <c r="E132" s="17"/>
      <c r="G132" s="18"/>
    </row>
    <row r="134" spans="1:8" ht="16.5" x14ac:dyDescent="0.25">
      <c r="B134" s="9" t="s">
        <v>63</v>
      </c>
    </row>
    <row r="135" spans="1:8" ht="16.5" x14ac:dyDescent="0.25">
      <c r="B135" s="25" t="s">
        <v>71</v>
      </c>
      <c r="E135" s="26" t="s">
        <v>34</v>
      </c>
      <c r="F135" s="27">
        <f>SUM(F102:F134)</f>
        <v>5001600</v>
      </c>
    </row>
    <row r="136" spans="1:8" ht="16.5" x14ac:dyDescent="0.25">
      <c r="B136" s="2" t="s">
        <v>72</v>
      </c>
    </row>
    <row r="138" spans="1:8" ht="16.5" x14ac:dyDescent="0.25">
      <c r="B138" s="9" t="s">
        <v>73</v>
      </c>
    </row>
    <row r="139" spans="1:8" s="20" customFormat="1" x14ac:dyDescent="0.25">
      <c r="A139" s="4"/>
      <c r="B139" s="3"/>
      <c r="C139" s="3"/>
      <c r="D139" s="4"/>
      <c r="E139" s="5"/>
      <c r="F139" s="6"/>
      <c r="H139" s="7"/>
    </row>
    <row r="140" spans="1:8" ht="16.5" x14ac:dyDescent="0.25">
      <c r="B140" s="10" t="s">
        <v>26</v>
      </c>
    </row>
    <row r="141" spans="1:8" s="20" customFormat="1" x14ac:dyDescent="0.25">
      <c r="A141" s="4"/>
      <c r="B141" s="3"/>
      <c r="C141" s="3"/>
      <c r="D141" s="4"/>
      <c r="E141" s="5"/>
      <c r="F141" s="6"/>
      <c r="H141" s="7"/>
    </row>
    <row r="142" spans="1:8" s="20" customFormat="1" x14ac:dyDescent="0.25">
      <c r="A142" s="4"/>
      <c r="B142" s="23" t="s">
        <v>64</v>
      </c>
      <c r="C142" s="3"/>
      <c r="D142" s="4"/>
      <c r="E142" s="5"/>
      <c r="F142" s="6"/>
      <c r="H142" s="7"/>
    </row>
    <row r="143" spans="1:8" s="20" customFormat="1" x14ac:dyDescent="0.25">
      <c r="A143" s="4"/>
      <c r="B143" s="23"/>
      <c r="C143" s="3"/>
      <c r="D143" s="4"/>
      <c r="E143" s="5"/>
      <c r="F143" s="6"/>
      <c r="H143" s="7"/>
    </row>
    <row r="144" spans="1:8" x14ac:dyDescent="0.25">
      <c r="B144" s="23" t="s">
        <v>65</v>
      </c>
    </row>
    <row r="146" spans="1:12" ht="16.5" x14ac:dyDescent="0.25">
      <c r="A146" s="4" t="s">
        <v>4</v>
      </c>
      <c r="B146" s="3" t="s">
        <v>74</v>
      </c>
      <c r="C146" s="19">
        <v>39</v>
      </c>
      <c r="D146" s="4" t="s">
        <v>9</v>
      </c>
      <c r="E146" s="17">
        <f>E107</f>
        <v>45000</v>
      </c>
      <c r="F146" s="6">
        <f>C146*E146</f>
        <v>1755000</v>
      </c>
      <c r="G146" s="19"/>
      <c r="I146" s="19"/>
      <c r="J146" s="19"/>
      <c r="K146" s="19"/>
      <c r="L146" s="19"/>
    </row>
    <row r="147" spans="1:12" x14ac:dyDescent="0.25">
      <c r="G147" s="19"/>
      <c r="I147" s="19"/>
      <c r="J147" s="19"/>
      <c r="K147" s="19"/>
      <c r="L147" s="19"/>
    </row>
    <row r="148" spans="1:12" ht="16.5" x14ac:dyDescent="0.25">
      <c r="B148" s="10" t="s">
        <v>38</v>
      </c>
      <c r="G148" s="19"/>
      <c r="I148" s="19"/>
      <c r="J148" s="19"/>
      <c r="K148" s="19"/>
      <c r="L148" s="19"/>
    </row>
    <row r="149" spans="1:12" x14ac:dyDescent="0.25">
      <c r="G149" s="19"/>
      <c r="I149" s="19"/>
      <c r="J149" s="19"/>
      <c r="K149" s="19"/>
      <c r="L149" s="19"/>
    </row>
    <row r="150" spans="1:12" ht="30" x14ac:dyDescent="0.25">
      <c r="B150" s="30" t="s">
        <v>75</v>
      </c>
      <c r="G150" s="19"/>
      <c r="I150" s="19"/>
      <c r="J150" s="19"/>
      <c r="K150" s="19"/>
      <c r="L150" s="19"/>
    </row>
    <row r="151" spans="1:12" x14ac:dyDescent="0.25">
      <c r="B151" s="30"/>
      <c r="G151" s="19"/>
      <c r="I151" s="19"/>
      <c r="J151" s="19"/>
      <c r="K151" s="19"/>
      <c r="L151" s="19"/>
    </row>
    <row r="152" spans="1:12" x14ac:dyDescent="0.25">
      <c r="A152" s="4" t="s">
        <v>7</v>
      </c>
      <c r="B152" s="3" t="s">
        <v>76</v>
      </c>
      <c r="C152" s="16">
        <v>3292</v>
      </c>
      <c r="D152" s="4" t="s">
        <v>39</v>
      </c>
      <c r="E152" s="17">
        <f>E117</f>
        <v>550</v>
      </c>
      <c r="F152" s="6">
        <f>C152*E152</f>
        <v>1810600</v>
      </c>
      <c r="G152" s="19"/>
      <c r="I152" s="19"/>
      <c r="J152" s="19"/>
      <c r="K152" s="19"/>
      <c r="L152" s="19"/>
    </row>
    <row r="153" spans="1:12" x14ac:dyDescent="0.25">
      <c r="E153" s="17"/>
      <c r="G153" s="19"/>
      <c r="I153" s="19"/>
      <c r="J153" s="19"/>
      <c r="K153" s="19"/>
      <c r="L153" s="19"/>
    </row>
    <row r="154" spans="1:12" x14ac:dyDescent="0.25">
      <c r="A154" s="4" t="s">
        <v>10</v>
      </c>
      <c r="B154" s="3" t="s">
        <v>77</v>
      </c>
      <c r="C154" s="16"/>
      <c r="D154" s="4" t="s">
        <v>39</v>
      </c>
      <c r="E154" s="17">
        <f>E152</f>
        <v>550</v>
      </c>
      <c r="F154" s="6">
        <f>C154*E154</f>
        <v>0</v>
      </c>
      <c r="G154" s="19"/>
      <c r="I154" s="19"/>
      <c r="J154" s="19"/>
      <c r="K154" s="19"/>
      <c r="L154" s="19"/>
    </row>
    <row r="155" spans="1:12" x14ac:dyDescent="0.25">
      <c r="E155" s="17"/>
      <c r="G155" s="19"/>
      <c r="I155" s="19"/>
      <c r="J155" s="19"/>
      <c r="K155" s="19"/>
      <c r="L155" s="19"/>
    </row>
    <row r="156" spans="1:12" ht="16.5" x14ac:dyDescent="0.25">
      <c r="B156" s="10" t="s">
        <v>44</v>
      </c>
      <c r="E156" s="17"/>
      <c r="G156" s="19"/>
      <c r="I156" s="19"/>
      <c r="J156" s="19"/>
      <c r="K156" s="19"/>
      <c r="L156" s="19"/>
    </row>
    <row r="157" spans="1:12" x14ac:dyDescent="0.25">
      <c r="E157" s="17"/>
      <c r="G157" s="19"/>
      <c r="I157" s="19"/>
      <c r="J157" s="19"/>
      <c r="K157" s="19"/>
      <c r="L157" s="19"/>
    </row>
    <row r="158" spans="1:12" ht="16.5" x14ac:dyDescent="0.25">
      <c r="B158" s="23" t="s">
        <v>45</v>
      </c>
      <c r="E158" s="33"/>
      <c r="F158" s="27"/>
      <c r="G158" s="19"/>
      <c r="I158" s="19"/>
      <c r="J158" s="19"/>
      <c r="K158" s="19"/>
      <c r="L158" s="19"/>
    </row>
    <row r="159" spans="1:12" ht="16.5" x14ac:dyDescent="0.25">
      <c r="E159" s="33"/>
      <c r="F159" s="27"/>
      <c r="G159" s="19"/>
      <c r="I159" s="19"/>
      <c r="J159" s="19"/>
      <c r="K159" s="19"/>
      <c r="L159" s="19"/>
    </row>
    <row r="160" spans="1:12" ht="16.5" x14ac:dyDescent="0.25">
      <c r="A160" s="4" t="s">
        <v>12</v>
      </c>
      <c r="B160" s="3" t="s">
        <v>78</v>
      </c>
      <c r="C160" s="19">
        <v>263</v>
      </c>
      <c r="D160" s="4" t="s">
        <v>6</v>
      </c>
      <c r="E160" s="17">
        <f>E130</f>
        <v>5500</v>
      </c>
      <c r="F160" s="6">
        <f>C160*E160</f>
        <v>1446500</v>
      </c>
    </row>
    <row r="162" spans="1:6" x14ac:dyDescent="0.25">
      <c r="A162" s="4" t="s">
        <v>14</v>
      </c>
      <c r="B162" s="3" t="s">
        <v>79</v>
      </c>
      <c r="C162" s="19">
        <v>70</v>
      </c>
      <c r="D162" s="4" t="s">
        <v>51</v>
      </c>
      <c r="E162" s="17">
        <f>E160</f>
        <v>5500</v>
      </c>
      <c r="F162" s="6">
        <f>C162*E162</f>
        <v>385000</v>
      </c>
    </row>
    <row r="163" spans="1:6" ht="16.5" x14ac:dyDescent="0.25">
      <c r="A163" s="8"/>
      <c r="C163" s="25"/>
      <c r="D163" s="8"/>
      <c r="E163" s="33"/>
      <c r="F163" s="27"/>
    </row>
    <row r="164" spans="1:6" ht="16.5" x14ac:dyDescent="0.25">
      <c r="A164" s="8"/>
      <c r="D164" s="8"/>
      <c r="E164" s="33"/>
      <c r="F164" s="27"/>
    </row>
    <row r="165" spans="1:6" ht="16.5" x14ac:dyDescent="0.25">
      <c r="A165" s="8"/>
      <c r="C165" s="25"/>
      <c r="D165" s="8"/>
      <c r="E165" s="33"/>
      <c r="F165" s="27"/>
    </row>
    <row r="166" spans="1:6" ht="16.5" x14ac:dyDescent="0.25">
      <c r="A166" s="8"/>
      <c r="C166" s="25"/>
      <c r="D166" s="8"/>
      <c r="E166" s="33"/>
      <c r="F166" s="27"/>
    </row>
    <row r="167" spans="1:6" ht="16.5" x14ac:dyDescent="0.25">
      <c r="A167" s="8"/>
      <c r="C167" s="25"/>
      <c r="D167" s="8"/>
      <c r="E167" s="33"/>
      <c r="F167" s="27"/>
    </row>
    <row r="168" spans="1:6" ht="16.5" x14ac:dyDescent="0.25">
      <c r="A168" s="8"/>
      <c r="C168" s="25"/>
      <c r="D168" s="8"/>
      <c r="E168" s="33"/>
      <c r="F168" s="27"/>
    </row>
    <row r="169" spans="1:6" ht="16.5" x14ac:dyDescent="0.25">
      <c r="A169" s="8"/>
      <c r="C169" s="25"/>
      <c r="D169" s="8"/>
      <c r="E169" s="33"/>
      <c r="F169" s="27"/>
    </row>
    <row r="170" spans="1:6" ht="16.5" x14ac:dyDescent="0.25">
      <c r="A170" s="8"/>
      <c r="C170" s="25"/>
      <c r="D170" s="8"/>
      <c r="E170" s="33"/>
      <c r="F170" s="27"/>
    </row>
    <row r="171" spans="1:6" ht="16.5" x14ac:dyDescent="0.25">
      <c r="B171" s="9" t="s">
        <v>80</v>
      </c>
    </row>
    <row r="172" spans="1:6" ht="16.5" x14ac:dyDescent="0.25">
      <c r="B172" s="25" t="s">
        <v>61</v>
      </c>
      <c r="E172" s="26" t="s">
        <v>34</v>
      </c>
      <c r="F172" s="27">
        <f>SUM(F142:F171)</f>
        <v>5397100</v>
      </c>
    </row>
    <row r="173" spans="1:6" ht="16.5" x14ac:dyDescent="0.25">
      <c r="B173" s="2" t="s">
        <v>81</v>
      </c>
    </row>
    <row r="174" spans="1:6" x14ac:dyDescent="0.25">
      <c r="B174" s="4"/>
      <c r="E174" s="47"/>
    </row>
    <row r="175" spans="1:6" ht="16.5" x14ac:dyDescent="0.25">
      <c r="B175" s="9" t="s">
        <v>93</v>
      </c>
    </row>
    <row r="176" spans="1:6" ht="10.5" customHeight="1" x14ac:dyDescent="0.25">
      <c r="A176" s="48"/>
      <c r="B176" s="9"/>
    </row>
    <row r="177" spans="1:7" ht="16.5" x14ac:dyDescent="0.25">
      <c r="A177" s="48"/>
      <c r="B177" s="10" t="s">
        <v>26</v>
      </c>
    </row>
    <row r="178" spans="1:7" x14ac:dyDescent="0.25">
      <c r="A178" s="48"/>
    </row>
    <row r="179" spans="1:7" x14ac:dyDescent="0.25">
      <c r="B179" s="23" t="s">
        <v>64</v>
      </c>
    </row>
    <row r="180" spans="1:7" ht="11.25" customHeight="1" x14ac:dyDescent="0.25">
      <c r="A180" s="48"/>
      <c r="B180" s="23"/>
    </row>
    <row r="181" spans="1:7" x14ac:dyDescent="0.25">
      <c r="A181" s="48"/>
      <c r="B181" s="23" t="s">
        <v>65</v>
      </c>
    </row>
    <row r="182" spans="1:7" ht="14.25" customHeight="1" x14ac:dyDescent="0.25">
      <c r="A182" s="48"/>
    </row>
    <row r="183" spans="1:7" ht="16.5" x14ac:dyDescent="0.25">
      <c r="A183" s="4" t="s">
        <v>4</v>
      </c>
      <c r="B183" s="3" t="s">
        <v>94</v>
      </c>
      <c r="C183" s="19">
        <v>3</v>
      </c>
      <c r="D183" s="4" t="s">
        <v>9</v>
      </c>
      <c r="E183" s="17">
        <f>E146</f>
        <v>45000</v>
      </c>
      <c r="F183" s="49">
        <f>C183*E183</f>
        <v>135000</v>
      </c>
      <c r="G183" s="24"/>
    </row>
    <row r="184" spans="1:7" ht="16.5" customHeight="1" x14ac:dyDescent="0.25">
      <c r="E184" s="17"/>
      <c r="F184" s="49"/>
      <c r="G184" s="18"/>
    </row>
    <row r="185" spans="1:7" ht="12.75" customHeight="1" x14ac:dyDescent="0.25">
      <c r="A185" s="48"/>
      <c r="B185" s="10" t="s">
        <v>38</v>
      </c>
    </row>
    <row r="186" spans="1:7" ht="15" customHeight="1" x14ac:dyDescent="0.25"/>
    <row r="187" spans="1:7" ht="30" x14ac:dyDescent="0.25">
      <c r="B187" s="30" t="s">
        <v>95</v>
      </c>
    </row>
    <row r="188" spans="1:7" ht="15" customHeight="1" x14ac:dyDescent="0.25">
      <c r="B188" s="30"/>
    </row>
    <row r="189" spans="1:7" x14ac:dyDescent="0.25">
      <c r="A189" s="4" t="s">
        <v>7</v>
      </c>
      <c r="B189" s="3" t="s">
        <v>96</v>
      </c>
      <c r="D189" s="4" t="s">
        <v>39</v>
      </c>
      <c r="E189" s="17">
        <f>E154</f>
        <v>550</v>
      </c>
      <c r="F189" s="6">
        <f>C189*E189</f>
        <v>0</v>
      </c>
      <c r="G189" s="24"/>
    </row>
    <row r="190" spans="1:7" x14ac:dyDescent="0.25">
      <c r="C190" s="16"/>
      <c r="E190" s="17"/>
      <c r="G190" s="18"/>
    </row>
    <row r="191" spans="1:7" ht="17.25" customHeight="1" x14ac:dyDescent="0.25">
      <c r="A191" s="4" t="s">
        <v>10</v>
      </c>
      <c r="B191" s="3" t="s">
        <v>97</v>
      </c>
      <c r="C191" s="3">
        <v>238</v>
      </c>
      <c r="D191" s="4" t="s">
        <v>39</v>
      </c>
      <c r="E191" s="17">
        <f>E189</f>
        <v>550</v>
      </c>
      <c r="F191" s="6">
        <f>C191*E191</f>
        <v>130900</v>
      </c>
      <c r="G191" s="24"/>
    </row>
    <row r="192" spans="1:7" x14ac:dyDescent="0.25">
      <c r="B192" s="30"/>
    </row>
    <row r="193" spans="1:8" x14ac:dyDescent="0.25">
      <c r="A193" s="4" t="s">
        <v>12</v>
      </c>
      <c r="B193" s="3" t="s">
        <v>98</v>
      </c>
      <c r="D193" s="4" t="s">
        <v>39</v>
      </c>
      <c r="E193" s="17">
        <f>E191</f>
        <v>550</v>
      </c>
      <c r="F193" s="6">
        <f>C193*E193</f>
        <v>0</v>
      </c>
      <c r="G193" s="24"/>
    </row>
    <row r="194" spans="1:8" s="20" customFormat="1" x14ac:dyDescent="0.25">
      <c r="A194" s="50"/>
      <c r="D194" s="51"/>
      <c r="E194" s="52"/>
      <c r="F194" s="53"/>
      <c r="H194" s="7"/>
    </row>
    <row r="195" spans="1:8" ht="16.5" x14ac:dyDescent="0.25">
      <c r="A195" s="48"/>
      <c r="B195" s="10" t="s">
        <v>44</v>
      </c>
    </row>
    <row r="197" spans="1:8" x14ac:dyDescent="0.25">
      <c r="B197" s="23" t="s">
        <v>45</v>
      </c>
    </row>
    <row r="199" spans="1:8" ht="16.5" x14ac:dyDescent="0.25">
      <c r="A199" s="4" t="s">
        <v>14</v>
      </c>
      <c r="B199" s="3" t="s">
        <v>99</v>
      </c>
      <c r="C199" s="3">
        <v>8</v>
      </c>
      <c r="D199" s="4" t="s">
        <v>6</v>
      </c>
      <c r="E199" s="17">
        <f>E162</f>
        <v>5500</v>
      </c>
      <c r="F199" s="6">
        <f>C199*E199</f>
        <v>44000</v>
      </c>
      <c r="G199" s="24"/>
    </row>
    <row r="200" spans="1:8" x14ac:dyDescent="0.25">
      <c r="E200" s="17"/>
    </row>
    <row r="201" spans="1:8" ht="16.5" x14ac:dyDescent="0.25">
      <c r="A201" s="4" t="s">
        <v>16</v>
      </c>
      <c r="B201" s="3" t="s">
        <v>100</v>
      </c>
      <c r="C201" s="3">
        <v>2</v>
      </c>
      <c r="D201" s="4" t="s">
        <v>6</v>
      </c>
      <c r="E201" s="17">
        <f>E199</f>
        <v>5500</v>
      </c>
      <c r="F201" s="6">
        <f>C201*E201</f>
        <v>11000</v>
      </c>
      <c r="G201" s="24"/>
    </row>
    <row r="202" spans="1:8" x14ac:dyDescent="0.25">
      <c r="E202" s="17"/>
      <c r="G202" s="18"/>
    </row>
    <row r="203" spans="1:8" x14ac:dyDescent="0.25">
      <c r="A203" s="4" t="s">
        <v>18</v>
      </c>
      <c r="B203" s="3" t="s">
        <v>101</v>
      </c>
      <c r="C203" s="3">
        <v>2</v>
      </c>
      <c r="D203" s="4" t="str">
        <f>D201</f>
        <v>m2</v>
      </c>
      <c r="E203" s="17">
        <f>E201</f>
        <v>5500</v>
      </c>
      <c r="F203" s="6">
        <f>C203*E203</f>
        <v>11000</v>
      </c>
      <c r="G203" s="24"/>
    </row>
    <row r="204" spans="1:8" x14ac:dyDescent="0.25">
      <c r="E204" s="17"/>
    </row>
    <row r="205" spans="1:8" ht="30" x14ac:dyDescent="0.25">
      <c r="A205" s="4" t="s">
        <v>20</v>
      </c>
      <c r="B205" s="15" t="s">
        <v>102</v>
      </c>
      <c r="C205" s="3">
        <v>2</v>
      </c>
      <c r="D205" s="4" t="s">
        <v>6</v>
      </c>
      <c r="E205" s="17">
        <f>E203</f>
        <v>5500</v>
      </c>
      <c r="F205" s="6">
        <f>C205*E205</f>
        <v>11000</v>
      </c>
      <c r="G205" s="24"/>
    </row>
    <row r="206" spans="1:8" x14ac:dyDescent="0.25">
      <c r="B206" s="15"/>
    </row>
    <row r="207" spans="1:8" x14ac:dyDescent="0.25">
      <c r="A207" s="4" t="s">
        <v>22</v>
      </c>
      <c r="B207" s="3" t="s">
        <v>103</v>
      </c>
      <c r="C207" s="3">
        <v>13</v>
      </c>
      <c r="D207" s="4" t="s">
        <v>51</v>
      </c>
      <c r="E207" s="17">
        <f>E205</f>
        <v>5500</v>
      </c>
      <c r="F207" s="6">
        <f>C207*E207</f>
        <v>71500</v>
      </c>
      <c r="G207" s="24"/>
    </row>
    <row r="208" spans="1:8" x14ac:dyDescent="0.25">
      <c r="E208" s="17"/>
    </row>
    <row r="209" spans="1:7" x14ac:dyDescent="0.25">
      <c r="A209" s="4" t="s">
        <v>24</v>
      </c>
      <c r="B209" s="3" t="s">
        <v>104</v>
      </c>
      <c r="C209" s="3">
        <v>5</v>
      </c>
      <c r="D209" s="4" t="s">
        <v>51</v>
      </c>
      <c r="E209" s="17">
        <f>E207</f>
        <v>5500</v>
      </c>
      <c r="F209" s="6">
        <f>C209*E209</f>
        <v>27500</v>
      </c>
      <c r="G209" s="24"/>
    </row>
    <row r="210" spans="1:7" x14ac:dyDescent="0.25">
      <c r="E210" s="17"/>
      <c r="G210" s="24"/>
    </row>
    <row r="211" spans="1:7" x14ac:dyDescent="0.25">
      <c r="E211" s="17"/>
      <c r="G211" s="24"/>
    </row>
    <row r="212" spans="1:7" x14ac:dyDescent="0.25">
      <c r="E212" s="17"/>
      <c r="G212" s="24"/>
    </row>
    <row r="213" spans="1:7" x14ac:dyDescent="0.25">
      <c r="E213" s="17"/>
    </row>
    <row r="214" spans="1:7" ht="16.5" x14ac:dyDescent="0.25">
      <c r="B214" s="25" t="s">
        <v>33</v>
      </c>
      <c r="C214" s="25"/>
      <c r="D214" s="8"/>
      <c r="E214" s="26" t="s">
        <v>34</v>
      </c>
      <c r="F214" s="29">
        <f>SUM(F176:F209)</f>
        <v>441900</v>
      </c>
    </row>
    <row r="215" spans="1:7" ht="16.5" x14ac:dyDescent="0.25">
      <c r="B215" s="9" t="s">
        <v>105</v>
      </c>
      <c r="E215" s="17"/>
    </row>
    <row r="216" spans="1:7" ht="16.5" x14ac:dyDescent="0.25">
      <c r="B216" s="9"/>
      <c r="E216" s="17"/>
    </row>
    <row r="217" spans="1:7" ht="16.5" x14ac:dyDescent="0.25">
      <c r="B217" s="10" t="s">
        <v>106</v>
      </c>
      <c r="E217" s="17"/>
      <c r="F217" s="49"/>
    </row>
    <row r="218" spans="1:7" x14ac:dyDescent="0.25">
      <c r="E218" s="17"/>
      <c r="F218" s="49"/>
    </row>
    <row r="219" spans="1:7" ht="33" x14ac:dyDescent="0.25">
      <c r="B219" s="44" t="s">
        <v>107</v>
      </c>
    </row>
    <row r="220" spans="1:7" ht="16.5" x14ac:dyDescent="0.25">
      <c r="B220" s="10"/>
    </row>
    <row r="221" spans="1:7" ht="16.5" x14ac:dyDescent="0.25">
      <c r="A221" s="4" t="s">
        <v>4</v>
      </c>
      <c r="B221" s="38" t="s">
        <v>108</v>
      </c>
      <c r="C221" s="3">
        <f>C201</f>
        <v>2</v>
      </c>
      <c r="D221" s="4" t="s">
        <v>6</v>
      </c>
      <c r="E221" s="17">
        <f>'[16]Type S-0'!E294</f>
        <v>30000</v>
      </c>
      <c r="F221" s="6">
        <f>C221*E221</f>
        <v>60000</v>
      </c>
      <c r="G221" s="18"/>
    </row>
    <row r="222" spans="1:7" x14ac:dyDescent="0.25">
      <c r="B222" s="38"/>
    </row>
    <row r="223" spans="1:7" x14ac:dyDescent="0.25">
      <c r="A223" s="4" t="s">
        <v>7</v>
      </c>
      <c r="B223" s="3" t="s">
        <v>109</v>
      </c>
      <c r="C223" s="3">
        <v>14</v>
      </c>
      <c r="D223" s="4" t="s">
        <v>51</v>
      </c>
      <c r="E223" s="17">
        <f>E221*0.3</f>
        <v>9000</v>
      </c>
      <c r="F223" s="6">
        <f>C223*E223</f>
        <v>126000</v>
      </c>
      <c r="G223" s="18"/>
    </row>
    <row r="224" spans="1:7" x14ac:dyDescent="0.25">
      <c r="C224" s="3">
        <v>13</v>
      </c>
      <c r="E224" s="17"/>
    </row>
    <row r="225" spans="1:8" x14ac:dyDescent="0.25">
      <c r="A225" s="4" t="s">
        <v>10</v>
      </c>
      <c r="B225" s="3" t="s">
        <v>110</v>
      </c>
      <c r="D225" s="4" t="s">
        <v>51</v>
      </c>
      <c r="E225" s="17">
        <f>E221*0.15</f>
        <v>4500</v>
      </c>
      <c r="F225" s="6">
        <f>C225*E225</f>
        <v>0</v>
      </c>
      <c r="G225" s="18"/>
    </row>
    <row r="227" spans="1:8" s="25" customFormat="1" ht="27" customHeight="1" x14ac:dyDescent="0.25">
      <c r="A227" s="4" t="s">
        <v>12</v>
      </c>
      <c r="B227" s="43" t="s">
        <v>111</v>
      </c>
      <c r="C227" s="3">
        <v>13</v>
      </c>
      <c r="D227" s="4" t="s">
        <v>51</v>
      </c>
      <c r="E227" s="17">
        <f>E221*0.08</f>
        <v>2400</v>
      </c>
      <c r="F227" s="6">
        <f>C227*E227</f>
        <v>31200</v>
      </c>
      <c r="G227" s="24"/>
      <c r="H227" s="54"/>
    </row>
    <row r="228" spans="1:8" s="25" customFormat="1" ht="15" customHeight="1" x14ac:dyDescent="0.25">
      <c r="A228" s="4"/>
      <c r="B228" s="20"/>
      <c r="C228" s="3"/>
      <c r="D228" s="4"/>
      <c r="E228" s="17"/>
      <c r="F228" s="6"/>
      <c r="G228" s="18"/>
      <c r="H228" s="54"/>
    </row>
    <row r="229" spans="1:8" ht="35.25" customHeight="1" x14ac:dyDescent="0.25">
      <c r="B229" s="44" t="s">
        <v>112</v>
      </c>
      <c r="C229" s="25"/>
      <c r="D229" s="8"/>
      <c r="E229" s="33"/>
      <c r="F229" s="27"/>
    </row>
    <row r="230" spans="1:8" ht="16.5" x14ac:dyDescent="0.25">
      <c r="B230" s="25"/>
      <c r="C230" s="25"/>
      <c r="D230" s="8"/>
      <c r="E230" s="33"/>
      <c r="F230" s="27"/>
    </row>
    <row r="231" spans="1:8" x14ac:dyDescent="0.25">
      <c r="B231" s="23" t="s">
        <v>113</v>
      </c>
    </row>
    <row r="232" spans="1:8" x14ac:dyDescent="0.25">
      <c r="B232" s="23"/>
    </row>
    <row r="233" spans="1:8" ht="16.5" x14ac:dyDescent="0.25">
      <c r="A233" s="4" t="s">
        <v>14</v>
      </c>
      <c r="B233" s="38" t="s">
        <v>114</v>
      </c>
      <c r="C233" s="3">
        <f>C221</f>
        <v>2</v>
      </c>
      <c r="D233" s="4" t="s">
        <v>6</v>
      </c>
      <c r="E233" s="17">
        <f>'[16]Type S-0'!E306</f>
        <v>2000</v>
      </c>
      <c r="F233" s="6">
        <f>C233*E233</f>
        <v>4000</v>
      </c>
      <c r="G233" s="18"/>
    </row>
    <row r="234" spans="1:8" x14ac:dyDescent="0.25">
      <c r="B234" s="23"/>
    </row>
    <row r="235" spans="1:8" x14ac:dyDescent="0.25">
      <c r="A235" s="4" t="s">
        <v>16</v>
      </c>
      <c r="B235" s="38" t="s">
        <v>115</v>
      </c>
      <c r="C235" s="3">
        <f>C224</f>
        <v>13</v>
      </c>
      <c r="D235" s="4" t="s">
        <v>51</v>
      </c>
      <c r="E235" s="11">
        <f>E233*0.15</f>
        <v>300</v>
      </c>
      <c r="F235" s="12">
        <f>C235*E235</f>
        <v>3900</v>
      </c>
      <c r="G235" s="18"/>
    </row>
    <row r="236" spans="1:8" x14ac:dyDescent="0.25">
      <c r="B236" s="38"/>
      <c r="E236" s="17"/>
      <c r="F236" s="12"/>
      <c r="G236" s="18"/>
    </row>
    <row r="237" spans="1:8" x14ac:dyDescent="0.25">
      <c r="A237" s="4" t="s">
        <v>18</v>
      </c>
      <c r="B237" s="38" t="s">
        <v>116</v>
      </c>
      <c r="C237" s="3">
        <f>C224</f>
        <v>13</v>
      </c>
      <c r="D237" s="4" t="s">
        <v>51</v>
      </c>
      <c r="E237" s="11">
        <f>E233*0.3</f>
        <v>600</v>
      </c>
      <c r="F237" s="12">
        <f>C237*E237</f>
        <v>7800</v>
      </c>
      <c r="G237" s="18"/>
    </row>
    <row r="238" spans="1:8" x14ac:dyDescent="0.25">
      <c r="B238" s="38"/>
      <c r="E238" s="11"/>
      <c r="F238" s="12"/>
      <c r="G238" s="18"/>
    </row>
    <row r="239" spans="1:8" x14ac:dyDescent="0.25">
      <c r="A239" s="4" t="s">
        <v>20</v>
      </c>
      <c r="B239" s="38" t="s">
        <v>117</v>
      </c>
      <c r="C239" s="3">
        <f>C227</f>
        <v>13</v>
      </c>
      <c r="D239" s="4" t="s">
        <v>51</v>
      </c>
      <c r="E239" s="11">
        <f>'[16]Type S-0'!E312</f>
        <v>200</v>
      </c>
      <c r="F239" s="12">
        <f>C239*E239</f>
        <v>2600</v>
      </c>
      <c r="G239" s="18"/>
    </row>
    <row r="241" spans="1:7" ht="16.5" x14ac:dyDescent="0.25">
      <c r="B241" s="10" t="s">
        <v>82</v>
      </c>
    </row>
    <row r="243" spans="1:7" ht="30" x14ac:dyDescent="0.25">
      <c r="B243" s="30" t="s">
        <v>118</v>
      </c>
    </row>
    <row r="244" spans="1:7" x14ac:dyDescent="0.25">
      <c r="B244" s="30"/>
    </row>
    <row r="245" spans="1:7" ht="16.5" x14ac:dyDescent="0.25">
      <c r="A245" s="4" t="s">
        <v>22</v>
      </c>
      <c r="B245" s="38" t="s">
        <v>119</v>
      </c>
      <c r="C245" s="3">
        <f>C199</f>
        <v>8</v>
      </c>
      <c r="D245" s="4" t="s">
        <v>6</v>
      </c>
      <c r="E245" s="17">
        <f>'[16]Type S-0'!E318</f>
        <v>1700</v>
      </c>
      <c r="F245" s="6">
        <f>C245*E245</f>
        <v>13600</v>
      </c>
      <c r="G245" s="18"/>
    </row>
    <row r="246" spans="1:7" x14ac:dyDescent="0.25">
      <c r="B246" s="38"/>
      <c r="E246" s="17"/>
    </row>
    <row r="247" spans="1:7" ht="16.5" x14ac:dyDescent="0.25">
      <c r="A247" s="4" t="s">
        <v>24</v>
      </c>
      <c r="B247" s="3" t="s">
        <v>120</v>
      </c>
      <c r="C247" s="3">
        <f>C201</f>
        <v>2</v>
      </c>
      <c r="D247" s="4" t="s">
        <v>6</v>
      </c>
      <c r="E247" s="17">
        <f>E245</f>
        <v>1700</v>
      </c>
      <c r="F247" s="6">
        <f>C247*E247</f>
        <v>3400</v>
      </c>
      <c r="G247" s="18"/>
    </row>
    <row r="248" spans="1:7" x14ac:dyDescent="0.25">
      <c r="E248" s="17"/>
    </row>
    <row r="249" spans="1:7" ht="16.5" x14ac:dyDescent="0.25">
      <c r="A249" s="4" t="s">
        <v>28</v>
      </c>
      <c r="B249" s="3" t="s">
        <v>121</v>
      </c>
      <c r="C249" s="3">
        <f>C205</f>
        <v>2</v>
      </c>
      <c r="D249" s="4" t="s">
        <v>6</v>
      </c>
      <c r="E249" s="17">
        <f>E247</f>
        <v>1700</v>
      </c>
      <c r="F249" s="6">
        <f>C249*E249</f>
        <v>3400</v>
      </c>
      <c r="G249" s="18"/>
    </row>
    <row r="253" spans="1:7" ht="16.5" x14ac:dyDescent="0.25">
      <c r="B253" s="25" t="s">
        <v>33</v>
      </c>
      <c r="C253" s="25"/>
      <c r="D253" s="8"/>
      <c r="E253" s="26" t="s">
        <v>34</v>
      </c>
      <c r="F253" s="29">
        <f>SUM(F218:F252)</f>
        <v>255900</v>
      </c>
    </row>
    <row r="254" spans="1:7" ht="16.5" x14ac:dyDescent="0.25">
      <c r="B254" s="9" t="s">
        <v>105</v>
      </c>
    </row>
    <row r="256" spans="1:7" ht="16.5" x14ac:dyDescent="0.25">
      <c r="B256" s="9" t="s">
        <v>122</v>
      </c>
      <c r="C256" s="19"/>
    </row>
    <row r="257" spans="1:7" x14ac:dyDescent="0.25">
      <c r="C257" s="19"/>
    </row>
    <row r="258" spans="1:7" ht="30" x14ac:dyDescent="0.25">
      <c r="B258" s="30" t="s">
        <v>123</v>
      </c>
      <c r="C258" s="19"/>
    </row>
    <row r="259" spans="1:7" x14ac:dyDescent="0.25">
      <c r="C259" s="19"/>
    </row>
    <row r="260" spans="1:7" ht="16.5" x14ac:dyDescent="0.25">
      <c r="A260" s="4" t="s">
        <v>4</v>
      </c>
      <c r="B260" s="38" t="s">
        <v>119</v>
      </c>
      <c r="C260" s="3">
        <f>C245</f>
        <v>8</v>
      </c>
      <c r="D260" s="4" t="s">
        <v>6</v>
      </c>
      <c r="E260" s="17">
        <f>'[16]Type S-0'!E333</f>
        <v>950</v>
      </c>
      <c r="F260" s="6">
        <f>C260*E260</f>
        <v>7600</v>
      </c>
      <c r="G260" s="18"/>
    </row>
    <row r="261" spans="1:7" x14ac:dyDescent="0.25">
      <c r="B261" s="38"/>
      <c r="E261" s="17"/>
    </row>
    <row r="262" spans="1:7" ht="16.5" x14ac:dyDescent="0.25">
      <c r="A262" s="4" t="s">
        <v>7</v>
      </c>
      <c r="B262" s="3" t="s">
        <v>120</v>
      </c>
      <c r="C262" s="3">
        <f>C247</f>
        <v>2</v>
      </c>
      <c r="D262" s="4" t="s">
        <v>6</v>
      </c>
      <c r="E262" s="17">
        <f>E260</f>
        <v>950</v>
      </c>
      <c r="F262" s="6">
        <f>C262*E262</f>
        <v>1900</v>
      </c>
      <c r="G262" s="18"/>
    </row>
    <row r="263" spans="1:7" x14ac:dyDescent="0.25">
      <c r="E263" s="17"/>
    </row>
    <row r="264" spans="1:7" ht="16.5" x14ac:dyDescent="0.25">
      <c r="A264" s="4" t="s">
        <v>10</v>
      </c>
      <c r="B264" s="3" t="s">
        <v>121</v>
      </c>
      <c r="C264" s="3">
        <f>C249</f>
        <v>2</v>
      </c>
      <c r="D264" s="4" t="s">
        <v>6</v>
      </c>
      <c r="E264" s="17">
        <f>E262</f>
        <v>950</v>
      </c>
      <c r="F264" s="6">
        <f>C264*E264</f>
        <v>1900</v>
      </c>
      <c r="G264" s="18"/>
    </row>
    <row r="265" spans="1:7" x14ac:dyDescent="0.25">
      <c r="B265" s="38"/>
      <c r="C265" s="19"/>
    </row>
    <row r="266" spans="1:7" ht="16.5" x14ac:dyDescent="0.25">
      <c r="B266" s="10" t="s">
        <v>124</v>
      </c>
    </row>
    <row r="268" spans="1:7" ht="30" x14ac:dyDescent="0.25">
      <c r="B268" s="30" t="s">
        <v>125</v>
      </c>
    </row>
    <row r="270" spans="1:7" ht="16.5" x14ac:dyDescent="0.25">
      <c r="A270" s="4" t="s">
        <v>12</v>
      </c>
      <c r="B270" s="38" t="s">
        <v>119</v>
      </c>
      <c r="C270" s="3">
        <f>C260</f>
        <v>8</v>
      </c>
      <c r="D270" s="4" t="s">
        <v>6</v>
      </c>
      <c r="E270" s="17">
        <f>'[16]Type S-0'!E343</f>
        <v>1100</v>
      </c>
      <c r="F270" s="6">
        <f>C270*E270</f>
        <v>8800</v>
      </c>
      <c r="G270" s="18"/>
    </row>
    <row r="271" spans="1:7" x14ac:dyDescent="0.25">
      <c r="B271" s="38"/>
      <c r="E271" s="17"/>
    </row>
    <row r="272" spans="1:7" ht="16.5" x14ac:dyDescent="0.25">
      <c r="A272" s="4" t="s">
        <v>14</v>
      </c>
      <c r="B272" s="3" t="s">
        <v>120</v>
      </c>
      <c r="C272" s="3">
        <f>C262</f>
        <v>2</v>
      </c>
      <c r="D272" s="4" t="s">
        <v>6</v>
      </c>
      <c r="E272" s="17">
        <f>E270</f>
        <v>1100</v>
      </c>
      <c r="F272" s="6">
        <f>C272*E272</f>
        <v>2200</v>
      </c>
      <c r="G272" s="18"/>
    </row>
    <row r="273" spans="1:7" x14ac:dyDescent="0.25">
      <c r="E273" s="17"/>
    </row>
    <row r="274" spans="1:7" ht="16.5" x14ac:dyDescent="0.25">
      <c r="A274" s="4" t="s">
        <v>16</v>
      </c>
      <c r="B274" s="3" t="s">
        <v>121</v>
      </c>
      <c r="C274" s="3">
        <f>C264</f>
        <v>2</v>
      </c>
      <c r="D274" s="4" t="s">
        <v>6</v>
      </c>
      <c r="E274" s="17">
        <f>E272</f>
        <v>1100</v>
      </c>
      <c r="F274" s="6">
        <f>C274*E274</f>
        <v>2200</v>
      </c>
      <c r="G274" s="18"/>
    </row>
    <row r="275" spans="1:7" x14ac:dyDescent="0.25">
      <c r="E275" s="17"/>
    </row>
    <row r="277" spans="1:7" ht="16.5" x14ac:dyDescent="0.25">
      <c r="B277" s="25" t="s">
        <v>33</v>
      </c>
      <c r="E277" s="26" t="s">
        <v>34</v>
      </c>
      <c r="F277" s="29">
        <f>SUM(F258:F276)</f>
        <v>24600</v>
      </c>
    </row>
    <row r="279" spans="1:7" x14ac:dyDescent="0.25">
      <c r="B279" s="23" t="s">
        <v>56</v>
      </c>
    </row>
    <row r="280" spans="1:7" x14ac:dyDescent="0.25">
      <c r="B280" s="36" t="s">
        <v>126</v>
      </c>
      <c r="E280" s="5">
        <f>F214</f>
        <v>441900</v>
      </c>
    </row>
    <row r="281" spans="1:7" x14ac:dyDescent="0.25">
      <c r="B281" s="55"/>
    </row>
    <row r="282" spans="1:7" x14ac:dyDescent="0.25">
      <c r="B282" s="36" t="s">
        <v>127</v>
      </c>
      <c r="E282" s="5">
        <f>F253</f>
        <v>255900</v>
      </c>
    </row>
    <row r="283" spans="1:7" x14ac:dyDescent="0.25">
      <c r="B283" s="56"/>
    </row>
    <row r="284" spans="1:7" x14ac:dyDescent="0.25">
      <c r="B284" s="36" t="s">
        <v>128</v>
      </c>
      <c r="E284" s="5">
        <f>F277</f>
        <v>24600</v>
      </c>
    </row>
    <row r="285" spans="1:7" x14ac:dyDescent="0.25">
      <c r="B285" s="36"/>
    </row>
    <row r="286" spans="1:7" x14ac:dyDescent="0.25">
      <c r="B286" s="36"/>
    </row>
    <row r="287" spans="1:7" x14ac:dyDescent="0.25">
      <c r="B287" s="36"/>
    </row>
    <row r="288" spans="1:7" x14ac:dyDescent="0.25">
      <c r="B288" s="36"/>
    </row>
    <row r="289" spans="1:7" ht="16.5" x14ac:dyDescent="0.25">
      <c r="B289" s="9" t="s">
        <v>129</v>
      </c>
    </row>
    <row r="290" spans="1:7" ht="16.5" x14ac:dyDescent="0.25">
      <c r="B290" s="25" t="s">
        <v>61</v>
      </c>
      <c r="E290" s="26" t="s">
        <v>34</v>
      </c>
      <c r="F290" s="27">
        <f>SUM(E279:E287)</f>
        <v>722400</v>
      </c>
    </row>
    <row r="291" spans="1:7" ht="16.5" x14ac:dyDescent="0.25">
      <c r="B291" s="2" t="s">
        <v>130</v>
      </c>
    </row>
    <row r="293" spans="1:7" ht="16.5" x14ac:dyDescent="0.25">
      <c r="B293" s="9" t="s">
        <v>131</v>
      </c>
    </row>
    <row r="295" spans="1:7" ht="16.5" x14ac:dyDescent="0.25">
      <c r="B295" s="10" t="s">
        <v>26</v>
      </c>
    </row>
    <row r="297" spans="1:7" x14ac:dyDescent="0.25">
      <c r="B297" s="23" t="s">
        <v>64</v>
      </c>
    </row>
    <row r="298" spans="1:7" x14ac:dyDescent="0.25">
      <c r="B298" s="23"/>
    </row>
    <row r="299" spans="1:7" x14ac:dyDescent="0.25">
      <c r="B299" s="23" t="s">
        <v>65</v>
      </c>
    </row>
    <row r="301" spans="1:7" ht="16.5" x14ac:dyDescent="0.25">
      <c r="A301" s="4" t="s">
        <v>4</v>
      </c>
      <c r="B301" s="3" t="s">
        <v>132</v>
      </c>
      <c r="C301" s="19">
        <v>6</v>
      </c>
      <c r="D301" s="4" t="s">
        <v>9</v>
      </c>
      <c r="E301" s="5">
        <f>E105</f>
        <v>45000</v>
      </c>
      <c r="F301" s="6">
        <f>C301*E301</f>
        <v>270000</v>
      </c>
      <c r="G301" s="18"/>
    </row>
    <row r="302" spans="1:7" x14ac:dyDescent="0.25">
      <c r="G302" s="18"/>
    </row>
    <row r="303" spans="1:7" ht="16.5" x14ac:dyDescent="0.25">
      <c r="A303" s="4" t="s">
        <v>7</v>
      </c>
      <c r="B303" s="3" t="s">
        <v>133</v>
      </c>
      <c r="C303" s="19">
        <v>3</v>
      </c>
      <c r="D303" s="4" t="s">
        <v>9</v>
      </c>
      <c r="E303" s="5">
        <f>E107</f>
        <v>45000</v>
      </c>
      <c r="F303" s="6">
        <f>C303*E303</f>
        <v>135000</v>
      </c>
      <c r="G303" s="18"/>
    </row>
    <row r="304" spans="1:7" x14ac:dyDescent="0.25">
      <c r="G304" s="18"/>
    </row>
    <row r="305" spans="1:7" ht="16.5" x14ac:dyDescent="0.25">
      <c r="A305" s="48"/>
      <c r="B305" s="10" t="s">
        <v>38</v>
      </c>
    </row>
    <row r="306" spans="1:7" x14ac:dyDescent="0.25">
      <c r="B306" s="23"/>
    </row>
    <row r="307" spans="1:7" ht="30" x14ac:dyDescent="0.25">
      <c r="B307" s="30" t="s">
        <v>134</v>
      </c>
    </row>
    <row r="308" spans="1:7" x14ac:dyDescent="0.25">
      <c r="B308" s="20"/>
      <c r="C308" s="20"/>
      <c r="D308" s="51"/>
      <c r="E308" s="52"/>
      <c r="F308" s="53"/>
    </row>
    <row r="309" spans="1:7" x14ac:dyDescent="0.25">
      <c r="A309" s="4" t="s">
        <v>12</v>
      </c>
      <c r="B309" s="3" t="s">
        <v>412</v>
      </c>
      <c r="C309" s="16">
        <v>830</v>
      </c>
      <c r="D309" s="4" t="s">
        <v>39</v>
      </c>
      <c r="E309" s="17">
        <f>'[16]Type S-0'!E386</f>
        <v>550</v>
      </c>
      <c r="F309" s="49">
        <f>C309*E309</f>
        <v>456500</v>
      </c>
      <c r="G309" s="18"/>
    </row>
    <row r="310" spans="1:7" x14ac:dyDescent="0.25">
      <c r="C310" s="16"/>
      <c r="E310" s="17"/>
      <c r="F310" s="49"/>
      <c r="G310" s="18"/>
    </row>
    <row r="311" spans="1:7" x14ac:dyDescent="0.25">
      <c r="A311" s="4" t="s">
        <v>16</v>
      </c>
      <c r="B311" s="3" t="s">
        <v>77</v>
      </c>
      <c r="C311" s="16">
        <v>190</v>
      </c>
      <c r="D311" s="4" t="s">
        <v>39</v>
      </c>
      <c r="E311" s="17">
        <f>E309</f>
        <v>550</v>
      </c>
      <c r="F311" s="49">
        <f>C311*E311</f>
        <v>104500</v>
      </c>
      <c r="G311" s="18"/>
    </row>
    <row r="312" spans="1:7" x14ac:dyDescent="0.25">
      <c r="A312" s="50"/>
      <c r="E312" s="17"/>
      <c r="F312" s="49"/>
    </row>
    <row r="313" spans="1:7" ht="16.5" x14ac:dyDescent="0.25">
      <c r="B313" s="10" t="s">
        <v>44</v>
      </c>
    </row>
    <row r="315" spans="1:7" x14ac:dyDescent="0.25">
      <c r="B315" s="23" t="s">
        <v>45</v>
      </c>
    </row>
    <row r="317" spans="1:7" ht="16.5" x14ac:dyDescent="0.25">
      <c r="A317" s="4" t="s">
        <v>18</v>
      </c>
      <c r="B317" s="3" t="s">
        <v>135</v>
      </c>
      <c r="C317" s="19">
        <v>71</v>
      </c>
      <c r="D317" s="4" t="s">
        <v>6</v>
      </c>
      <c r="E317" s="5">
        <f>'[16]Type S-0'!E398</f>
        <v>5500</v>
      </c>
      <c r="F317" s="6">
        <f>C317*E317</f>
        <v>390500</v>
      </c>
      <c r="G317" s="18"/>
    </row>
    <row r="318" spans="1:7" x14ac:dyDescent="0.25">
      <c r="G318" s="18"/>
    </row>
    <row r="319" spans="1:7" ht="16.5" x14ac:dyDescent="0.25">
      <c r="A319" s="4" t="s">
        <v>20</v>
      </c>
      <c r="B319" s="3" t="s">
        <v>136</v>
      </c>
      <c r="C319" s="19">
        <v>13</v>
      </c>
      <c r="D319" s="4" t="s">
        <v>6</v>
      </c>
      <c r="E319" s="5">
        <f>E317</f>
        <v>5500</v>
      </c>
      <c r="F319" s="6">
        <f>C319*E319</f>
        <v>71500</v>
      </c>
      <c r="G319" s="18"/>
    </row>
    <row r="320" spans="1:7" x14ac:dyDescent="0.25">
      <c r="G320" s="18"/>
    </row>
    <row r="321" spans="1:7" x14ac:dyDescent="0.25">
      <c r="G321" s="18"/>
    </row>
    <row r="322" spans="1:7" x14ac:dyDescent="0.25">
      <c r="G322" s="18"/>
    </row>
    <row r="323" spans="1:7" x14ac:dyDescent="0.25">
      <c r="G323" s="18"/>
    </row>
    <row r="324" spans="1:7" x14ac:dyDescent="0.25">
      <c r="G324" s="18"/>
    </row>
    <row r="325" spans="1:7" ht="16.5" x14ac:dyDescent="0.25">
      <c r="B325" s="25" t="s">
        <v>33</v>
      </c>
      <c r="C325" s="25"/>
      <c r="D325" s="8"/>
      <c r="E325" s="26" t="s">
        <v>34</v>
      </c>
      <c r="F325" s="29">
        <f>SUM(F294:F320)</f>
        <v>1428000</v>
      </c>
      <c r="G325" s="18"/>
    </row>
    <row r="326" spans="1:7" ht="16.5" x14ac:dyDescent="0.25">
      <c r="B326" s="9" t="s">
        <v>137</v>
      </c>
      <c r="G326" s="18"/>
    </row>
    <row r="327" spans="1:7" x14ac:dyDescent="0.25">
      <c r="G327" s="18"/>
    </row>
    <row r="328" spans="1:7" ht="36" customHeight="1" x14ac:dyDescent="0.25">
      <c r="B328" s="44" t="s">
        <v>138</v>
      </c>
    </row>
    <row r="329" spans="1:7" x14ac:dyDescent="0.25">
      <c r="B329" s="38"/>
    </row>
    <row r="330" spans="1:7" ht="18.95" customHeight="1" x14ac:dyDescent="0.25">
      <c r="A330" s="4" t="s">
        <v>4</v>
      </c>
      <c r="B330" s="43" t="s">
        <v>139</v>
      </c>
      <c r="C330" s="16">
        <v>152</v>
      </c>
      <c r="D330" s="4" t="s">
        <v>6</v>
      </c>
      <c r="E330" s="17">
        <f>'[16]Type S-0'!E411</f>
        <v>8500</v>
      </c>
      <c r="F330" s="49">
        <f>C330*E330</f>
        <v>1292000</v>
      </c>
      <c r="G330" s="18"/>
    </row>
    <row r="331" spans="1:7" x14ac:dyDescent="0.25">
      <c r="B331" s="15"/>
      <c r="E331" s="17"/>
      <c r="F331" s="49"/>
    </row>
    <row r="332" spans="1:7" x14ac:dyDescent="0.25">
      <c r="A332" s="4" t="s">
        <v>7</v>
      </c>
      <c r="B332" s="3" t="s">
        <v>140</v>
      </c>
      <c r="C332" s="19"/>
      <c r="D332" s="4" t="s">
        <v>51</v>
      </c>
      <c r="E332" s="17">
        <f>E330*0.35</f>
        <v>2975</v>
      </c>
      <c r="F332" s="49">
        <f>C332*E332</f>
        <v>0</v>
      </c>
      <c r="G332" s="18"/>
    </row>
    <row r="333" spans="1:7" x14ac:dyDescent="0.25">
      <c r="E333" s="17"/>
      <c r="F333" s="49"/>
      <c r="G333" s="18"/>
    </row>
    <row r="334" spans="1:7" x14ac:dyDescent="0.25">
      <c r="A334" s="4" t="s">
        <v>10</v>
      </c>
      <c r="B334" s="3" t="s">
        <v>141</v>
      </c>
      <c r="C334" s="19"/>
      <c r="D334" s="4" t="s">
        <v>51</v>
      </c>
      <c r="E334" s="17">
        <f>E330*0.15</f>
        <v>1275</v>
      </c>
      <c r="F334" s="49">
        <f>C334*E334</f>
        <v>0</v>
      </c>
      <c r="G334" s="18"/>
    </row>
    <row r="335" spans="1:7" x14ac:dyDescent="0.25">
      <c r="E335" s="17"/>
      <c r="F335" s="49"/>
      <c r="G335" s="18"/>
    </row>
    <row r="336" spans="1:7" x14ac:dyDescent="0.25">
      <c r="A336" s="4" t="s">
        <v>10</v>
      </c>
      <c r="B336" s="3" t="s">
        <v>142</v>
      </c>
      <c r="C336" s="19"/>
      <c r="D336" s="4" t="s">
        <v>51</v>
      </c>
      <c r="E336" s="17">
        <f>E334</f>
        <v>1275</v>
      </c>
      <c r="F336" s="49">
        <f>C336*E336</f>
        <v>0</v>
      </c>
      <c r="G336" s="18"/>
    </row>
    <row r="337" spans="1:9" ht="16.5" x14ac:dyDescent="0.25">
      <c r="B337" s="25"/>
      <c r="E337" s="33"/>
      <c r="F337" s="29"/>
    </row>
    <row r="338" spans="1:9" ht="16.5" customHeight="1" x14ac:dyDescent="0.25">
      <c r="B338" s="10" t="s">
        <v>143</v>
      </c>
    </row>
    <row r="339" spans="1:9" ht="14.45" customHeight="1" x14ac:dyDescent="0.25"/>
    <row r="340" spans="1:9" ht="35.450000000000003" customHeight="1" x14ac:dyDescent="0.25">
      <c r="B340" s="30" t="s">
        <v>144</v>
      </c>
    </row>
    <row r="342" spans="1:9" ht="17.100000000000001" customHeight="1" x14ac:dyDescent="0.25">
      <c r="A342" s="4" t="s">
        <v>12</v>
      </c>
      <c r="B342" s="3" t="s">
        <v>145</v>
      </c>
      <c r="C342" s="16"/>
      <c r="D342" s="4" t="s">
        <v>146</v>
      </c>
      <c r="E342" s="17"/>
      <c r="F342" s="49"/>
      <c r="G342" s="18"/>
      <c r="H342" s="54"/>
      <c r="I342" s="57"/>
    </row>
    <row r="344" spans="1:9" x14ac:dyDescent="0.25">
      <c r="A344" s="4" t="s">
        <v>14</v>
      </c>
      <c r="B344" s="3" t="s">
        <v>147</v>
      </c>
      <c r="C344" s="16">
        <v>149</v>
      </c>
      <c r="D344" s="4" t="s">
        <v>51</v>
      </c>
      <c r="E344" s="17">
        <v>430</v>
      </c>
      <c r="F344" s="49">
        <f>C344*E344</f>
        <v>64070</v>
      </c>
      <c r="G344" s="18"/>
    </row>
    <row r="345" spans="1:9" ht="12.75" customHeight="1" x14ac:dyDescent="0.25">
      <c r="E345" s="17"/>
      <c r="F345" s="49"/>
    </row>
    <row r="346" spans="1:9" x14ac:dyDescent="0.25">
      <c r="A346" s="4" t="s">
        <v>16</v>
      </c>
      <c r="B346" s="3" t="s">
        <v>413</v>
      </c>
      <c r="C346" s="16">
        <v>22</v>
      </c>
      <c r="D346" s="4" t="s">
        <v>51</v>
      </c>
      <c r="E346" s="17">
        <f>E341</f>
        <v>0</v>
      </c>
      <c r="F346" s="49">
        <f>C346*E346</f>
        <v>0</v>
      </c>
      <c r="G346" s="18"/>
    </row>
    <row r="347" spans="1:9" ht="12.75" customHeight="1" x14ac:dyDescent="0.25">
      <c r="E347" s="17"/>
      <c r="F347" s="49"/>
    </row>
    <row r="348" spans="1:9" x14ac:dyDescent="0.25">
      <c r="A348" s="4" t="s">
        <v>16</v>
      </c>
      <c r="B348" s="3" t="s">
        <v>148</v>
      </c>
      <c r="C348" s="16">
        <v>147</v>
      </c>
      <c r="D348" s="4" t="s">
        <v>51</v>
      </c>
      <c r="E348" s="17">
        <f>E344</f>
        <v>430</v>
      </c>
      <c r="F348" s="49">
        <f>C348*E348</f>
        <v>63210</v>
      </c>
      <c r="G348" s="18"/>
    </row>
    <row r="349" spans="1:9" ht="12.75" customHeight="1" x14ac:dyDescent="0.25"/>
    <row r="350" spans="1:9" x14ac:dyDescent="0.25">
      <c r="A350" s="4" t="s">
        <v>18</v>
      </c>
      <c r="B350" s="3" t="s">
        <v>149</v>
      </c>
      <c r="C350" s="16">
        <v>196</v>
      </c>
      <c r="D350" s="4" t="s">
        <v>51</v>
      </c>
      <c r="E350" s="17">
        <f>E348</f>
        <v>430</v>
      </c>
      <c r="F350" s="49">
        <f>C350*E350</f>
        <v>84280</v>
      </c>
      <c r="G350" s="18"/>
    </row>
    <row r="351" spans="1:9" x14ac:dyDescent="0.25">
      <c r="C351" s="16"/>
      <c r="E351" s="17"/>
      <c r="F351" s="49"/>
      <c r="G351" s="18"/>
    </row>
    <row r="352" spans="1:9" ht="19.5" customHeight="1" x14ac:dyDescent="0.25">
      <c r="A352" s="4" t="s">
        <v>20</v>
      </c>
      <c r="B352" s="3" t="s">
        <v>150</v>
      </c>
      <c r="C352" s="16">
        <v>249</v>
      </c>
      <c r="D352" s="4" t="s">
        <v>51</v>
      </c>
      <c r="E352" s="17">
        <v>330</v>
      </c>
      <c r="F352" s="49">
        <f>C352*E352</f>
        <v>82170</v>
      </c>
      <c r="G352" s="18"/>
    </row>
    <row r="353" spans="1:7" x14ac:dyDescent="0.25">
      <c r="C353" s="16"/>
      <c r="E353" s="17"/>
      <c r="F353" s="49"/>
      <c r="G353" s="18"/>
    </row>
    <row r="354" spans="1:7" ht="16.5" x14ac:dyDescent="0.25">
      <c r="B354" s="10" t="s">
        <v>151</v>
      </c>
      <c r="C354" s="25"/>
      <c r="D354" s="8"/>
      <c r="E354" s="33"/>
      <c r="F354" s="27"/>
      <c r="G354" s="18"/>
    </row>
    <row r="355" spans="1:7" ht="16.5" x14ac:dyDescent="0.25">
      <c r="B355" s="46"/>
      <c r="C355" s="25"/>
      <c r="D355" s="8"/>
      <c r="E355" s="33"/>
      <c r="F355" s="27"/>
      <c r="G355" s="18"/>
    </row>
    <row r="356" spans="1:7" ht="32.25" customHeight="1" x14ac:dyDescent="0.25">
      <c r="B356" s="30" t="s">
        <v>152</v>
      </c>
      <c r="C356" s="25"/>
      <c r="D356" s="8"/>
      <c r="E356" s="33"/>
      <c r="F356" s="27"/>
      <c r="G356" s="18"/>
    </row>
    <row r="357" spans="1:7" ht="16.5" x14ac:dyDescent="0.25">
      <c r="B357" s="30"/>
      <c r="C357" s="25"/>
      <c r="D357" s="8"/>
      <c r="E357" s="33"/>
      <c r="F357" s="27"/>
      <c r="G357" s="18"/>
    </row>
    <row r="358" spans="1:7" ht="16.5" x14ac:dyDescent="0.25">
      <c r="A358" s="4" t="s">
        <v>22</v>
      </c>
      <c r="B358" s="20" t="s">
        <v>153</v>
      </c>
      <c r="C358" s="19">
        <v>106</v>
      </c>
      <c r="D358" s="4" t="s">
        <v>6</v>
      </c>
      <c r="E358" s="17">
        <f>'[16]Type S-0'!E436</f>
        <v>5500</v>
      </c>
      <c r="F358" s="6">
        <f>C358*E358</f>
        <v>583000</v>
      </c>
      <c r="G358" s="18"/>
    </row>
    <row r="359" spans="1:7" x14ac:dyDescent="0.25">
      <c r="B359" s="20"/>
      <c r="E359" s="17"/>
      <c r="G359" s="18"/>
    </row>
    <row r="360" spans="1:7" x14ac:dyDescent="0.25">
      <c r="G360" s="18"/>
    </row>
    <row r="361" spans="1:7" ht="16.5" x14ac:dyDescent="0.25">
      <c r="B361" s="10" t="s">
        <v>82</v>
      </c>
      <c r="G361" s="18"/>
    </row>
    <row r="362" spans="1:7" x14ac:dyDescent="0.25">
      <c r="G362" s="18"/>
    </row>
    <row r="363" spans="1:7" ht="30" x14ac:dyDescent="0.25">
      <c r="B363" s="30" t="s">
        <v>83</v>
      </c>
      <c r="G363" s="18"/>
    </row>
    <row r="364" spans="1:7" ht="16.5" customHeight="1" x14ac:dyDescent="0.25">
      <c r="B364" s="30"/>
      <c r="G364" s="18"/>
    </row>
    <row r="365" spans="1:7" ht="18.600000000000001" customHeight="1" x14ac:dyDescent="0.25">
      <c r="A365" s="4" t="s">
        <v>24</v>
      </c>
      <c r="B365" s="38" t="s">
        <v>154</v>
      </c>
      <c r="C365" s="3">
        <f>C358*2</f>
        <v>212</v>
      </c>
      <c r="D365" s="4" t="s">
        <v>6</v>
      </c>
      <c r="E365" s="17">
        <f>'[16]Type S-0'!E442</f>
        <v>1700</v>
      </c>
      <c r="F365" s="6">
        <f>C365*E365</f>
        <v>360400</v>
      </c>
      <c r="G365" s="18"/>
    </row>
    <row r="366" spans="1:7" ht="18.75" customHeight="1" x14ac:dyDescent="0.25">
      <c r="A366" s="4" t="s">
        <v>28</v>
      </c>
      <c r="B366" s="3" t="s">
        <v>155</v>
      </c>
      <c r="C366" s="19">
        <f>C319</f>
        <v>13</v>
      </c>
      <c r="D366" s="4" t="s">
        <v>6</v>
      </c>
      <c r="E366" s="17">
        <f>'Asoya bOQ'!E365</f>
        <v>1700</v>
      </c>
      <c r="F366" s="6">
        <f>C366*E366</f>
        <v>22100</v>
      </c>
      <c r="G366" s="18"/>
    </row>
    <row r="367" spans="1:7" ht="15" customHeight="1" x14ac:dyDescent="0.25">
      <c r="E367" s="17"/>
      <c r="G367" s="18"/>
    </row>
    <row r="368" spans="1:7" x14ac:dyDescent="0.25">
      <c r="B368" s="38"/>
      <c r="C368" s="19"/>
      <c r="E368" s="17"/>
      <c r="G368" s="18"/>
    </row>
    <row r="369" spans="1:7" x14ac:dyDescent="0.25">
      <c r="B369" s="38"/>
      <c r="C369" s="19"/>
      <c r="E369" s="17"/>
      <c r="G369" s="18"/>
    </row>
    <row r="370" spans="1:7" x14ac:dyDescent="0.25">
      <c r="B370" s="38"/>
      <c r="C370" s="19"/>
      <c r="E370" s="17"/>
      <c r="G370" s="18"/>
    </row>
    <row r="371" spans="1:7" ht="16.5" x14ac:dyDescent="0.25">
      <c r="B371" s="25" t="s">
        <v>33</v>
      </c>
      <c r="C371" s="25"/>
      <c r="D371" s="8"/>
      <c r="E371" s="26" t="s">
        <v>34</v>
      </c>
      <c r="F371" s="6">
        <f>SUM(F329:F367)</f>
        <v>2551230</v>
      </c>
      <c r="G371" s="18"/>
    </row>
    <row r="372" spans="1:7" ht="16.5" x14ac:dyDescent="0.25">
      <c r="B372" s="9" t="s">
        <v>137</v>
      </c>
      <c r="G372" s="18"/>
    </row>
    <row r="373" spans="1:7" x14ac:dyDescent="0.25">
      <c r="B373" s="38"/>
      <c r="E373" s="17"/>
      <c r="G373" s="18"/>
    </row>
    <row r="374" spans="1:7" ht="16.5" x14ac:dyDescent="0.25">
      <c r="B374" s="9" t="s">
        <v>156</v>
      </c>
      <c r="C374" s="14"/>
      <c r="E374" s="17"/>
      <c r="G374" s="18"/>
    </row>
    <row r="375" spans="1:7" x14ac:dyDescent="0.25">
      <c r="B375" s="23"/>
      <c r="C375" s="14"/>
      <c r="E375" s="17"/>
      <c r="G375" s="18"/>
    </row>
    <row r="376" spans="1:7" ht="30" x14ac:dyDescent="0.25">
      <c r="B376" s="58" t="s">
        <v>157</v>
      </c>
      <c r="C376" s="14"/>
      <c r="E376" s="17"/>
      <c r="G376" s="18"/>
    </row>
    <row r="377" spans="1:7" x14ac:dyDescent="0.25">
      <c r="B377" s="56"/>
      <c r="C377" s="14"/>
      <c r="E377" s="17"/>
      <c r="G377" s="18"/>
    </row>
    <row r="378" spans="1:7" ht="16.5" x14ac:dyDescent="0.25">
      <c r="A378" s="4" t="s">
        <v>4</v>
      </c>
      <c r="B378" s="59" t="s">
        <v>158</v>
      </c>
      <c r="D378" s="4" t="s">
        <v>6</v>
      </c>
      <c r="E378" s="17">
        <f>'[16]Type S-0'!E461</f>
        <v>15000</v>
      </c>
      <c r="F378" s="6">
        <f>C378*E378</f>
        <v>0</v>
      </c>
      <c r="G378" s="18"/>
    </row>
    <row r="379" spans="1:7" ht="18" customHeight="1" x14ac:dyDescent="0.25">
      <c r="B379" s="60"/>
      <c r="E379" s="17"/>
      <c r="G379" s="18"/>
    </row>
    <row r="380" spans="1:7" ht="30" x14ac:dyDescent="0.25">
      <c r="A380" s="4" t="s">
        <v>7</v>
      </c>
      <c r="B380" s="43" t="s">
        <v>159</v>
      </c>
      <c r="D380" s="4" t="s">
        <v>6</v>
      </c>
      <c r="E380" s="17">
        <f>E378</f>
        <v>15000</v>
      </c>
      <c r="F380" s="6">
        <f>C380*E380</f>
        <v>0</v>
      </c>
      <c r="G380" s="18"/>
    </row>
    <row r="381" spans="1:7" x14ac:dyDescent="0.25">
      <c r="B381" s="38"/>
      <c r="E381" s="17"/>
      <c r="G381" s="18"/>
    </row>
    <row r="382" spans="1:7" ht="16.5" x14ac:dyDescent="0.25">
      <c r="A382" s="4" t="s">
        <v>7</v>
      </c>
      <c r="B382" s="38" t="s">
        <v>160</v>
      </c>
      <c r="D382" s="4" t="s">
        <v>6</v>
      </c>
      <c r="E382" s="17">
        <f>E380</f>
        <v>15000</v>
      </c>
      <c r="F382" s="6">
        <f>C382*E382</f>
        <v>0</v>
      </c>
      <c r="G382" s="18"/>
    </row>
    <row r="383" spans="1:7" ht="18" customHeight="1" x14ac:dyDescent="0.25">
      <c r="B383" s="38"/>
      <c r="E383" s="17"/>
      <c r="G383" s="18"/>
    </row>
    <row r="384" spans="1:7" ht="30" x14ac:dyDescent="0.25">
      <c r="A384" s="4" t="s">
        <v>10</v>
      </c>
      <c r="B384" s="43" t="s">
        <v>161</v>
      </c>
      <c r="C384" s="19"/>
      <c r="D384" s="4" t="s">
        <v>51</v>
      </c>
      <c r="E384" s="17">
        <f>'[16]Type S-0'!E463</f>
        <v>6500</v>
      </c>
      <c r="F384" s="6">
        <f>C384*E384</f>
        <v>0</v>
      </c>
      <c r="G384" s="18"/>
    </row>
    <row r="385" spans="1:7" x14ac:dyDescent="0.25">
      <c r="B385" s="38"/>
      <c r="E385" s="17"/>
      <c r="G385" s="18"/>
    </row>
    <row r="386" spans="1:7" ht="16.5" x14ac:dyDescent="0.25">
      <c r="B386" s="10" t="s">
        <v>162</v>
      </c>
    </row>
    <row r="388" spans="1:7" ht="30" x14ac:dyDescent="0.25">
      <c r="B388" s="30" t="s">
        <v>163</v>
      </c>
    </row>
    <row r="390" spans="1:7" x14ac:dyDescent="0.25">
      <c r="A390" s="4" t="s">
        <v>12</v>
      </c>
      <c r="B390" s="38" t="s">
        <v>154</v>
      </c>
      <c r="C390" s="19">
        <f>C358/2</f>
        <v>53</v>
      </c>
      <c r="D390" s="4" t="s">
        <v>86</v>
      </c>
      <c r="E390" s="17">
        <f>'[16]Type S-0'!E474</f>
        <v>1400</v>
      </c>
      <c r="F390" s="49">
        <f>C390*E390</f>
        <v>74200</v>
      </c>
      <c r="G390" s="18"/>
    </row>
    <row r="391" spans="1:7" x14ac:dyDescent="0.25">
      <c r="B391" s="38"/>
      <c r="E391" s="17"/>
      <c r="F391" s="49"/>
      <c r="G391" s="18"/>
    </row>
    <row r="392" spans="1:7" x14ac:dyDescent="0.25">
      <c r="A392" s="4" t="s">
        <v>14</v>
      </c>
      <c r="B392" s="3" t="s">
        <v>164</v>
      </c>
      <c r="C392" s="19">
        <f>C366</f>
        <v>13</v>
      </c>
      <c r="D392" s="4" t="s">
        <v>86</v>
      </c>
      <c r="E392" s="17">
        <f>E390</f>
        <v>1400</v>
      </c>
      <c r="F392" s="49">
        <f>C392*E392</f>
        <v>18200</v>
      </c>
      <c r="G392" s="18"/>
    </row>
    <row r="393" spans="1:7" x14ac:dyDescent="0.25">
      <c r="E393" s="17"/>
      <c r="F393" s="49"/>
      <c r="G393" s="18"/>
    </row>
    <row r="394" spans="1:7" ht="16.5" x14ac:dyDescent="0.25">
      <c r="B394" s="25" t="s">
        <v>33</v>
      </c>
      <c r="C394" s="25"/>
      <c r="D394" s="8"/>
      <c r="E394" s="26" t="s">
        <v>34</v>
      </c>
      <c r="F394" s="27">
        <f>SUM(F374:F393)</f>
        <v>92400</v>
      </c>
    </row>
    <row r="395" spans="1:7" ht="16.5" x14ac:dyDescent="0.25">
      <c r="B395" s="25"/>
      <c r="C395" s="25"/>
      <c r="D395" s="8"/>
      <c r="E395" s="33"/>
      <c r="F395" s="27"/>
    </row>
    <row r="396" spans="1:7" ht="16.5" x14ac:dyDescent="0.25">
      <c r="B396" s="25"/>
      <c r="C396" s="25"/>
      <c r="D396" s="8"/>
      <c r="E396" s="33"/>
      <c r="F396" s="27"/>
    </row>
    <row r="397" spans="1:7" ht="16.5" x14ac:dyDescent="0.25">
      <c r="B397" s="9" t="s">
        <v>56</v>
      </c>
    </row>
    <row r="398" spans="1:7" x14ac:dyDescent="0.25">
      <c r="B398" s="23"/>
    </row>
    <row r="399" spans="1:7" x14ac:dyDescent="0.25">
      <c r="B399" s="36" t="s">
        <v>165</v>
      </c>
      <c r="E399" s="5">
        <f>F325</f>
        <v>1428000</v>
      </c>
    </row>
    <row r="400" spans="1:7" x14ac:dyDescent="0.25">
      <c r="B400" s="36"/>
    </row>
    <row r="401" spans="2:6" x14ac:dyDescent="0.25">
      <c r="B401" s="36" t="s">
        <v>166</v>
      </c>
      <c r="E401" s="5">
        <f>F371</f>
        <v>2551230</v>
      </c>
    </row>
    <row r="402" spans="2:6" x14ac:dyDescent="0.25">
      <c r="B402" s="36"/>
    </row>
    <row r="403" spans="2:6" x14ac:dyDescent="0.25">
      <c r="B403" s="36" t="s">
        <v>167</v>
      </c>
      <c r="E403" s="5">
        <f>F394</f>
        <v>92400</v>
      </c>
    </row>
    <row r="404" spans="2:6" x14ac:dyDescent="0.25">
      <c r="B404" s="38"/>
    </row>
    <row r="405" spans="2:6" x14ac:dyDescent="0.25">
      <c r="B405" s="38"/>
    </row>
    <row r="406" spans="2:6" x14ac:dyDescent="0.25">
      <c r="B406" s="38"/>
    </row>
    <row r="407" spans="2:6" x14ac:dyDescent="0.25">
      <c r="B407" s="38"/>
    </row>
    <row r="408" spans="2:6" x14ac:dyDescent="0.25">
      <c r="B408" s="38"/>
    </row>
    <row r="409" spans="2:6" x14ac:dyDescent="0.25">
      <c r="B409" s="38"/>
    </row>
    <row r="410" spans="2:6" ht="16.5" x14ac:dyDescent="0.25">
      <c r="B410" s="9" t="s">
        <v>131</v>
      </c>
    </row>
    <row r="411" spans="2:6" ht="16.5" x14ac:dyDescent="0.25">
      <c r="B411" s="25" t="s">
        <v>61</v>
      </c>
      <c r="C411" s="25"/>
      <c r="D411" s="8"/>
      <c r="E411" s="26" t="s">
        <v>34</v>
      </c>
      <c r="F411" s="27">
        <f>SUM(E397:E405)</f>
        <v>4071630</v>
      </c>
    </row>
    <row r="412" spans="2:6" ht="16.5" x14ac:dyDescent="0.25">
      <c r="B412" s="2" t="s">
        <v>168</v>
      </c>
    </row>
    <row r="414" spans="2:6" ht="16.5" x14ac:dyDescent="0.25">
      <c r="B414" s="9" t="s">
        <v>169</v>
      </c>
    </row>
    <row r="415" spans="2:6" ht="16.5" x14ac:dyDescent="0.25">
      <c r="B415" s="9"/>
    </row>
    <row r="416" spans="2:6" ht="16.5" x14ac:dyDescent="0.25">
      <c r="B416" s="10" t="s">
        <v>151</v>
      </c>
      <c r="C416" s="25"/>
      <c r="D416" s="8"/>
      <c r="E416" s="33"/>
      <c r="F416" s="27"/>
    </row>
    <row r="417" spans="1:7" ht="16.5" x14ac:dyDescent="0.25">
      <c r="B417" s="46"/>
      <c r="C417" s="25"/>
      <c r="D417" s="8"/>
      <c r="E417" s="33"/>
      <c r="F417" s="27"/>
    </row>
    <row r="418" spans="1:7" ht="30" x14ac:dyDescent="0.25">
      <c r="B418" s="30" t="s">
        <v>170</v>
      </c>
      <c r="C418" s="25"/>
      <c r="D418" s="8"/>
      <c r="E418" s="33"/>
      <c r="F418" s="27"/>
    </row>
    <row r="419" spans="1:7" ht="16.5" x14ac:dyDescent="0.25">
      <c r="B419" s="30"/>
      <c r="C419" s="25"/>
      <c r="D419" s="8"/>
      <c r="E419" s="33"/>
      <c r="F419" s="27"/>
    </row>
    <row r="420" spans="1:7" ht="16.5" x14ac:dyDescent="0.25">
      <c r="A420" s="4" t="s">
        <v>4</v>
      </c>
      <c r="B420" s="3" t="s">
        <v>171</v>
      </c>
      <c r="C420" s="16">
        <v>297</v>
      </c>
      <c r="D420" s="4" t="s">
        <v>6</v>
      </c>
      <c r="E420" s="17">
        <f>'[16]Type S-0'!E509</f>
        <v>5200</v>
      </c>
      <c r="F420" s="49">
        <f>C420*E420</f>
        <v>1544400</v>
      </c>
    </row>
    <row r="421" spans="1:7" ht="16.5" x14ac:dyDescent="0.25">
      <c r="B421" s="9"/>
      <c r="E421" s="17"/>
      <c r="F421" s="49"/>
      <c r="G421" s="18"/>
    </row>
    <row r="422" spans="1:7" ht="16.5" x14ac:dyDescent="0.25">
      <c r="A422" s="4" t="s">
        <v>7</v>
      </c>
      <c r="B422" s="3" t="s">
        <v>172</v>
      </c>
      <c r="C422" s="16"/>
      <c r="D422" s="4" t="s">
        <v>6</v>
      </c>
      <c r="E422" s="17">
        <f>'[16]Type S-0'!E511</f>
        <v>5000</v>
      </c>
      <c r="F422" s="49">
        <f>C422*E422</f>
        <v>0</v>
      </c>
    </row>
    <row r="423" spans="1:7" x14ac:dyDescent="0.25">
      <c r="C423" s="23"/>
      <c r="E423" s="17"/>
    </row>
    <row r="424" spans="1:7" ht="16.5" x14ac:dyDescent="0.25">
      <c r="B424" s="10" t="s">
        <v>26</v>
      </c>
    </row>
    <row r="425" spans="1:7" ht="15.75" customHeight="1" x14ac:dyDescent="0.25"/>
    <row r="426" spans="1:7" ht="17.25" customHeight="1" x14ac:dyDescent="0.25">
      <c r="B426" s="23" t="s">
        <v>173</v>
      </c>
    </row>
    <row r="427" spans="1:7" ht="14.25" customHeight="1" x14ac:dyDescent="0.25">
      <c r="B427" s="23"/>
    </row>
    <row r="428" spans="1:7" ht="16.5" x14ac:dyDescent="0.25">
      <c r="A428" s="4" t="s">
        <v>10</v>
      </c>
      <c r="B428" s="3" t="s">
        <v>174</v>
      </c>
      <c r="C428" s="3">
        <v>4</v>
      </c>
      <c r="D428" s="4" t="s">
        <v>9</v>
      </c>
      <c r="E428" s="5">
        <f>E105</f>
        <v>45000</v>
      </c>
      <c r="F428" s="6">
        <f>C428*E428</f>
        <v>180000</v>
      </c>
      <c r="G428" s="18"/>
    </row>
    <row r="429" spans="1:7" ht="15.75" customHeight="1" x14ac:dyDescent="0.25"/>
    <row r="430" spans="1:7" ht="18.75" customHeight="1" x14ac:dyDescent="0.25">
      <c r="B430" s="10" t="s">
        <v>38</v>
      </c>
    </row>
    <row r="431" spans="1:7" ht="12.75" customHeight="1" x14ac:dyDescent="0.25">
      <c r="B431" s="23"/>
    </row>
    <row r="432" spans="1:7" ht="23.25" customHeight="1" x14ac:dyDescent="0.25">
      <c r="B432" s="23" t="s">
        <v>175</v>
      </c>
    </row>
    <row r="433" spans="1:7" ht="16.5" customHeight="1" x14ac:dyDescent="0.25"/>
    <row r="434" spans="1:7" x14ac:dyDescent="0.25">
      <c r="A434" s="4" t="s">
        <v>12</v>
      </c>
      <c r="B434" s="3" t="s">
        <v>76</v>
      </c>
      <c r="C434" s="3">
        <v>174</v>
      </c>
      <c r="D434" s="4" t="s">
        <v>39</v>
      </c>
      <c r="E434" s="5">
        <f>E309</f>
        <v>550</v>
      </c>
      <c r="F434" s="6">
        <f>C434*E434</f>
        <v>95700</v>
      </c>
      <c r="G434" s="18"/>
    </row>
    <row r="436" spans="1:7" x14ac:dyDescent="0.25">
      <c r="A436" s="4" t="s">
        <v>14</v>
      </c>
      <c r="B436" s="3" t="s">
        <v>176</v>
      </c>
      <c r="C436" s="3">
        <v>163</v>
      </c>
      <c r="D436" s="4" t="s">
        <v>39</v>
      </c>
      <c r="E436" s="5">
        <f>E434</f>
        <v>550</v>
      </c>
      <c r="F436" s="6">
        <f>C436*E436</f>
        <v>89650</v>
      </c>
      <c r="G436" s="18"/>
    </row>
    <row r="437" spans="1:7" ht="15" customHeight="1" x14ac:dyDescent="0.25"/>
    <row r="438" spans="1:7" ht="16.5" x14ac:dyDescent="0.25">
      <c r="B438" s="10" t="s">
        <v>44</v>
      </c>
    </row>
    <row r="439" spans="1:7" ht="15.75" customHeight="1" x14ac:dyDescent="0.25"/>
    <row r="440" spans="1:7" x14ac:dyDescent="0.25">
      <c r="B440" s="23" t="s">
        <v>45</v>
      </c>
    </row>
    <row r="441" spans="1:7" ht="14.25" customHeight="1" x14ac:dyDescent="0.25"/>
    <row r="442" spans="1:7" ht="16.5" x14ac:dyDescent="0.25">
      <c r="A442" s="4" t="s">
        <v>16</v>
      </c>
      <c r="B442" s="3" t="s">
        <v>177</v>
      </c>
      <c r="C442" s="3">
        <v>37</v>
      </c>
      <c r="D442" s="4" t="s">
        <v>6</v>
      </c>
      <c r="E442" s="5">
        <f>E317</f>
        <v>5500</v>
      </c>
      <c r="F442" s="6">
        <f>C442*E442</f>
        <v>203500</v>
      </c>
      <c r="G442" s="18"/>
    </row>
    <row r="443" spans="1:7" x14ac:dyDescent="0.25">
      <c r="B443" s="23"/>
    </row>
    <row r="445" spans="1:7" x14ac:dyDescent="0.25">
      <c r="C445" s="23"/>
      <c r="E445" s="17"/>
    </row>
    <row r="446" spans="1:7" x14ac:dyDescent="0.25">
      <c r="C446" s="23"/>
      <c r="E446" s="17"/>
    </row>
    <row r="447" spans="1:7" x14ac:dyDescent="0.25">
      <c r="C447" s="23"/>
      <c r="E447" s="17"/>
    </row>
    <row r="448" spans="1:7" ht="16.5" x14ac:dyDescent="0.25">
      <c r="B448" s="9" t="s">
        <v>169</v>
      </c>
      <c r="C448" s="25"/>
      <c r="D448" s="8"/>
      <c r="E448" s="28"/>
      <c r="F448" s="29"/>
    </row>
    <row r="449" spans="1:8" ht="18.75" customHeight="1" x14ac:dyDescent="0.25">
      <c r="B449" s="25" t="s">
        <v>61</v>
      </c>
      <c r="C449" s="25"/>
      <c r="D449" s="8"/>
      <c r="E449" s="26" t="s">
        <v>34</v>
      </c>
      <c r="F449" s="29">
        <f>SUM(F418:F448)</f>
        <v>2113250</v>
      </c>
    </row>
    <row r="450" spans="1:8" ht="16.5" x14ac:dyDescent="0.25">
      <c r="B450" s="9" t="s">
        <v>178</v>
      </c>
    </row>
    <row r="451" spans="1:8" ht="8.25" customHeight="1" x14ac:dyDescent="0.25">
      <c r="B451" s="25"/>
    </row>
    <row r="452" spans="1:8" ht="16.5" x14ac:dyDescent="0.25">
      <c r="B452" s="9" t="s">
        <v>179</v>
      </c>
    </row>
    <row r="453" spans="1:8" ht="16.5" x14ac:dyDescent="0.25">
      <c r="B453" s="10" t="s">
        <v>180</v>
      </c>
      <c r="C453" s="25"/>
      <c r="D453" s="8"/>
      <c r="E453" s="33"/>
      <c r="F453" s="27"/>
    </row>
    <row r="454" spans="1:8" ht="15.75" customHeight="1" x14ac:dyDescent="0.25">
      <c r="B454" s="25"/>
      <c r="C454" s="25"/>
      <c r="D454" s="8"/>
      <c r="E454" s="33"/>
      <c r="F454" s="27"/>
    </row>
    <row r="455" spans="1:8" x14ac:dyDescent="0.25">
      <c r="B455" s="3" t="s">
        <v>181</v>
      </c>
    </row>
    <row r="456" spans="1:8" ht="91.5" customHeight="1" x14ac:dyDescent="0.25">
      <c r="B456" s="20" t="s">
        <v>182</v>
      </c>
      <c r="G456" s="4"/>
      <c r="H456" s="42">
        <v>95000</v>
      </c>
    </row>
    <row r="457" spans="1:8" ht="21.75" customHeight="1" x14ac:dyDescent="0.25">
      <c r="A457" s="4" t="s">
        <v>4</v>
      </c>
      <c r="B457" s="3" t="s">
        <v>417</v>
      </c>
      <c r="C457" s="3">
        <v>4</v>
      </c>
      <c r="D457" s="4" t="s">
        <v>183</v>
      </c>
      <c r="E457" s="5">
        <v>213750</v>
      </c>
      <c r="F457" s="6">
        <f>E457*C457</f>
        <v>855000</v>
      </c>
      <c r="G457" s="4">
        <f>3*0.75</f>
        <v>2.25</v>
      </c>
      <c r="H457" s="42">
        <f>G457*$H$456</f>
        <v>213750</v>
      </c>
    </row>
    <row r="458" spans="1:8" s="4" customFormat="1" ht="21" customHeight="1" x14ac:dyDescent="0.25">
      <c r="A458" s="4" t="s">
        <v>7</v>
      </c>
      <c r="B458" s="3" t="s">
        <v>416</v>
      </c>
      <c r="C458" s="3">
        <v>28</v>
      </c>
      <c r="D458" s="4" t="s">
        <v>183</v>
      </c>
      <c r="E458" s="5">
        <v>153900</v>
      </c>
      <c r="F458" s="6">
        <f>E458*C458</f>
        <v>4309200</v>
      </c>
      <c r="G458" s="4">
        <f>0.6*2.7</f>
        <v>1.62</v>
      </c>
      <c r="H458" s="42">
        <f t="shared" ref="H458:H459" si="4">G458*$H$456</f>
        <v>153900</v>
      </c>
    </row>
    <row r="459" spans="1:8" ht="21.75" customHeight="1" x14ac:dyDescent="0.25">
      <c r="A459" s="4" t="s">
        <v>10</v>
      </c>
      <c r="B459" s="3" t="s">
        <v>419</v>
      </c>
      <c r="C459" s="3">
        <v>2</v>
      </c>
      <c r="D459" s="4" t="s">
        <v>183</v>
      </c>
      <c r="E459" s="5">
        <v>136800</v>
      </c>
      <c r="F459" s="6">
        <f>E459*C459</f>
        <v>273600</v>
      </c>
      <c r="G459" s="4">
        <f>1.2*1.2</f>
        <v>1.44</v>
      </c>
      <c r="H459" s="42">
        <f t="shared" si="4"/>
        <v>136800</v>
      </c>
    </row>
    <row r="460" spans="1:8" s="4" customFormat="1" ht="21" customHeight="1" x14ac:dyDescent="0.25">
      <c r="A460" s="4" t="s">
        <v>12</v>
      </c>
      <c r="B460" s="3" t="s">
        <v>418</v>
      </c>
      <c r="C460" s="3">
        <v>10</v>
      </c>
      <c r="D460" s="4" t="s">
        <v>183</v>
      </c>
      <c r="E460" s="5">
        <v>51300</v>
      </c>
      <c r="F460" s="6">
        <f>E460*C460</f>
        <v>513000</v>
      </c>
      <c r="G460" s="4">
        <f>0.6*0.9</f>
        <v>0.54</v>
      </c>
      <c r="H460" s="42">
        <f t="shared" ref="H460" si="5">G460*$H$456</f>
        <v>51300</v>
      </c>
    </row>
    <row r="461" spans="1:8" x14ac:dyDescent="0.25">
      <c r="E461" s="17"/>
    </row>
    <row r="462" spans="1:8" ht="16.5" x14ac:dyDescent="0.25">
      <c r="B462" s="9" t="s">
        <v>184</v>
      </c>
    </row>
    <row r="463" spans="1:8" ht="30" x14ac:dyDescent="0.25">
      <c r="B463" s="30" t="s">
        <v>185</v>
      </c>
    </row>
    <row r="464" spans="1:8" x14ac:dyDescent="0.25">
      <c r="B464" s="23"/>
    </row>
    <row r="465" spans="1:7" x14ac:dyDescent="0.25">
      <c r="A465" s="4" t="s">
        <v>22</v>
      </c>
      <c r="B465" s="3" t="s">
        <v>415</v>
      </c>
      <c r="C465" s="3">
        <v>1</v>
      </c>
      <c r="D465" s="4" t="s">
        <v>183</v>
      </c>
      <c r="F465" s="6">
        <f>C465*E465</f>
        <v>0</v>
      </c>
    </row>
    <row r="466" spans="1:7" x14ac:dyDescent="0.25">
      <c r="A466" s="4" t="s">
        <v>24</v>
      </c>
      <c r="B466" s="3" t="s">
        <v>414</v>
      </c>
      <c r="C466" s="3">
        <v>1</v>
      </c>
      <c r="D466" s="4" t="s">
        <v>183</v>
      </c>
      <c r="F466" s="6">
        <f>C466*E466</f>
        <v>0</v>
      </c>
    </row>
    <row r="468" spans="1:7" ht="16.5" x14ac:dyDescent="0.25">
      <c r="B468" s="9" t="s">
        <v>186</v>
      </c>
    </row>
    <row r="469" spans="1:7" ht="21" customHeight="1" x14ac:dyDescent="0.25">
      <c r="B469" s="25" t="s">
        <v>61</v>
      </c>
      <c r="C469" s="25"/>
      <c r="D469" s="8"/>
      <c r="E469" s="26" t="s">
        <v>34</v>
      </c>
      <c r="F469" s="29">
        <f>SUM(F453:F468)</f>
        <v>5950800</v>
      </c>
    </row>
    <row r="470" spans="1:7" ht="16.5" x14ac:dyDescent="0.25">
      <c r="B470" s="2" t="s">
        <v>187</v>
      </c>
    </row>
    <row r="472" spans="1:7" ht="16.5" x14ac:dyDescent="0.25">
      <c r="B472" s="9" t="s">
        <v>188</v>
      </c>
    </row>
    <row r="473" spans="1:7" ht="16.5" x14ac:dyDescent="0.25">
      <c r="B473" s="9"/>
    </row>
    <row r="474" spans="1:7" ht="16.5" x14ac:dyDescent="0.25">
      <c r="B474" s="10" t="s">
        <v>151</v>
      </c>
      <c r="C474" s="25"/>
      <c r="D474" s="8"/>
      <c r="E474" s="33"/>
      <c r="F474" s="27"/>
    </row>
    <row r="475" spans="1:7" ht="16.5" x14ac:dyDescent="0.25">
      <c r="B475" s="46"/>
      <c r="C475" s="25"/>
      <c r="D475" s="8"/>
      <c r="E475" s="33"/>
      <c r="F475" s="27"/>
    </row>
    <row r="476" spans="1:7" ht="30" x14ac:dyDescent="0.25">
      <c r="B476" s="30" t="s">
        <v>170</v>
      </c>
      <c r="C476" s="25"/>
      <c r="D476" s="8"/>
      <c r="E476" s="33"/>
      <c r="F476" s="27"/>
    </row>
    <row r="477" spans="1:7" ht="16.5" x14ac:dyDescent="0.25">
      <c r="B477" s="30"/>
      <c r="C477" s="25"/>
      <c r="D477" s="8"/>
      <c r="E477" s="33"/>
      <c r="F477" s="27"/>
    </row>
    <row r="478" spans="1:7" ht="16.5" x14ac:dyDescent="0.25">
      <c r="A478" s="4" t="s">
        <v>4</v>
      </c>
      <c r="B478" s="3" t="s">
        <v>171</v>
      </c>
      <c r="C478" s="16">
        <v>166</v>
      </c>
      <c r="D478" s="4" t="s">
        <v>6</v>
      </c>
      <c r="E478" s="17">
        <f>'[16]Type S-0'!E584</f>
        <v>5200</v>
      </c>
      <c r="F478" s="49">
        <f>C478*E478</f>
        <v>863200</v>
      </c>
      <c r="G478" s="18"/>
    </row>
    <row r="479" spans="1:7" ht="16.5" x14ac:dyDescent="0.25">
      <c r="B479" s="9"/>
      <c r="E479" s="17"/>
      <c r="F479" s="49"/>
    </row>
    <row r="480" spans="1:7" ht="16.5" x14ac:dyDescent="0.25">
      <c r="A480" s="4" t="s">
        <v>7</v>
      </c>
      <c r="B480" s="3" t="s">
        <v>172</v>
      </c>
      <c r="C480" s="16">
        <v>193</v>
      </c>
      <c r="D480" s="4" t="s">
        <v>6</v>
      </c>
      <c r="E480" s="17">
        <f>'[16]Type S-0'!E586</f>
        <v>5000</v>
      </c>
      <c r="F480" s="49">
        <f>C480*E480</f>
        <v>965000</v>
      </c>
    </row>
    <row r="481" spans="1:6" x14ac:dyDescent="0.25">
      <c r="C481" s="23"/>
      <c r="E481" s="17"/>
    </row>
    <row r="482" spans="1:6" ht="16.5" x14ac:dyDescent="0.25">
      <c r="B482" s="10" t="s">
        <v>26</v>
      </c>
    </row>
    <row r="484" spans="1:6" x14ac:dyDescent="0.25">
      <c r="B484" s="23" t="s">
        <v>173</v>
      </c>
    </row>
    <row r="486" spans="1:6" ht="16.5" x14ac:dyDescent="0.25">
      <c r="A486" s="4" t="s">
        <v>10</v>
      </c>
      <c r="B486" s="3" t="s">
        <v>174</v>
      </c>
      <c r="C486" s="3">
        <v>2</v>
      </c>
      <c r="D486" s="4" t="s">
        <v>9</v>
      </c>
      <c r="E486" s="5">
        <f>E428</f>
        <v>45000</v>
      </c>
      <c r="F486" s="6">
        <f>C486*E486</f>
        <v>90000</v>
      </c>
    </row>
    <row r="488" spans="1:6" ht="16.5" x14ac:dyDescent="0.25">
      <c r="B488" s="10" t="s">
        <v>38</v>
      </c>
    </row>
    <row r="489" spans="1:6" x14ac:dyDescent="0.25">
      <c r="B489" s="23"/>
    </row>
    <row r="490" spans="1:6" x14ac:dyDescent="0.25">
      <c r="B490" s="23" t="s">
        <v>175</v>
      </c>
    </row>
    <row r="492" spans="1:6" x14ac:dyDescent="0.25">
      <c r="A492" s="4" t="s">
        <v>12</v>
      </c>
      <c r="B492" s="3" t="s">
        <v>76</v>
      </c>
      <c r="C492" s="3">
        <f>C434/2</f>
        <v>87</v>
      </c>
      <c r="D492" s="4" t="s">
        <v>39</v>
      </c>
      <c r="E492" s="5">
        <f>E434</f>
        <v>550</v>
      </c>
      <c r="F492" s="6">
        <f>C492*E492</f>
        <v>47850</v>
      </c>
    </row>
    <row r="494" spans="1:6" x14ac:dyDescent="0.25">
      <c r="A494" s="4" t="s">
        <v>14</v>
      </c>
      <c r="B494" s="3" t="s">
        <v>176</v>
      </c>
      <c r="C494" s="19">
        <f>C436/2</f>
        <v>81.5</v>
      </c>
      <c r="D494" s="4" t="s">
        <v>39</v>
      </c>
      <c r="E494" s="5">
        <f>E492</f>
        <v>550</v>
      </c>
      <c r="F494" s="6">
        <f>C494*E494</f>
        <v>44825</v>
      </c>
    </row>
    <row r="496" spans="1:6" ht="16.5" x14ac:dyDescent="0.25">
      <c r="B496" s="10" t="s">
        <v>44</v>
      </c>
    </row>
    <row r="498" spans="1:6" x14ac:dyDescent="0.25">
      <c r="B498" s="23" t="s">
        <v>45</v>
      </c>
    </row>
    <row r="500" spans="1:6" ht="16.5" x14ac:dyDescent="0.25">
      <c r="A500" s="4" t="s">
        <v>16</v>
      </c>
      <c r="B500" s="3" t="s">
        <v>177</v>
      </c>
      <c r="C500" s="3">
        <v>19</v>
      </c>
      <c r="D500" s="4" t="s">
        <v>6</v>
      </c>
      <c r="E500" s="5">
        <f>E442</f>
        <v>5500</v>
      </c>
      <c r="F500" s="6">
        <f>C500*E500</f>
        <v>104500</v>
      </c>
    </row>
    <row r="501" spans="1:6" x14ac:dyDescent="0.25">
      <c r="B501" s="23"/>
    </row>
    <row r="503" spans="1:6" x14ac:dyDescent="0.25">
      <c r="B503" s="30"/>
    </row>
    <row r="504" spans="1:6" x14ac:dyDescent="0.25">
      <c r="B504" s="30"/>
    </row>
    <row r="505" spans="1:6" x14ac:dyDescent="0.25">
      <c r="B505" s="30"/>
    </row>
    <row r="506" spans="1:6" ht="16.5" x14ac:dyDescent="0.25">
      <c r="B506" s="9" t="s">
        <v>188</v>
      </c>
      <c r="C506" s="25"/>
      <c r="D506" s="8"/>
      <c r="E506" s="28"/>
      <c r="F506" s="29"/>
    </row>
    <row r="507" spans="1:6" ht="16.5" x14ac:dyDescent="0.25">
      <c r="B507" s="25" t="s">
        <v>61</v>
      </c>
      <c r="C507" s="25"/>
      <c r="D507" s="8"/>
      <c r="E507" s="26" t="s">
        <v>34</v>
      </c>
      <c r="F507" s="29">
        <f>SUM(F474:F506)</f>
        <v>2115375</v>
      </c>
    </row>
    <row r="508" spans="1:6" ht="16.5" x14ac:dyDescent="0.25">
      <c r="B508" s="9" t="s">
        <v>189</v>
      </c>
      <c r="C508" s="61"/>
    </row>
    <row r="509" spans="1:6" ht="16.5" x14ac:dyDescent="0.25">
      <c r="B509" s="25"/>
      <c r="C509" s="61"/>
    </row>
    <row r="510" spans="1:6" ht="16.5" x14ac:dyDescent="0.25">
      <c r="B510" s="9" t="s">
        <v>190</v>
      </c>
      <c r="C510" s="61"/>
    </row>
    <row r="511" spans="1:6" x14ac:dyDescent="0.25">
      <c r="C511" s="61"/>
    </row>
    <row r="512" spans="1:6" ht="16.5" x14ac:dyDescent="0.25">
      <c r="B512" s="9" t="s">
        <v>184</v>
      </c>
      <c r="C512" s="61"/>
    </row>
    <row r="513" spans="1:6" x14ac:dyDescent="0.25">
      <c r="C513" s="61"/>
    </row>
    <row r="514" spans="1:6" ht="57.75" customHeight="1" x14ac:dyDescent="0.25">
      <c r="B514" s="30" t="s">
        <v>191</v>
      </c>
      <c r="C514" s="61"/>
    </row>
    <row r="515" spans="1:6" x14ac:dyDescent="0.25">
      <c r="C515" s="61"/>
    </row>
    <row r="516" spans="1:6" x14ac:dyDescent="0.25">
      <c r="A516" s="4" t="s">
        <v>4</v>
      </c>
      <c r="B516" s="3" t="s">
        <v>421</v>
      </c>
      <c r="C516" s="3">
        <v>14</v>
      </c>
      <c r="D516" s="4" t="s">
        <v>183</v>
      </c>
      <c r="E516" s="17">
        <f>'[16]Type S-0'!E626</f>
        <v>155000</v>
      </c>
      <c r="F516" s="49">
        <f>C516*E516</f>
        <v>2170000</v>
      </c>
    </row>
    <row r="517" spans="1:6" ht="16.5" x14ac:dyDescent="0.25">
      <c r="B517" s="9"/>
      <c r="C517" s="61"/>
    </row>
    <row r="518" spans="1:6" x14ac:dyDescent="0.25">
      <c r="A518" s="4" t="s">
        <v>7</v>
      </c>
      <c r="B518" s="3" t="s">
        <v>422</v>
      </c>
      <c r="C518" s="3">
        <v>7</v>
      </c>
      <c r="D518" s="4" t="s">
        <v>183</v>
      </c>
      <c r="E518" s="17">
        <f>'[16]Type S-0'!E630</f>
        <v>155000</v>
      </c>
      <c r="F518" s="49">
        <f>C518*E518</f>
        <v>1085000</v>
      </c>
    </row>
    <row r="519" spans="1:6" ht="16.5" x14ac:dyDescent="0.25">
      <c r="B519" s="9"/>
      <c r="C519" s="61"/>
    </row>
    <row r="520" spans="1:6" x14ac:dyDescent="0.25">
      <c r="B520" s="23" t="s">
        <v>192</v>
      </c>
      <c r="C520" s="61"/>
    </row>
    <row r="521" spans="1:6" ht="16.5" x14ac:dyDescent="0.25">
      <c r="B521" s="9"/>
      <c r="C521" s="61"/>
    </row>
    <row r="522" spans="1:6" x14ac:dyDescent="0.25">
      <c r="A522" s="4" t="s">
        <v>10</v>
      </c>
      <c r="B522" s="3" t="s">
        <v>193</v>
      </c>
      <c r="D522" s="4" t="s">
        <v>183</v>
      </c>
      <c r="E522" s="17">
        <v>95000</v>
      </c>
      <c r="F522" s="49">
        <f>C522*E522</f>
        <v>0</v>
      </c>
    </row>
    <row r="523" spans="1:6" x14ac:dyDescent="0.25">
      <c r="C523" s="61"/>
      <c r="E523" s="17"/>
      <c r="F523" s="49"/>
    </row>
    <row r="524" spans="1:6" x14ac:dyDescent="0.25">
      <c r="B524" s="30" t="s">
        <v>420</v>
      </c>
      <c r="E524" s="17"/>
    </row>
    <row r="525" spans="1:6" x14ac:dyDescent="0.25">
      <c r="A525" s="4" t="s">
        <v>12</v>
      </c>
      <c r="B525" s="3" t="s">
        <v>194</v>
      </c>
      <c r="C525" s="3">
        <v>1</v>
      </c>
      <c r="D525" s="4" t="s">
        <v>183</v>
      </c>
      <c r="E525" s="17">
        <v>280000</v>
      </c>
      <c r="F525" s="6">
        <f>E525*C525</f>
        <v>280000</v>
      </c>
    </row>
    <row r="526" spans="1:6" ht="16.5" x14ac:dyDescent="0.25">
      <c r="B526" s="9"/>
      <c r="C526" s="61"/>
    </row>
    <row r="527" spans="1:6" x14ac:dyDescent="0.25">
      <c r="B527" s="23"/>
      <c r="C527" s="61"/>
    </row>
    <row r="528" spans="1:6" x14ac:dyDescent="0.25">
      <c r="B528" s="23"/>
      <c r="C528" s="61"/>
    </row>
    <row r="529" spans="2:7" x14ac:dyDescent="0.25">
      <c r="C529" s="61"/>
      <c r="E529" s="17"/>
      <c r="F529" s="49"/>
    </row>
    <row r="530" spans="2:7" x14ac:dyDescent="0.25">
      <c r="B530" s="23"/>
      <c r="C530" s="61"/>
    </row>
    <row r="531" spans="2:7" x14ac:dyDescent="0.25">
      <c r="B531" s="23"/>
      <c r="C531" s="61"/>
    </row>
    <row r="532" spans="2:7" x14ac:dyDescent="0.25">
      <c r="B532" s="23"/>
      <c r="C532" s="61"/>
    </row>
    <row r="533" spans="2:7" x14ac:dyDescent="0.25">
      <c r="B533" s="23"/>
      <c r="C533" s="61"/>
    </row>
    <row r="534" spans="2:7" x14ac:dyDescent="0.25">
      <c r="B534" s="23"/>
      <c r="C534" s="61"/>
    </row>
    <row r="535" spans="2:7" x14ac:dyDescent="0.25">
      <c r="B535" s="23"/>
      <c r="C535" s="61"/>
    </row>
    <row r="536" spans="2:7" x14ac:dyDescent="0.25">
      <c r="B536" s="23"/>
      <c r="C536" s="61"/>
    </row>
    <row r="537" spans="2:7" x14ac:dyDescent="0.25">
      <c r="B537" s="23"/>
      <c r="C537" s="61"/>
    </row>
    <row r="538" spans="2:7" x14ac:dyDescent="0.25">
      <c r="B538" s="23"/>
      <c r="C538" s="61"/>
    </row>
    <row r="539" spans="2:7" x14ac:dyDescent="0.25">
      <c r="B539" s="23"/>
      <c r="C539" s="61"/>
    </row>
    <row r="540" spans="2:7" x14ac:dyDescent="0.25">
      <c r="B540" s="23"/>
      <c r="C540" s="61"/>
    </row>
    <row r="541" spans="2:7" x14ac:dyDescent="0.25">
      <c r="B541" s="23"/>
      <c r="C541" s="61"/>
    </row>
    <row r="542" spans="2:7" ht="16.5" x14ac:dyDescent="0.25">
      <c r="B542" s="9" t="s">
        <v>195</v>
      </c>
      <c r="C542" s="62"/>
      <c r="D542" s="8"/>
      <c r="E542" s="28"/>
      <c r="F542" s="29"/>
    </row>
    <row r="543" spans="2:7" ht="16.5" x14ac:dyDescent="0.25">
      <c r="B543" s="25" t="s">
        <v>61</v>
      </c>
      <c r="C543" s="62"/>
      <c r="D543" s="8"/>
      <c r="E543" s="26" t="s">
        <v>34</v>
      </c>
      <c r="F543" s="27">
        <f>SUM(F512:F542)</f>
        <v>3535000</v>
      </c>
    </row>
    <row r="544" spans="2:7" ht="16.5" x14ac:dyDescent="0.25">
      <c r="B544" s="9" t="s">
        <v>196</v>
      </c>
      <c r="C544" s="61"/>
      <c r="G544" s="18"/>
    </row>
    <row r="545" spans="1:7" ht="12" customHeight="1" x14ac:dyDescent="0.25">
      <c r="B545" s="9"/>
      <c r="C545" s="61"/>
    </row>
    <row r="546" spans="1:7" ht="16.5" x14ac:dyDescent="0.25">
      <c r="B546" s="9" t="s">
        <v>197</v>
      </c>
      <c r="C546" s="61"/>
      <c r="G546" s="18"/>
    </row>
    <row r="547" spans="1:7" ht="12" customHeight="1" x14ac:dyDescent="0.25">
      <c r="B547" s="9"/>
      <c r="C547" s="61"/>
    </row>
    <row r="548" spans="1:7" ht="16.5" x14ac:dyDescent="0.25">
      <c r="B548" s="10" t="s">
        <v>198</v>
      </c>
      <c r="C548" s="61"/>
    </row>
    <row r="549" spans="1:7" ht="12" customHeight="1" x14ac:dyDescent="0.25">
      <c r="C549" s="61"/>
    </row>
    <row r="550" spans="1:7" ht="15.75" customHeight="1" x14ac:dyDescent="0.25">
      <c r="B550" s="10" t="s">
        <v>199</v>
      </c>
      <c r="C550" s="61"/>
    </row>
    <row r="551" spans="1:7" ht="30" x14ac:dyDescent="0.25">
      <c r="A551" s="4" t="s">
        <v>4</v>
      </c>
      <c r="B551" s="20" t="s">
        <v>200</v>
      </c>
      <c r="D551" s="4" t="s">
        <v>183</v>
      </c>
      <c r="E551" s="5">
        <f>183680*7.2</f>
        <v>1322496</v>
      </c>
      <c r="F551" s="6">
        <f t="shared" ref="F551:F556" si="6">E551*C551</f>
        <v>0</v>
      </c>
    </row>
    <row r="552" spans="1:7" x14ac:dyDescent="0.25">
      <c r="A552" s="4" t="s">
        <v>4</v>
      </c>
      <c r="B552" s="20" t="s">
        <v>201</v>
      </c>
      <c r="D552" s="4" t="s">
        <v>183</v>
      </c>
      <c r="E552" s="5">
        <f>183680*5.3</f>
        <v>973504</v>
      </c>
      <c r="F552" s="6">
        <f t="shared" si="6"/>
        <v>0</v>
      </c>
    </row>
    <row r="553" spans="1:7" x14ac:dyDescent="0.25">
      <c r="A553" s="4" t="s">
        <v>4</v>
      </c>
      <c r="B553" s="20" t="s">
        <v>202</v>
      </c>
      <c r="D553" s="4" t="s">
        <v>183</v>
      </c>
      <c r="E553" s="5">
        <f>183680*4.4</f>
        <v>808192.00000000012</v>
      </c>
      <c r="F553" s="6">
        <f t="shared" si="6"/>
        <v>0</v>
      </c>
    </row>
    <row r="554" spans="1:7" x14ac:dyDescent="0.25">
      <c r="A554" s="4" t="s">
        <v>7</v>
      </c>
      <c r="B554" s="38" t="s">
        <v>203</v>
      </c>
      <c r="D554" s="4" t="s">
        <v>183</v>
      </c>
      <c r="E554" s="5">
        <f>183680*3.4</f>
        <v>624512</v>
      </c>
      <c r="F554" s="6">
        <f t="shared" si="6"/>
        <v>0</v>
      </c>
    </row>
    <row r="555" spans="1:7" x14ac:dyDescent="0.25">
      <c r="A555" s="4" t="s">
        <v>10</v>
      </c>
      <c r="B555" s="38" t="s">
        <v>204</v>
      </c>
      <c r="D555" s="4" t="s">
        <v>183</v>
      </c>
      <c r="E555" s="5">
        <f>183680*2.845</f>
        <v>522569.60000000003</v>
      </c>
      <c r="F555" s="6">
        <f t="shared" si="6"/>
        <v>0</v>
      </c>
    </row>
    <row r="556" spans="1:7" x14ac:dyDescent="0.25">
      <c r="A556" s="4" t="s">
        <v>10</v>
      </c>
      <c r="B556" s="38" t="s">
        <v>205</v>
      </c>
      <c r="D556" s="4" t="s">
        <v>183</v>
      </c>
      <c r="E556" s="5">
        <f>183680*2</f>
        <v>367360</v>
      </c>
      <c r="F556" s="6">
        <f t="shared" si="6"/>
        <v>0</v>
      </c>
    </row>
    <row r="557" spans="1:7" ht="30" x14ac:dyDescent="0.25">
      <c r="A557" s="4" t="s">
        <v>14</v>
      </c>
      <c r="B557" s="43" t="s">
        <v>206</v>
      </c>
      <c r="D557" s="4" t="s">
        <v>183</v>
      </c>
      <c r="E557" s="5">
        <f>183680*0.9</f>
        <v>165312</v>
      </c>
      <c r="F557" s="6">
        <f>E557*C557</f>
        <v>0</v>
      </c>
    </row>
    <row r="558" spans="1:7" x14ac:dyDescent="0.25">
      <c r="B558" s="43"/>
    </row>
    <row r="559" spans="1:7" ht="15.75" customHeight="1" x14ac:dyDescent="0.25">
      <c r="B559" s="31" t="s">
        <v>207</v>
      </c>
      <c r="C559" s="61"/>
    </row>
    <row r="560" spans="1:7" ht="30" x14ac:dyDescent="0.25">
      <c r="B560" s="43" t="s">
        <v>208</v>
      </c>
      <c r="C560" s="61"/>
    </row>
    <row r="561" spans="1:10" ht="75" x14ac:dyDescent="0.25">
      <c r="A561" s="4" t="s">
        <v>14</v>
      </c>
      <c r="B561" s="43" t="s">
        <v>209</v>
      </c>
      <c r="D561" s="4" t="s">
        <v>183</v>
      </c>
      <c r="E561" s="63">
        <v>2292000</v>
      </c>
      <c r="F561" s="6">
        <f>E561*C561</f>
        <v>0</v>
      </c>
      <c r="G561" s="7">
        <f>277777.78*8.25</f>
        <v>2291666.6850000001</v>
      </c>
      <c r="H561" s="63"/>
      <c r="J561" s="63"/>
    </row>
    <row r="562" spans="1:10" ht="30" x14ac:dyDescent="0.25">
      <c r="B562" s="43" t="s">
        <v>210</v>
      </c>
      <c r="D562" s="4" t="s">
        <v>183</v>
      </c>
      <c r="E562" s="63">
        <v>1777000</v>
      </c>
      <c r="F562" s="6">
        <f>E562*C562</f>
        <v>0</v>
      </c>
      <c r="G562" s="7">
        <f>277777.78*6.4</f>
        <v>1777777.7920000004</v>
      </c>
      <c r="H562" s="63"/>
    </row>
    <row r="563" spans="1:10" x14ac:dyDescent="0.25">
      <c r="B563" s="43"/>
      <c r="E563" s="63"/>
      <c r="H563" s="63"/>
    </row>
    <row r="564" spans="1:10" ht="16.5" x14ac:dyDescent="0.25">
      <c r="B564" s="10" t="s">
        <v>211</v>
      </c>
      <c r="C564" s="61"/>
    </row>
    <row r="565" spans="1:10" ht="30" x14ac:dyDescent="0.25">
      <c r="B565" s="43" t="s">
        <v>212</v>
      </c>
      <c r="C565" s="61"/>
    </row>
    <row r="566" spans="1:10" x14ac:dyDescent="0.25">
      <c r="A566" s="4" t="s">
        <v>16</v>
      </c>
      <c r="B566" s="43" t="s">
        <v>213</v>
      </c>
      <c r="D566" s="4" t="s">
        <v>51</v>
      </c>
      <c r="E566" s="17">
        <f>'[16]Type S-0'!E669</f>
        <v>50000</v>
      </c>
      <c r="F566" s="6">
        <f>E566*C566</f>
        <v>0</v>
      </c>
    </row>
    <row r="567" spans="1:10" x14ac:dyDescent="0.25">
      <c r="A567" s="4" t="s">
        <v>18</v>
      </c>
      <c r="B567" s="38" t="s">
        <v>214</v>
      </c>
      <c r="D567" s="4" t="s">
        <v>51</v>
      </c>
      <c r="E567" s="5">
        <f>'[16]Type S-0'!E670</f>
        <v>20000</v>
      </c>
      <c r="F567" s="6">
        <f>E567*C567</f>
        <v>0</v>
      </c>
    </row>
    <row r="568" spans="1:10" x14ac:dyDescent="0.25">
      <c r="A568" s="4" t="s">
        <v>18</v>
      </c>
      <c r="B568" s="38" t="s">
        <v>215</v>
      </c>
      <c r="D568" s="4" t="s">
        <v>51</v>
      </c>
      <c r="E568" s="5">
        <v>35000</v>
      </c>
      <c r="F568" s="6">
        <f>E568*C568</f>
        <v>0</v>
      </c>
    </row>
    <row r="569" spans="1:10" x14ac:dyDescent="0.25">
      <c r="A569" s="4" t="s">
        <v>20</v>
      </c>
      <c r="B569" s="38" t="s">
        <v>216</v>
      </c>
      <c r="D569" s="4" t="s">
        <v>51</v>
      </c>
      <c r="E569" s="5">
        <f>'[16]Type S-0'!E671</f>
        <v>50000</v>
      </c>
      <c r="F569" s="6">
        <f>E569*C569</f>
        <v>0</v>
      </c>
    </row>
    <row r="570" spans="1:10" x14ac:dyDescent="0.25">
      <c r="B570" s="38"/>
    </row>
    <row r="571" spans="1:10" ht="45" x14ac:dyDescent="0.25">
      <c r="B571" s="46" t="s">
        <v>217</v>
      </c>
      <c r="C571" s="61"/>
    </row>
    <row r="572" spans="1:10" x14ac:dyDescent="0.25">
      <c r="A572" s="4" t="s">
        <v>22</v>
      </c>
      <c r="B572" s="43" t="s">
        <v>218</v>
      </c>
      <c r="D572" s="4" t="s">
        <v>183</v>
      </c>
      <c r="E572" s="17">
        <f>55000*3.15</f>
        <v>173250</v>
      </c>
      <c r="F572" s="6">
        <f>E572*C572</f>
        <v>0</v>
      </c>
      <c r="G572" s="3">
        <f>0.45*7</f>
        <v>3.15</v>
      </c>
      <c r="H572" s="7">
        <f>E572/G572</f>
        <v>55000</v>
      </c>
    </row>
    <row r="573" spans="1:10" x14ac:dyDescent="0.25">
      <c r="A573" s="4" t="s">
        <v>22</v>
      </c>
      <c r="B573" s="43" t="s">
        <v>219</v>
      </c>
      <c r="D573" s="4" t="s">
        <v>183</v>
      </c>
      <c r="E573" s="17">
        <f>55000*1.35</f>
        <v>74250</v>
      </c>
      <c r="F573" s="6">
        <f>E573*C573</f>
        <v>0</v>
      </c>
      <c r="G573" s="3">
        <f>0.45*3</f>
        <v>1.35</v>
      </c>
      <c r="H573" s="7">
        <f>E573/G573</f>
        <v>55000</v>
      </c>
    </row>
    <row r="574" spans="1:10" x14ac:dyDescent="0.25">
      <c r="A574" s="4" t="s">
        <v>22</v>
      </c>
      <c r="B574" s="43" t="s">
        <v>220</v>
      </c>
      <c r="D574" s="4" t="s">
        <v>183</v>
      </c>
      <c r="E574" s="17">
        <f>55000*4.79</f>
        <v>263450</v>
      </c>
      <c r="F574" s="6">
        <f>E574*C574</f>
        <v>0</v>
      </c>
      <c r="G574" s="64">
        <f>0.45*10.65</f>
        <v>4.7925000000000004</v>
      </c>
      <c r="H574" s="7">
        <f>E574/G574</f>
        <v>54971.309337506515</v>
      </c>
    </row>
    <row r="575" spans="1:10" x14ac:dyDescent="0.25">
      <c r="B575" s="43" t="s">
        <v>221</v>
      </c>
      <c r="D575" s="4" t="s">
        <v>183</v>
      </c>
      <c r="E575" s="17">
        <f>55000*7.55</f>
        <v>415250</v>
      </c>
      <c r="F575" s="6">
        <f>E575*C575</f>
        <v>0</v>
      </c>
      <c r="G575" s="64">
        <f>2.43*3.1</f>
        <v>7.5330000000000004</v>
      </c>
      <c r="H575" s="7">
        <f>E575/G575</f>
        <v>55124.120536306917</v>
      </c>
    </row>
    <row r="576" spans="1:10" x14ac:dyDescent="0.25">
      <c r="B576" s="43"/>
      <c r="E576" s="17"/>
      <c r="G576" s="65"/>
    </row>
    <row r="577" spans="1:8" ht="16.5" x14ac:dyDescent="0.25">
      <c r="B577" s="10" t="s">
        <v>222</v>
      </c>
      <c r="C577" s="61"/>
    </row>
    <row r="578" spans="1:8" ht="30" x14ac:dyDescent="0.25">
      <c r="A578" s="4" t="s">
        <v>24</v>
      </c>
      <c r="B578" s="43" t="s">
        <v>223</v>
      </c>
      <c r="D578" s="4" t="s">
        <v>86</v>
      </c>
      <c r="E578" s="5">
        <v>55000</v>
      </c>
      <c r="F578" s="6">
        <f>E578*C578</f>
        <v>0</v>
      </c>
    </row>
    <row r="579" spans="1:8" ht="30" x14ac:dyDescent="0.25">
      <c r="A579" s="4" t="s">
        <v>24</v>
      </c>
      <c r="B579" s="43" t="s">
        <v>224</v>
      </c>
      <c r="D579" s="4" t="s">
        <v>86</v>
      </c>
      <c r="E579" s="5">
        <v>45000</v>
      </c>
      <c r="F579" s="6">
        <f>E579*C579</f>
        <v>0</v>
      </c>
    </row>
    <row r="580" spans="1:8" ht="16.5" x14ac:dyDescent="0.25">
      <c r="B580" s="31" t="s">
        <v>225</v>
      </c>
      <c r="C580" s="61"/>
    </row>
    <row r="581" spans="1:8" ht="30" x14ac:dyDescent="0.25">
      <c r="B581" s="43" t="s">
        <v>226</v>
      </c>
      <c r="C581" s="61"/>
    </row>
    <row r="582" spans="1:8" x14ac:dyDescent="0.25">
      <c r="A582" s="4" t="s">
        <v>28</v>
      </c>
      <c r="B582" s="38" t="s">
        <v>227</v>
      </c>
      <c r="D582" s="4" t="s">
        <v>86</v>
      </c>
      <c r="E582" s="5">
        <f>'[16]Type S-0'!E682</f>
        <v>6000</v>
      </c>
      <c r="F582" s="6">
        <f>E582*C582</f>
        <v>0</v>
      </c>
    </row>
    <row r="583" spans="1:8" ht="16.5" x14ac:dyDescent="0.25">
      <c r="B583" s="31" t="s">
        <v>228</v>
      </c>
      <c r="C583" s="61"/>
    </row>
    <row r="584" spans="1:8" ht="30" x14ac:dyDescent="0.25">
      <c r="B584" s="43" t="s">
        <v>229</v>
      </c>
      <c r="C584" s="61"/>
    </row>
    <row r="585" spans="1:8" x14ac:dyDescent="0.25">
      <c r="A585" s="4" t="s">
        <v>40</v>
      </c>
      <c r="B585" s="38" t="s">
        <v>230</v>
      </c>
      <c r="D585" s="4" t="s">
        <v>86</v>
      </c>
      <c r="E585" s="5">
        <f>'[16]Type S-0'!E685</f>
        <v>13000</v>
      </c>
      <c r="F585" s="6">
        <f>E585*C585</f>
        <v>0</v>
      </c>
    </row>
    <row r="586" spans="1:8" ht="16.5" x14ac:dyDescent="0.25">
      <c r="B586" s="31" t="s">
        <v>231</v>
      </c>
      <c r="C586" s="61"/>
    </row>
    <row r="587" spans="1:8" x14ac:dyDescent="0.25">
      <c r="A587" s="4" t="s">
        <v>34</v>
      </c>
      <c r="B587" s="38" t="s">
        <v>231</v>
      </c>
      <c r="D587" s="4" t="s">
        <v>51</v>
      </c>
      <c r="E587" s="5">
        <f>'[16]Type S-0'!E687</f>
        <v>13000</v>
      </c>
      <c r="F587" s="6">
        <f>E587*C587</f>
        <v>0</v>
      </c>
      <c r="G587" s="63"/>
    </row>
    <row r="588" spans="1:8" ht="16.5" x14ac:dyDescent="0.25">
      <c r="B588" s="31" t="s">
        <v>232</v>
      </c>
      <c r="C588" s="61"/>
    </row>
    <row r="589" spans="1:8" ht="30" x14ac:dyDescent="0.25">
      <c r="A589" s="4" t="s">
        <v>34</v>
      </c>
      <c r="B589" s="43" t="s">
        <v>233</v>
      </c>
      <c r="D589" s="4" t="s">
        <v>51</v>
      </c>
      <c r="E589" s="5">
        <v>7500</v>
      </c>
      <c r="F589" s="6">
        <f>E589*C589</f>
        <v>0</v>
      </c>
      <c r="G589" s="63"/>
    </row>
    <row r="590" spans="1:8" ht="16.5" x14ac:dyDescent="0.25">
      <c r="B590" s="9" t="s">
        <v>197</v>
      </c>
      <c r="C590" s="61"/>
      <c r="G590" s="18"/>
    </row>
    <row r="591" spans="1:8" s="20" customFormat="1" ht="16.5" x14ac:dyDescent="0.25">
      <c r="A591" s="4"/>
      <c r="B591" s="25" t="s">
        <v>61</v>
      </c>
      <c r="C591" s="61"/>
      <c r="D591" s="4"/>
      <c r="E591" s="66" t="s">
        <v>34</v>
      </c>
      <c r="F591" s="27">
        <f>SUM(F551:F590)</f>
        <v>0</v>
      </c>
      <c r="H591" s="7"/>
    </row>
    <row r="592" spans="1:8" ht="16.5" x14ac:dyDescent="0.25">
      <c r="B592" s="9" t="s">
        <v>234</v>
      </c>
    </row>
    <row r="593" spans="1:6" ht="16.5" x14ac:dyDescent="0.25">
      <c r="B593" s="9" t="s">
        <v>235</v>
      </c>
    </row>
    <row r="594" spans="1:6" x14ac:dyDescent="0.25">
      <c r="B594" s="23" t="s">
        <v>236</v>
      </c>
    </row>
    <row r="596" spans="1:6" ht="16.5" x14ac:dyDescent="0.25">
      <c r="B596" s="10" t="s">
        <v>237</v>
      </c>
    </row>
    <row r="597" spans="1:6" ht="30" x14ac:dyDescent="0.25">
      <c r="B597" s="30" t="s">
        <v>238</v>
      </c>
    </row>
    <row r="598" spans="1:6" x14ac:dyDescent="0.25">
      <c r="A598" s="4" t="s">
        <v>4</v>
      </c>
      <c r="B598" s="3" t="s">
        <v>239</v>
      </c>
      <c r="C598" s="67">
        <f>C478+C480*2+C420</f>
        <v>849</v>
      </c>
      <c r="D598" s="4" t="s">
        <v>86</v>
      </c>
      <c r="E598" s="5">
        <f>'[16]Type S-0'!E699</f>
        <v>1700</v>
      </c>
      <c r="F598" s="6">
        <f>E598*C598</f>
        <v>1443300</v>
      </c>
    </row>
    <row r="599" spans="1:6" ht="30" x14ac:dyDescent="0.25">
      <c r="A599" s="4" t="s">
        <v>7</v>
      </c>
      <c r="B599" s="20" t="s">
        <v>240</v>
      </c>
      <c r="C599" s="3">
        <f>220/2</f>
        <v>110</v>
      </c>
      <c r="D599" s="4" t="s">
        <v>51</v>
      </c>
      <c r="E599" s="5">
        <f>E598*0.3</f>
        <v>510</v>
      </c>
      <c r="F599" s="6">
        <f>E599*C599</f>
        <v>56100</v>
      </c>
    </row>
    <row r="600" spans="1:6" ht="16.5" x14ac:dyDescent="0.25">
      <c r="B600" s="25" t="s">
        <v>241</v>
      </c>
      <c r="C600" s="67"/>
    </row>
    <row r="601" spans="1:6" x14ac:dyDescent="0.25">
      <c r="B601" s="23" t="s">
        <v>242</v>
      </c>
      <c r="C601" s="23"/>
    </row>
    <row r="602" spans="1:6" ht="45" x14ac:dyDescent="0.25">
      <c r="B602" s="43" t="s">
        <v>243</v>
      </c>
    </row>
    <row r="603" spans="1:6" x14ac:dyDescent="0.25">
      <c r="A603" s="4" t="s">
        <v>10</v>
      </c>
      <c r="B603" s="3" t="s">
        <v>244</v>
      </c>
      <c r="C603" s="41">
        <f>C598-185</f>
        <v>664</v>
      </c>
      <c r="D603" s="4" t="s">
        <v>86</v>
      </c>
      <c r="E603" s="5">
        <f>'[16]Type S-0'!E704</f>
        <v>950</v>
      </c>
      <c r="F603" s="6">
        <f>E603*C603</f>
        <v>630800</v>
      </c>
    </row>
    <row r="604" spans="1:6" ht="30" x14ac:dyDescent="0.25">
      <c r="A604" s="4" t="s">
        <v>12</v>
      </c>
      <c r="B604" s="20" t="s">
        <v>245</v>
      </c>
      <c r="C604" s="3">
        <f>C599</f>
        <v>110</v>
      </c>
      <c r="D604" s="4" t="s">
        <v>51</v>
      </c>
      <c r="E604" s="5">
        <f>E603*0.3</f>
        <v>285</v>
      </c>
      <c r="F604" s="6">
        <f>E604*C604</f>
        <v>31350</v>
      </c>
    </row>
    <row r="605" spans="1:6" ht="16.5" x14ac:dyDescent="0.25">
      <c r="B605" s="25" t="s">
        <v>124</v>
      </c>
    </row>
    <row r="606" spans="1:6" ht="30" x14ac:dyDescent="0.25">
      <c r="B606" s="20" t="s">
        <v>246</v>
      </c>
    </row>
    <row r="607" spans="1:6" x14ac:dyDescent="0.25">
      <c r="A607" s="4" t="s">
        <v>14</v>
      </c>
      <c r="B607" s="3" t="s">
        <v>239</v>
      </c>
      <c r="C607" s="41">
        <f>C603</f>
        <v>664</v>
      </c>
      <c r="D607" s="4" t="s">
        <v>86</v>
      </c>
      <c r="E607" s="5">
        <f>'[16]Type S-0'!E708</f>
        <v>1300</v>
      </c>
      <c r="F607" s="6">
        <f>E607*C607</f>
        <v>863200</v>
      </c>
    </row>
    <row r="608" spans="1:6" x14ac:dyDescent="0.25">
      <c r="A608" s="4" t="s">
        <v>16</v>
      </c>
      <c r="B608" s="3" t="s">
        <v>247</v>
      </c>
      <c r="C608" s="41">
        <f>C604</f>
        <v>110</v>
      </c>
      <c r="D608" s="4" t="s">
        <v>51</v>
      </c>
      <c r="E608" s="5">
        <f>E607*0.3</f>
        <v>390</v>
      </c>
      <c r="F608" s="6">
        <f>E608*C608</f>
        <v>42900</v>
      </c>
    </row>
    <row r="609" spans="1:7" ht="33" x14ac:dyDescent="0.25">
      <c r="B609" s="45" t="s">
        <v>84</v>
      </c>
    </row>
    <row r="610" spans="1:7" ht="60" x14ac:dyDescent="0.25">
      <c r="B610" s="30" t="s">
        <v>85</v>
      </c>
      <c r="G610" s="18"/>
    </row>
    <row r="611" spans="1:7" x14ac:dyDescent="0.25">
      <c r="A611" s="4" t="s">
        <v>18</v>
      </c>
      <c r="B611" s="3" t="s">
        <v>248</v>
      </c>
      <c r="C611" s="3">
        <v>37</v>
      </c>
      <c r="D611" s="4" t="s">
        <v>86</v>
      </c>
      <c r="E611" s="5">
        <f>'[16]Type S-0'!E712</f>
        <v>12000</v>
      </c>
      <c r="F611" s="6">
        <f t="shared" ref="F611:F612" si="7">E611*C611</f>
        <v>444000</v>
      </c>
    </row>
    <row r="612" spans="1:7" x14ac:dyDescent="0.25">
      <c r="A612" s="4" t="s">
        <v>20</v>
      </c>
      <c r="B612" s="3" t="s">
        <v>423</v>
      </c>
      <c r="C612" s="3">
        <v>148</v>
      </c>
      <c r="D612" s="4" t="s">
        <v>86</v>
      </c>
      <c r="E612" s="5">
        <f>'[16]Type S-0'!E713</f>
        <v>9000</v>
      </c>
      <c r="F612" s="6">
        <f t="shared" si="7"/>
        <v>1332000</v>
      </c>
    </row>
    <row r="614" spans="1:7" ht="49.5" x14ac:dyDescent="0.25">
      <c r="B614" s="45" t="s">
        <v>249</v>
      </c>
    </row>
    <row r="615" spans="1:7" ht="20.25" customHeight="1" x14ac:dyDescent="0.25">
      <c r="B615" s="3" t="s">
        <v>88</v>
      </c>
    </row>
    <row r="616" spans="1:7" ht="19.5" customHeight="1" x14ac:dyDescent="0.25">
      <c r="A616" s="4" t="s">
        <v>22</v>
      </c>
      <c r="B616" s="3" t="s">
        <v>89</v>
      </c>
      <c r="C616" s="67"/>
      <c r="D616" s="4" t="s">
        <v>86</v>
      </c>
      <c r="E616" s="5">
        <f>'[16]Type S-0'!E716</f>
        <v>1800</v>
      </c>
      <c r="F616" s="6">
        <f>E616*C616</f>
        <v>0</v>
      </c>
    </row>
    <row r="617" spans="1:7" ht="19.5" customHeight="1" x14ac:dyDescent="0.25">
      <c r="C617" s="67"/>
    </row>
    <row r="618" spans="1:7" ht="15" customHeight="1" x14ac:dyDescent="0.25">
      <c r="B618" s="9" t="s">
        <v>250</v>
      </c>
      <c r="C618" s="19"/>
    </row>
    <row r="619" spans="1:7" ht="19.5" customHeight="1" x14ac:dyDescent="0.25">
      <c r="B619" s="3" t="s">
        <v>251</v>
      </c>
      <c r="C619" s="19"/>
    </row>
    <row r="620" spans="1:7" ht="30" x14ac:dyDescent="0.25">
      <c r="B620" s="30" t="s">
        <v>252</v>
      </c>
      <c r="C620" s="19"/>
    </row>
    <row r="621" spans="1:7" x14ac:dyDescent="0.25">
      <c r="A621" s="4" t="s">
        <v>24</v>
      </c>
      <c r="B621" s="3" t="s">
        <v>239</v>
      </c>
      <c r="C621" s="19">
        <f>C420</f>
        <v>297</v>
      </c>
      <c r="D621" s="4" t="s">
        <v>86</v>
      </c>
      <c r="E621" s="5">
        <f>'[16]Type S-0'!E720</f>
        <v>1700</v>
      </c>
      <c r="F621" s="6">
        <f t="shared" ref="F621:F624" si="8">E621*C621</f>
        <v>504900</v>
      </c>
    </row>
    <row r="622" spans="1:7" ht="45" x14ac:dyDescent="0.25">
      <c r="A622" s="4" t="s">
        <v>34</v>
      </c>
      <c r="B622" s="43" t="s">
        <v>253</v>
      </c>
      <c r="C622" s="19">
        <v>220</v>
      </c>
      <c r="D622" s="4" t="s">
        <v>51</v>
      </c>
      <c r="E622" s="5">
        <f>'[16]Type S-0'!E721</f>
        <v>510</v>
      </c>
      <c r="F622" s="6">
        <f t="shared" si="8"/>
        <v>112200</v>
      </c>
    </row>
    <row r="623" spans="1:7" ht="19.5" customHeight="1" x14ac:dyDescent="0.25">
      <c r="A623" s="4" t="s">
        <v>31</v>
      </c>
      <c r="B623" s="3" t="s">
        <v>254</v>
      </c>
      <c r="C623" s="67"/>
      <c r="D623" s="4" t="s">
        <v>51</v>
      </c>
      <c r="E623" s="5">
        <v>400</v>
      </c>
      <c r="F623" s="6">
        <f t="shared" si="8"/>
        <v>0</v>
      </c>
    </row>
    <row r="624" spans="1:7" ht="16.5" customHeight="1" x14ac:dyDescent="0.25">
      <c r="A624" s="4" t="s">
        <v>41</v>
      </c>
      <c r="B624" s="38" t="s">
        <v>255</v>
      </c>
      <c r="C624" s="19"/>
      <c r="D624" s="4" t="s">
        <v>51</v>
      </c>
      <c r="E624" s="5">
        <v>500</v>
      </c>
      <c r="F624" s="6">
        <f t="shared" si="8"/>
        <v>0</v>
      </c>
    </row>
    <row r="625" spans="1:6" ht="18.75" customHeight="1" x14ac:dyDescent="0.25">
      <c r="B625" s="25" t="s">
        <v>33</v>
      </c>
      <c r="C625" s="25"/>
      <c r="D625" s="8"/>
      <c r="E625" s="26" t="s">
        <v>34</v>
      </c>
      <c r="F625" s="29">
        <f>SUM(F594:F624)</f>
        <v>5460750</v>
      </c>
    </row>
    <row r="626" spans="1:6" ht="18" customHeight="1" x14ac:dyDescent="0.25">
      <c r="B626" s="9" t="s">
        <v>256</v>
      </c>
    </row>
    <row r="627" spans="1:6" ht="12.75" customHeight="1" x14ac:dyDescent="0.25">
      <c r="B627" s="38"/>
      <c r="C627" s="19"/>
    </row>
    <row r="628" spans="1:6" ht="16.5" x14ac:dyDescent="0.25">
      <c r="B628" s="10" t="s">
        <v>257</v>
      </c>
    </row>
    <row r="629" spans="1:6" x14ac:dyDescent="0.25">
      <c r="B629" s="23" t="s">
        <v>258</v>
      </c>
    </row>
    <row r="630" spans="1:6" x14ac:dyDescent="0.25">
      <c r="A630" s="4" t="s">
        <v>4</v>
      </c>
      <c r="B630" s="20" t="s">
        <v>259</v>
      </c>
      <c r="D630" s="4" t="s">
        <v>51</v>
      </c>
      <c r="E630" s="5">
        <v>2500</v>
      </c>
      <c r="F630" s="6">
        <f>E630*C630</f>
        <v>0</v>
      </c>
    </row>
    <row r="631" spans="1:6" ht="33" x14ac:dyDescent="0.25">
      <c r="B631" s="39" t="s">
        <v>84</v>
      </c>
    </row>
    <row r="632" spans="1:6" ht="60" x14ac:dyDescent="0.25">
      <c r="B632" s="20" t="s">
        <v>260</v>
      </c>
      <c r="C632" s="41"/>
    </row>
    <row r="633" spans="1:6" x14ac:dyDescent="0.25">
      <c r="A633" s="4" t="s">
        <v>7</v>
      </c>
      <c r="B633" s="3" t="s">
        <v>261</v>
      </c>
      <c r="D633" s="4" t="s">
        <v>86</v>
      </c>
      <c r="E633" s="5">
        <v>8200</v>
      </c>
      <c r="F633" s="6">
        <f>E633*C633</f>
        <v>0</v>
      </c>
    </row>
    <row r="634" spans="1:6" ht="33" x14ac:dyDescent="0.25">
      <c r="B634" s="45" t="s">
        <v>87</v>
      </c>
      <c r="C634" s="67"/>
    </row>
    <row r="635" spans="1:6" x14ac:dyDescent="0.25">
      <c r="B635" s="3" t="s">
        <v>88</v>
      </c>
      <c r="C635" s="67"/>
    </row>
    <row r="636" spans="1:6" x14ac:dyDescent="0.25">
      <c r="A636" s="4" t="s">
        <v>10</v>
      </c>
      <c r="B636" s="3" t="s">
        <v>89</v>
      </c>
      <c r="D636" s="4" t="s">
        <v>86</v>
      </c>
      <c r="E636" s="5">
        <v>1200</v>
      </c>
      <c r="F636" s="6">
        <f>E636*C636</f>
        <v>0</v>
      </c>
    </row>
    <row r="637" spans="1:6" ht="16.5" x14ac:dyDescent="0.25">
      <c r="B637" s="25" t="s">
        <v>241</v>
      </c>
      <c r="C637" s="67"/>
    </row>
    <row r="638" spans="1:6" x14ac:dyDescent="0.25">
      <c r="B638" s="23" t="s">
        <v>262</v>
      </c>
      <c r="C638" s="23"/>
    </row>
    <row r="639" spans="1:6" ht="45" x14ac:dyDescent="0.25">
      <c r="B639" s="43" t="s">
        <v>263</v>
      </c>
    </row>
    <row r="640" spans="1:6" x14ac:dyDescent="0.25">
      <c r="A640" s="4" t="s">
        <v>12</v>
      </c>
      <c r="B640" s="3" t="s">
        <v>244</v>
      </c>
      <c r="C640" s="41">
        <f>C621</f>
        <v>297</v>
      </c>
      <c r="D640" s="4" t="s">
        <v>86</v>
      </c>
      <c r="E640" s="5">
        <f>'[16]Type S-0'!E730</f>
        <v>950</v>
      </c>
      <c r="F640" s="6">
        <f>E640*C640</f>
        <v>282150</v>
      </c>
    </row>
    <row r="641" spans="1:6" ht="30" x14ac:dyDescent="0.25">
      <c r="A641" s="4" t="s">
        <v>14</v>
      </c>
      <c r="B641" s="20" t="s">
        <v>245</v>
      </c>
      <c r="C641" s="19">
        <f>C622</f>
        <v>220</v>
      </c>
      <c r="D641" s="4" t="s">
        <v>51</v>
      </c>
      <c r="E641" s="5">
        <f>'[16]Type S-0'!E731</f>
        <v>285</v>
      </c>
      <c r="F641" s="6">
        <f>E641*C641</f>
        <v>62700</v>
      </c>
    </row>
    <row r="642" spans="1:6" ht="16.5" x14ac:dyDescent="0.25">
      <c r="B642" s="9" t="s">
        <v>124</v>
      </c>
    </row>
    <row r="643" spans="1:6" ht="30" x14ac:dyDescent="0.25">
      <c r="B643" s="46" t="s">
        <v>264</v>
      </c>
    </row>
    <row r="644" spans="1:6" ht="15.75" customHeight="1" x14ac:dyDescent="0.25">
      <c r="A644" s="4" t="s">
        <v>16</v>
      </c>
      <c r="B644" s="38" t="s">
        <v>239</v>
      </c>
      <c r="C644" s="19">
        <f>C640</f>
        <v>297</v>
      </c>
      <c r="D644" s="4" t="s">
        <v>86</v>
      </c>
      <c r="E644" s="5">
        <f>'[16]Type S-0'!E735</f>
        <v>1650</v>
      </c>
      <c r="F644" s="6">
        <f>E644*C644</f>
        <v>490050</v>
      </c>
    </row>
    <row r="645" spans="1:6" ht="30" x14ac:dyDescent="0.25">
      <c r="A645" s="4" t="s">
        <v>14</v>
      </c>
      <c r="B645" s="20" t="s">
        <v>245</v>
      </c>
      <c r="C645" s="19">
        <f>C641</f>
        <v>220</v>
      </c>
      <c r="D645" s="4" t="s">
        <v>51</v>
      </c>
      <c r="E645" s="5">
        <f>E641</f>
        <v>285</v>
      </c>
      <c r="F645" s="6">
        <f>E645*C645</f>
        <v>62700</v>
      </c>
    </row>
    <row r="647" spans="1:6" ht="16.5" x14ac:dyDescent="0.25">
      <c r="B647" s="25" t="s">
        <v>52</v>
      </c>
      <c r="C647" s="25"/>
      <c r="D647" s="8"/>
      <c r="E647" s="66" t="s">
        <v>34</v>
      </c>
      <c r="F647" s="27">
        <f>SUM(F629:F646)</f>
        <v>897600</v>
      </c>
    </row>
    <row r="648" spans="1:6" ht="16.5" x14ac:dyDescent="0.25">
      <c r="B648" s="25"/>
      <c r="C648" s="25"/>
      <c r="D648" s="8"/>
      <c r="E648" s="28"/>
      <c r="F648" s="27"/>
    </row>
    <row r="649" spans="1:6" ht="18.75" customHeight="1" x14ac:dyDescent="0.25">
      <c r="B649" s="9" t="s">
        <v>56</v>
      </c>
      <c r="C649" s="25"/>
      <c r="D649" s="8"/>
      <c r="E649" s="28"/>
      <c r="F649" s="27"/>
    </row>
    <row r="650" spans="1:6" ht="16.5" x14ac:dyDescent="0.25">
      <c r="B650" s="9"/>
      <c r="C650" s="25"/>
      <c r="D650" s="8"/>
      <c r="E650" s="28"/>
      <c r="F650" s="27"/>
    </row>
    <row r="651" spans="1:6" ht="17.25" customHeight="1" x14ac:dyDescent="0.25">
      <c r="B651" s="36" t="s">
        <v>265</v>
      </c>
      <c r="C651" s="25"/>
      <c r="D651" s="8"/>
      <c r="E651" s="5">
        <f>F625</f>
        <v>5460750</v>
      </c>
      <c r="F651" s="27"/>
    </row>
    <row r="652" spans="1:6" ht="16.5" x14ac:dyDescent="0.25">
      <c r="B652" s="36"/>
      <c r="C652" s="25"/>
      <c r="D652" s="8"/>
      <c r="F652" s="27"/>
    </row>
    <row r="653" spans="1:6" ht="17.25" customHeight="1" x14ac:dyDescent="0.25">
      <c r="B653" s="36" t="s">
        <v>266</v>
      </c>
      <c r="C653" s="25"/>
      <c r="D653" s="8"/>
      <c r="E653" s="5">
        <f>F647</f>
        <v>897600</v>
      </c>
      <c r="F653" s="27"/>
    </row>
    <row r="654" spans="1:6" ht="16.5" x14ac:dyDescent="0.25">
      <c r="B654" s="25"/>
      <c r="C654" s="25"/>
      <c r="D654" s="8"/>
      <c r="F654" s="27"/>
    </row>
    <row r="655" spans="1:6" ht="12" customHeight="1" x14ac:dyDescent="0.25">
      <c r="B655" s="25"/>
      <c r="C655" s="25"/>
      <c r="D655" s="8"/>
      <c r="E655" s="28"/>
      <c r="F655" s="27"/>
    </row>
    <row r="656" spans="1:6" ht="12" customHeight="1" x14ac:dyDescent="0.25">
      <c r="B656" s="25"/>
      <c r="C656" s="25"/>
      <c r="D656" s="8"/>
      <c r="E656" s="28"/>
      <c r="F656" s="27"/>
    </row>
    <row r="657" spans="1:7" ht="12" customHeight="1" x14ac:dyDescent="0.25">
      <c r="B657" s="25"/>
      <c r="C657" s="25"/>
      <c r="D657" s="8"/>
      <c r="E657" s="28"/>
      <c r="F657" s="27"/>
    </row>
    <row r="658" spans="1:7" ht="12" customHeight="1" x14ac:dyDescent="0.25">
      <c r="B658" s="25"/>
      <c r="C658" s="25"/>
      <c r="D658" s="8"/>
      <c r="E658" s="28"/>
      <c r="F658" s="27"/>
    </row>
    <row r="659" spans="1:7" ht="12" customHeight="1" x14ac:dyDescent="0.25">
      <c r="B659" s="25"/>
      <c r="C659" s="25"/>
      <c r="D659" s="8"/>
      <c r="E659" s="28"/>
      <c r="F659" s="27"/>
    </row>
    <row r="660" spans="1:7" ht="15" customHeight="1" x14ac:dyDescent="0.25">
      <c r="B660" s="9" t="s">
        <v>235</v>
      </c>
      <c r="C660" s="25"/>
      <c r="D660" s="8"/>
      <c r="E660" s="28"/>
      <c r="F660" s="27"/>
    </row>
    <row r="661" spans="1:7" ht="18" customHeight="1" x14ac:dyDescent="0.25">
      <c r="B661" s="25" t="s">
        <v>267</v>
      </c>
      <c r="C661" s="25"/>
      <c r="D661" s="8"/>
      <c r="E661" s="66" t="s">
        <v>34</v>
      </c>
      <c r="F661" s="27">
        <f>SUM(E649:E654)</f>
        <v>6358350</v>
      </c>
    </row>
    <row r="662" spans="1:7" ht="16.5" x14ac:dyDescent="0.25">
      <c r="B662" s="9" t="s">
        <v>268</v>
      </c>
    </row>
    <row r="663" spans="1:7" ht="16.5" x14ac:dyDescent="0.25">
      <c r="B663" s="25"/>
    </row>
    <row r="664" spans="1:7" ht="16.5" x14ac:dyDescent="0.25">
      <c r="B664" s="9" t="s">
        <v>269</v>
      </c>
    </row>
    <row r="665" spans="1:7" x14ac:dyDescent="0.25">
      <c r="B665" s="23" t="s">
        <v>236</v>
      </c>
    </row>
    <row r="666" spans="1:7" ht="16.5" customHeight="1" x14ac:dyDescent="0.25">
      <c r="B666" s="10" t="s">
        <v>270</v>
      </c>
    </row>
    <row r="667" spans="1:7" x14ac:dyDescent="0.25">
      <c r="B667" s="23"/>
    </row>
    <row r="668" spans="1:7" ht="64.5" customHeight="1" x14ac:dyDescent="0.25">
      <c r="B668" s="46" t="s">
        <v>90</v>
      </c>
    </row>
    <row r="669" spans="1:7" ht="15.75" customHeight="1" x14ac:dyDescent="0.25">
      <c r="A669" s="4" t="s">
        <v>4</v>
      </c>
      <c r="B669" s="3" t="s">
        <v>271</v>
      </c>
      <c r="C669" s="3">
        <v>65</v>
      </c>
      <c r="D669" s="4" t="s">
        <v>86</v>
      </c>
      <c r="E669" s="5">
        <f>'[16]Type S-0'!E769</f>
        <v>9000</v>
      </c>
      <c r="F669" s="6">
        <f>E669*C669</f>
        <v>585000</v>
      </c>
    </row>
    <row r="670" spans="1:7" ht="65.25" customHeight="1" x14ac:dyDescent="0.25">
      <c r="B670" s="30" t="s">
        <v>272</v>
      </c>
      <c r="E670" s="17"/>
      <c r="F670" s="49"/>
      <c r="G670" s="18"/>
    </row>
    <row r="671" spans="1:7" ht="23.45" customHeight="1" x14ac:dyDescent="0.25">
      <c r="A671" s="4" t="s">
        <v>7</v>
      </c>
      <c r="B671" s="3" t="s">
        <v>424</v>
      </c>
      <c r="C671" s="3">
        <v>36</v>
      </c>
      <c r="D671" s="4" t="s">
        <v>86</v>
      </c>
      <c r="E671" s="5">
        <f>'[16]Type S-0'!E771</f>
        <v>9500</v>
      </c>
      <c r="F671" s="6">
        <f t="shared" ref="F671:F680" si="9">E671*C671</f>
        <v>342000</v>
      </c>
    </row>
    <row r="672" spans="1:7" ht="15.75" customHeight="1" x14ac:dyDescent="0.25">
      <c r="A672" s="4" t="s">
        <v>10</v>
      </c>
      <c r="B672" s="3" t="s">
        <v>273</v>
      </c>
      <c r="C672" s="3">
        <v>18</v>
      </c>
      <c r="D672" s="4" t="s">
        <v>51</v>
      </c>
      <c r="E672" s="17">
        <f>E671*0.075</f>
        <v>712.5</v>
      </c>
      <c r="F672" s="6">
        <f t="shared" si="9"/>
        <v>12825</v>
      </c>
    </row>
    <row r="673" spans="1:8" ht="14.25" customHeight="1" x14ac:dyDescent="0.25">
      <c r="A673" s="4" t="s">
        <v>7</v>
      </c>
      <c r="B673" s="3" t="s">
        <v>425</v>
      </c>
      <c r="C673" s="3">
        <v>47</v>
      </c>
      <c r="D673" s="4" t="s">
        <v>86</v>
      </c>
      <c r="E673" s="5">
        <f>E671</f>
        <v>9500</v>
      </c>
      <c r="F673" s="6">
        <f t="shared" si="9"/>
        <v>446500</v>
      </c>
    </row>
    <row r="674" spans="1:8" ht="15.75" customHeight="1" x14ac:dyDescent="0.25">
      <c r="A674" s="4" t="s">
        <v>10</v>
      </c>
      <c r="B674" s="3" t="s">
        <v>273</v>
      </c>
      <c r="C674" s="3">
        <v>17</v>
      </c>
      <c r="D674" s="4" t="s">
        <v>51</v>
      </c>
      <c r="E674" s="17">
        <f>E673*0.075</f>
        <v>712.5</v>
      </c>
      <c r="F674" s="6">
        <f t="shared" si="9"/>
        <v>12112.5</v>
      </c>
    </row>
    <row r="675" spans="1:8" ht="14.25" customHeight="1" x14ac:dyDescent="0.25">
      <c r="A675" s="4" t="s">
        <v>7</v>
      </c>
      <c r="B675" s="3" t="s">
        <v>426</v>
      </c>
      <c r="C675" s="3">
        <v>13</v>
      </c>
      <c r="D675" s="4" t="s">
        <v>86</v>
      </c>
      <c r="E675" s="5">
        <f>'[16]Type S-0'!E771</f>
        <v>9500</v>
      </c>
      <c r="F675" s="6">
        <f t="shared" si="9"/>
        <v>123500</v>
      </c>
    </row>
    <row r="676" spans="1:8" ht="15.75" customHeight="1" x14ac:dyDescent="0.25">
      <c r="A676" s="4" t="s">
        <v>10</v>
      </c>
      <c r="B676" s="3" t="s">
        <v>273</v>
      </c>
      <c r="C676" s="3">
        <v>10</v>
      </c>
      <c r="D676" s="4" t="s">
        <v>51</v>
      </c>
      <c r="E676" s="17">
        <f>E675*0.075</f>
        <v>712.5</v>
      </c>
      <c r="F676" s="6">
        <f t="shared" si="9"/>
        <v>7125</v>
      </c>
    </row>
    <row r="677" spans="1:8" ht="14.25" customHeight="1" x14ac:dyDescent="0.25">
      <c r="A677" s="4" t="s">
        <v>7</v>
      </c>
      <c r="B677" s="3" t="s">
        <v>274</v>
      </c>
      <c r="C677" s="3">
        <v>22</v>
      </c>
      <c r="D677" s="4" t="s">
        <v>86</v>
      </c>
      <c r="E677" s="5">
        <f>E675</f>
        <v>9500</v>
      </c>
      <c r="F677" s="6">
        <f t="shared" si="9"/>
        <v>209000</v>
      </c>
    </row>
    <row r="678" spans="1:8" ht="15.75" customHeight="1" x14ac:dyDescent="0.25">
      <c r="A678" s="4" t="s">
        <v>10</v>
      </c>
      <c r="B678" s="3" t="s">
        <v>273</v>
      </c>
      <c r="C678" s="3">
        <v>15</v>
      </c>
      <c r="D678" s="4" t="s">
        <v>51</v>
      </c>
      <c r="E678" s="17">
        <f>E677*0.075</f>
        <v>712.5</v>
      </c>
      <c r="F678" s="6">
        <f t="shared" si="9"/>
        <v>10687.5</v>
      </c>
    </row>
    <row r="679" spans="1:8" ht="28.15" customHeight="1" x14ac:dyDescent="0.25">
      <c r="A679" s="4" t="s">
        <v>12</v>
      </c>
      <c r="B679" s="20" t="s">
        <v>427</v>
      </c>
      <c r="C679" s="3">
        <v>32</v>
      </c>
      <c r="D679" s="4" t="s">
        <v>86</v>
      </c>
      <c r="E679" s="5">
        <f>'[16]Type S-0'!E773</f>
        <v>9500</v>
      </c>
      <c r="F679" s="6">
        <f t="shared" si="9"/>
        <v>304000</v>
      </c>
    </row>
    <row r="680" spans="1:8" s="4" customFormat="1" ht="18.75" customHeight="1" x14ac:dyDescent="0.3">
      <c r="A680" s="4" t="s">
        <v>14</v>
      </c>
      <c r="B680" s="43" t="s">
        <v>273</v>
      </c>
      <c r="C680" s="68">
        <v>15</v>
      </c>
      <c r="D680" s="4" t="s">
        <v>51</v>
      </c>
      <c r="E680" s="5">
        <f>E679*0.075</f>
        <v>712.5</v>
      </c>
      <c r="F680" s="6">
        <f t="shared" si="9"/>
        <v>10687.5</v>
      </c>
      <c r="H680" s="7"/>
    </row>
    <row r="681" spans="1:8" ht="60" x14ac:dyDescent="0.25">
      <c r="B681" s="43" t="s">
        <v>275</v>
      </c>
      <c r="C681" s="38"/>
      <c r="F681" s="49"/>
    </row>
    <row r="682" spans="1:8" ht="25.5" customHeight="1" x14ac:dyDescent="0.25">
      <c r="A682" s="4" t="s">
        <v>16</v>
      </c>
      <c r="B682" s="20" t="s">
        <v>276</v>
      </c>
      <c r="C682" s="3">
        <v>141</v>
      </c>
      <c r="D682" s="4" t="s">
        <v>86</v>
      </c>
      <c r="E682" s="5">
        <f>'[16]Type S-0'!E776</f>
        <v>18000</v>
      </c>
      <c r="F682" s="6">
        <f>E682*C682</f>
        <v>2538000</v>
      </c>
    </row>
    <row r="683" spans="1:8" ht="18.75" customHeight="1" x14ac:dyDescent="0.25">
      <c r="A683" s="4" t="s">
        <v>18</v>
      </c>
      <c r="B683" s="3" t="s">
        <v>273</v>
      </c>
      <c r="C683" s="3">
        <v>97</v>
      </c>
      <c r="D683" s="4" t="s">
        <v>51</v>
      </c>
      <c r="E683" s="5">
        <f>E682*0.075</f>
        <v>1350</v>
      </c>
      <c r="F683" s="6">
        <f>E683*C683</f>
        <v>130950</v>
      </c>
    </row>
    <row r="684" spans="1:8" ht="49.5" x14ac:dyDescent="0.25">
      <c r="B684" s="44" t="s">
        <v>249</v>
      </c>
      <c r="F684" s="49"/>
    </row>
    <row r="685" spans="1:8" ht="15.75" customHeight="1" x14ac:dyDescent="0.25">
      <c r="B685" s="3" t="s">
        <v>91</v>
      </c>
      <c r="F685" s="49"/>
    </row>
    <row r="686" spans="1:8" ht="16.5" customHeight="1" x14ac:dyDescent="0.25">
      <c r="A686" s="4" t="s">
        <v>24</v>
      </c>
      <c r="B686" s="3" t="s">
        <v>92</v>
      </c>
      <c r="C686" s="3">
        <f>C669+C671+C673+C675+C677+C682</f>
        <v>324</v>
      </c>
      <c r="D686" s="4" t="s">
        <v>86</v>
      </c>
      <c r="E686" s="17">
        <f>'[16]Type S-0'!E793</f>
        <v>2800</v>
      </c>
      <c r="F686" s="6">
        <f>E686*C686</f>
        <v>907200</v>
      </c>
    </row>
    <row r="687" spans="1:8" ht="17.25" customHeight="1" x14ac:dyDescent="0.25">
      <c r="A687" s="4" t="s">
        <v>28</v>
      </c>
      <c r="B687" s="3" t="s">
        <v>89</v>
      </c>
      <c r="C687" s="3">
        <f>C672+C674+C676+C678+C680+C683</f>
        <v>172</v>
      </c>
      <c r="D687" s="4" t="s">
        <v>51</v>
      </c>
      <c r="E687" s="4">
        <f>'[16]Type S-0'!E794</f>
        <v>450</v>
      </c>
      <c r="F687" s="6">
        <f>E687*C687</f>
        <v>77400</v>
      </c>
    </row>
    <row r="688" spans="1:8" ht="17.25" customHeight="1" x14ac:dyDescent="0.25">
      <c r="B688" s="44" t="s">
        <v>250</v>
      </c>
      <c r="E688" s="4"/>
    </row>
    <row r="689" spans="1:6" ht="34.5" customHeight="1" x14ac:dyDescent="0.25">
      <c r="B689" s="30" t="s">
        <v>277</v>
      </c>
      <c r="F689" s="49"/>
    </row>
    <row r="690" spans="1:6" ht="15.75" customHeight="1" x14ac:dyDescent="0.25">
      <c r="B690" s="9" t="s">
        <v>278</v>
      </c>
      <c r="E690" s="4"/>
    </row>
    <row r="691" spans="1:6" ht="30.6" customHeight="1" x14ac:dyDescent="0.25">
      <c r="A691" s="4" t="s">
        <v>40</v>
      </c>
      <c r="B691" s="20" t="s">
        <v>279</v>
      </c>
      <c r="C691" s="3">
        <v>35</v>
      </c>
      <c r="D691" s="4" t="s">
        <v>86</v>
      </c>
      <c r="E691" s="17">
        <f>'[16]Type S-0'!E787</f>
        <v>12000</v>
      </c>
      <c r="F691" s="6">
        <f>E691*C691</f>
        <v>420000</v>
      </c>
    </row>
    <row r="692" spans="1:6" ht="22.5" customHeight="1" x14ac:dyDescent="0.25">
      <c r="A692" s="4" t="s">
        <v>34</v>
      </c>
      <c r="B692" s="3" t="s">
        <v>273</v>
      </c>
      <c r="C692" s="3">
        <v>18</v>
      </c>
      <c r="D692" s="4" t="s">
        <v>51</v>
      </c>
      <c r="E692" s="5">
        <f>'[16]Type S-0'!E788</f>
        <v>900</v>
      </c>
      <c r="F692" s="6">
        <f>E692*C692</f>
        <v>16200</v>
      </c>
    </row>
    <row r="693" spans="1:6" ht="33" customHeight="1" x14ac:dyDescent="0.25">
      <c r="B693" s="30" t="s">
        <v>249</v>
      </c>
      <c r="E693" s="4"/>
    </row>
    <row r="694" spans="1:6" ht="12.75" customHeight="1" x14ac:dyDescent="0.25">
      <c r="B694" s="30" t="s">
        <v>91</v>
      </c>
      <c r="E694" s="4"/>
    </row>
    <row r="695" spans="1:6" ht="15.75" customHeight="1" x14ac:dyDescent="0.25">
      <c r="A695" s="4" t="s">
        <v>31</v>
      </c>
      <c r="B695" s="3" t="s">
        <v>280</v>
      </c>
      <c r="C695" s="3">
        <f>C691</f>
        <v>35</v>
      </c>
      <c r="D695" s="4" t="s">
        <v>86</v>
      </c>
      <c r="E695" s="5">
        <f>E686</f>
        <v>2800</v>
      </c>
      <c r="F695" s="6">
        <f>E695*C695</f>
        <v>98000</v>
      </c>
    </row>
    <row r="696" spans="1:6" ht="16.5" customHeight="1" x14ac:dyDescent="0.25">
      <c r="A696" s="4" t="s">
        <v>41</v>
      </c>
      <c r="B696" s="3" t="s">
        <v>89</v>
      </c>
      <c r="C696" s="3">
        <f>C692</f>
        <v>18</v>
      </c>
      <c r="D696" s="4" t="s">
        <v>51</v>
      </c>
      <c r="E696" s="4">
        <f>E687</f>
        <v>450</v>
      </c>
      <c r="F696" s="6">
        <f>E696*C696</f>
        <v>8100</v>
      </c>
    </row>
    <row r="697" spans="1:6" ht="21.75" customHeight="1" x14ac:dyDescent="0.25">
      <c r="B697" s="9" t="s">
        <v>269</v>
      </c>
    </row>
    <row r="698" spans="1:6" ht="16.5" x14ac:dyDescent="0.25">
      <c r="B698" s="25" t="s">
        <v>61</v>
      </c>
      <c r="C698" s="25"/>
      <c r="D698" s="8"/>
      <c r="E698" s="66" t="s">
        <v>34</v>
      </c>
      <c r="F698" s="27">
        <f>SUM(F668:F697)</f>
        <v>6259287.5</v>
      </c>
    </row>
    <row r="699" spans="1:6" ht="16.5" x14ac:dyDescent="0.25">
      <c r="B699" s="9" t="s">
        <v>281</v>
      </c>
    </row>
    <row r="700" spans="1:6" ht="8.25" customHeight="1" x14ac:dyDescent="0.25">
      <c r="B700" s="9"/>
    </row>
    <row r="701" spans="1:6" ht="16.5" x14ac:dyDescent="0.25">
      <c r="B701" s="9" t="s">
        <v>282</v>
      </c>
    </row>
    <row r="702" spans="1:6" ht="11.25" customHeight="1" x14ac:dyDescent="0.25">
      <c r="B702" s="9"/>
    </row>
    <row r="703" spans="1:6" ht="16.5" x14ac:dyDescent="0.25">
      <c r="B703" s="9" t="s">
        <v>283</v>
      </c>
    </row>
    <row r="704" spans="1:6" ht="16.5" x14ac:dyDescent="0.25">
      <c r="B704" s="9"/>
    </row>
    <row r="705" spans="1:6" ht="16.5" x14ac:dyDescent="0.25">
      <c r="B705" s="25" t="s">
        <v>251</v>
      </c>
      <c r="E705" s="17"/>
      <c r="F705" s="49"/>
    </row>
    <row r="706" spans="1:6" ht="30" x14ac:dyDescent="0.25">
      <c r="B706" s="30" t="s">
        <v>284</v>
      </c>
      <c r="E706" s="17"/>
      <c r="F706" s="49"/>
    </row>
    <row r="707" spans="1:6" x14ac:dyDescent="0.25">
      <c r="A707" s="4" t="s">
        <v>4</v>
      </c>
      <c r="B707" s="3" t="s">
        <v>285</v>
      </c>
      <c r="C707" s="69">
        <v>178</v>
      </c>
      <c r="D707" s="4" t="s">
        <v>86</v>
      </c>
      <c r="E707" s="17">
        <f>E695</f>
        <v>2800</v>
      </c>
      <c r="F707" s="6">
        <f>E707*C707</f>
        <v>498400</v>
      </c>
    </row>
    <row r="708" spans="1:6" ht="19.5" customHeight="1" x14ac:dyDescent="0.25">
      <c r="B708" s="25" t="s">
        <v>241</v>
      </c>
      <c r="C708" s="16"/>
      <c r="E708" s="17"/>
      <c r="F708" s="49"/>
    </row>
    <row r="709" spans="1:6" ht="34.15" customHeight="1" x14ac:dyDescent="0.25">
      <c r="A709" s="4" t="s">
        <v>7</v>
      </c>
      <c r="B709" s="20" t="s">
        <v>286</v>
      </c>
      <c r="C709" s="16">
        <v>190</v>
      </c>
      <c r="D709" s="4" t="s">
        <v>86</v>
      </c>
      <c r="E709" s="17">
        <f>'[16]Type S-0'!E809</f>
        <v>12000</v>
      </c>
      <c r="F709" s="6">
        <f>E709*C709</f>
        <v>2280000</v>
      </c>
    </row>
    <row r="710" spans="1:6" ht="16.5" x14ac:dyDescent="0.25">
      <c r="B710" s="25" t="s">
        <v>287</v>
      </c>
      <c r="E710" s="17"/>
      <c r="F710" s="49"/>
    </row>
    <row r="711" spans="1:6" ht="17.25" customHeight="1" x14ac:dyDescent="0.25">
      <c r="B711" s="70" t="s">
        <v>288</v>
      </c>
    </row>
    <row r="712" spans="1:6" x14ac:dyDescent="0.25">
      <c r="A712" s="4" t="s">
        <v>10</v>
      </c>
      <c r="B712" s="3" t="s">
        <v>289</v>
      </c>
      <c r="C712" s="71">
        <v>678</v>
      </c>
      <c r="D712" s="4" t="s">
        <v>51</v>
      </c>
      <c r="E712" s="5">
        <f>'[16]Type S-0'!E812</f>
        <v>650</v>
      </c>
      <c r="F712" s="6">
        <f>E712*C712</f>
        <v>440700</v>
      </c>
    </row>
    <row r="713" spans="1:6" ht="17.25" customHeight="1" x14ac:dyDescent="0.25">
      <c r="B713" s="25" t="s">
        <v>124</v>
      </c>
      <c r="C713" s="16"/>
      <c r="E713" s="17"/>
      <c r="F713" s="49"/>
    </row>
    <row r="714" spans="1:6" ht="30" x14ac:dyDescent="0.25">
      <c r="B714" s="30" t="s">
        <v>290</v>
      </c>
      <c r="C714" s="16"/>
      <c r="E714" s="17"/>
      <c r="F714" s="49"/>
    </row>
    <row r="715" spans="1:6" ht="18" customHeight="1" x14ac:dyDescent="0.25">
      <c r="A715" s="4" t="s">
        <v>12</v>
      </c>
      <c r="B715" s="3" t="s">
        <v>291</v>
      </c>
      <c r="C715" s="16">
        <f>C707</f>
        <v>178</v>
      </c>
      <c r="D715" s="4" t="s">
        <v>86</v>
      </c>
      <c r="E715" s="17">
        <f>'[16]Type S-0'!E816</f>
        <v>1300</v>
      </c>
      <c r="F715" s="6">
        <f>E715*C715</f>
        <v>231400</v>
      </c>
    </row>
    <row r="716" spans="1:6" ht="18.75" customHeight="1" x14ac:dyDescent="0.25">
      <c r="C716" s="16"/>
      <c r="E716" s="17"/>
    </row>
    <row r="717" spans="1:6" x14ac:dyDescent="0.25">
      <c r="E717" s="17"/>
      <c r="F717" s="49"/>
    </row>
    <row r="718" spans="1:6" x14ac:dyDescent="0.25">
      <c r="E718" s="17"/>
      <c r="F718" s="49"/>
    </row>
    <row r="719" spans="1:6" x14ac:dyDescent="0.25">
      <c r="B719" s="23"/>
      <c r="E719" s="17"/>
      <c r="F719" s="72"/>
    </row>
    <row r="720" spans="1:6" x14ac:dyDescent="0.25">
      <c r="E720" s="17"/>
      <c r="F720" s="72"/>
    </row>
    <row r="721" spans="1:10" x14ac:dyDescent="0.25">
      <c r="B721" s="15"/>
      <c r="E721" s="17"/>
      <c r="F721" s="49"/>
    </row>
    <row r="722" spans="1:10" x14ac:dyDescent="0.25">
      <c r="B722" s="15"/>
      <c r="E722" s="17"/>
      <c r="F722" s="49"/>
    </row>
    <row r="723" spans="1:10" x14ac:dyDescent="0.25">
      <c r="B723" s="15"/>
      <c r="E723" s="17"/>
      <c r="F723" s="49"/>
    </row>
    <row r="724" spans="1:10" x14ac:dyDescent="0.25">
      <c r="B724" s="15"/>
      <c r="E724" s="17"/>
      <c r="F724" s="49"/>
    </row>
    <row r="725" spans="1:10" x14ac:dyDescent="0.25">
      <c r="B725" s="15"/>
      <c r="E725" s="17"/>
      <c r="F725" s="49"/>
    </row>
    <row r="726" spans="1:10" x14ac:dyDescent="0.25">
      <c r="B726" s="15"/>
      <c r="E726" s="17"/>
      <c r="F726" s="49"/>
    </row>
    <row r="727" spans="1:10" ht="16.5" x14ac:dyDescent="0.25">
      <c r="B727" s="9" t="s">
        <v>282</v>
      </c>
      <c r="C727" s="25"/>
      <c r="D727" s="8"/>
      <c r="E727" s="28"/>
      <c r="F727" s="29"/>
    </row>
    <row r="728" spans="1:10" ht="16.5" x14ac:dyDescent="0.25">
      <c r="B728" s="25" t="s">
        <v>61</v>
      </c>
      <c r="C728" s="25"/>
      <c r="D728" s="8"/>
      <c r="E728" s="66" t="s">
        <v>34</v>
      </c>
      <c r="F728" s="27">
        <f>SUM(F705:F727)</f>
        <v>3450500</v>
      </c>
    </row>
    <row r="729" spans="1:10" ht="16.5" x14ac:dyDescent="0.25">
      <c r="B729" s="9" t="s">
        <v>292</v>
      </c>
      <c r="C729" s="25"/>
      <c r="D729" s="8"/>
      <c r="E729" s="28"/>
      <c r="F729" s="27"/>
    </row>
    <row r="730" spans="1:10" ht="16.5" x14ac:dyDescent="0.25">
      <c r="B730" s="9" t="s">
        <v>293</v>
      </c>
      <c r="C730" s="73"/>
      <c r="D730" s="8"/>
      <c r="E730" s="74"/>
      <c r="F730" s="75"/>
    </row>
    <row r="731" spans="1:10" s="77" customFormat="1" x14ac:dyDescent="0.3">
      <c r="A731" s="76"/>
      <c r="B731" s="77" t="s">
        <v>294</v>
      </c>
      <c r="C731" s="78"/>
      <c r="D731" s="76"/>
      <c r="E731" s="79"/>
      <c r="F731" s="80"/>
      <c r="H731" s="81"/>
    </row>
    <row r="732" spans="1:10" s="77" customFormat="1" ht="16.5" x14ac:dyDescent="0.35">
      <c r="A732" s="76"/>
      <c r="B732" s="82" t="s">
        <v>295</v>
      </c>
      <c r="C732" s="78"/>
      <c r="D732" s="76"/>
      <c r="E732" s="79"/>
      <c r="F732" s="80"/>
      <c r="H732" s="81"/>
    </row>
    <row r="733" spans="1:10" s="77" customFormat="1" x14ac:dyDescent="0.3">
      <c r="A733" s="76"/>
      <c r="C733" s="83"/>
      <c r="D733" s="76"/>
      <c r="E733" s="79"/>
      <c r="F733" s="6"/>
      <c r="G733" s="3"/>
      <c r="H733" s="81"/>
    </row>
    <row r="734" spans="1:10" s="77" customFormat="1" x14ac:dyDescent="0.3">
      <c r="A734" s="76" t="s">
        <v>4</v>
      </c>
      <c r="B734" s="77" t="s">
        <v>296</v>
      </c>
      <c r="C734" s="78"/>
      <c r="D734" s="76" t="s">
        <v>297</v>
      </c>
      <c r="E734" s="79">
        <v>8000</v>
      </c>
      <c r="F734" s="6">
        <f t="shared" ref="F734:F775" si="10">E734*C734</f>
        <v>0</v>
      </c>
      <c r="G734" s="57"/>
      <c r="H734" s="81"/>
      <c r="J734" s="84"/>
    </row>
    <row r="735" spans="1:10" s="77" customFormat="1" x14ac:dyDescent="0.3">
      <c r="A735" s="76" t="s">
        <v>7</v>
      </c>
      <c r="B735" s="77" t="s">
        <v>298</v>
      </c>
      <c r="C735" s="78"/>
      <c r="D735" s="76" t="s">
        <v>297</v>
      </c>
      <c r="E735" s="79">
        <v>500</v>
      </c>
      <c r="F735" s="6">
        <f t="shared" si="10"/>
        <v>0</v>
      </c>
      <c r="G735" s="57"/>
      <c r="H735" s="81"/>
      <c r="J735" s="84"/>
    </row>
    <row r="736" spans="1:10" s="77" customFormat="1" x14ac:dyDescent="0.3">
      <c r="A736" s="76" t="s">
        <v>10</v>
      </c>
      <c r="B736" s="77" t="s">
        <v>299</v>
      </c>
      <c r="C736" s="78"/>
      <c r="D736" s="76" t="s">
        <v>297</v>
      </c>
      <c r="E736" s="79">
        <v>500</v>
      </c>
      <c r="F736" s="6">
        <f t="shared" si="10"/>
        <v>0</v>
      </c>
      <c r="G736" s="57"/>
      <c r="H736" s="81"/>
      <c r="J736" s="84"/>
    </row>
    <row r="737" spans="1:10" s="77" customFormat="1" x14ac:dyDescent="0.3">
      <c r="A737" s="76" t="s">
        <v>12</v>
      </c>
      <c r="B737" s="77" t="s">
        <v>300</v>
      </c>
      <c r="C737" s="78"/>
      <c r="D737" s="76" t="s">
        <v>301</v>
      </c>
      <c r="E737" s="79">
        <v>9500</v>
      </c>
      <c r="F737" s="6">
        <f t="shared" si="10"/>
        <v>0</v>
      </c>
      <c r="G737" s="57"/>
      <c r="H737" s="81"/>
      <c r="J737" s="84"/>
    </row>
    <row r="738" spans="1:10" s="77" customFormat="1" x14ac:dyDescent="0.3">
      <c r="A738" s="76" t="s">
        <v>14</v>
      </c>
      <c r="B738" s="77" t="s">
        <v>302</v>
      </c>
      <c r="C738" s="78"/>
      <c r="D738" s="76" t="s">
        <v>297</v>
      </c>
      <c r="E738" s="79">
        <v>500</v>
      </c>
      <c r="F738" s="6">
        <f t="shared" si="10"/>
        <v>0</v>
      </c>
      <c r="G738" s="57"/>
      <c r="H738" s="81"/>
      <c r="J738" s="84"/>
    </row>
    <row r="739" spans="1:10" s="77" customFormat="1" x14ac:dyDescent="0.3">
      <c r="A739" s="76" t="s">
        <v>16</v>
      </c>
      <c r="B739" s="77" t="s">
        <v>303</v>
      </c>
      <c r="C739" s="78"/>
      <c r="D739" s="76" t="s">
        <v>301</v>
      </c>
      <c r="E739" s="79">
        <v>500</v>
      </c>
      <c r="F739" s="6">
        <f t="shared" si="10"/>
        <v>0</v>
      </c>
      <c r="G739" s="57"/>
      <c r="H739" s="81"/>
      <c r="J739" s="84"/>
    </row>
    <row r="740" spans="1:10" s="77" customFormat="1" x14ac:dyDescent="0.3">
      <c r="A740" s="76" t="s">
        <v>18</v>
      </c>
      <c r="B740" s="77" t="s">
        <v>304</v>
      </c>
      <c r="C740" s="78"/>
      <c r="D740" s="76" t="s">
        <v>301</v>
      </c>
      <c r="E740" s="79">
        <v>375</v>
      </c>
      <c r="F740" s="6">
        <f t="shared" si="10"/>
        <v>0</v>
      </c>
      <c r="G740" s="57"/>
      <c r="H740" s="81"/>
      <c r="J740" s="84"/>
    </row>
    <row r="741" spans="1:10" s="77" customFormat="1" x14ac:dyDescent="0.3">
      <c r="A741" s="76" t="s">
        <v>20</v>
      </c>
      <c r="B741" s="77" t="s">
        <v>305</v>
      </c>
      <c r="C741" s="78"/>
      <c r="D741" s="76" t="s">
        <v>301</v>
      </c>
      <c r="E741" s="79">
        <v>375</v>
      </c>
      <c r="F741" s="6">
        <f t="shared" si="10"/>
        <v>0</v>
      </c>
      <c r="G741" s="57"/>
      <c r="H741" s="81"/>
      <c r="J741" s="84"/>
    </row>
    <row r="742" spans="1:10" s="77" customFormat="1" x14ac:dyDescent="0.3">
      <c r="A742" s="76" t="s">
        <v>22</v>
      </c>
      <c r="B742" s="77" t="s">
        <v>306</v>
      </c>
      <c r="C742" s="78"/>
      <c r="D742" s="76" t="s">
        <v>297</v>
      </c>
      <c r="E742" s="79">
        <v>6250</v>
      </c>
      <c r="F742" s="6">
        <f t="shared" si="10"/>
        <v>0</v>
      </c>
      <c r="G742" s="57"/>
      <c r="H742" s="81"/>
      <c r="J742" s="84"/>
    </row>
    <row r="743" spans="1:10" s="77" customFormat="1" x14ac:dyDescent="0.3">
      <c r="A743" s="76" t="s">
        <v>24</v>
      </c>
      <c r="B743" s="77" t="s">
        <v>307</v>
      </c>
      <c r="C743" s="78"/>
      <c r="D743" s="76" t="s">
        <v>297</v>
      </c>
      <c r="E743" s="79">
        <v>375</v>
      </c>
      <c r="F743" s="6">
        <f t="shared" si="10"/>
        <v>0</v>
      </c>
      <c r="G743" s="57"/>
      <c r="H743" s="81"/>
      <c r="J743" s="84"/>
    </row>
    <row r="744" spans="1:10" s="77" customFormat="1" x14ac:dyDescent="0.3">
      <c r="A744" s="76" t="s">
        <v>28</v>
      </c>
      <c r="B744" s="77" t="s">
        <v>308</v>
      </c>
      <c r="C744" s="78"/>
      <c r="D744" s="76" t="s">
        <v>297</v>
      </c>
      <c r="E744" s="79">
        <v>375</v>
      </c>
      <c r="F744" s="6">
        <f t="shared" si="10"/>
        <v>0</v>
      </c>
      <c r="G744" s="57"/>
      <c r="H744" s="81"/>
      <c r="J744" s="84"/>
    </row>
    <row r="745" spans="1:10" s="77" customFormat="1" x14ac:dyDescent="0.3">
      <c r="A745" s="76" t="s">
        <v>40</v>
      </c>
      <c r="B745" s="77" t="s">
        <v>309</v>
      </c>
      <c r="C745" s="78"/>
      <c r="D745" s="76" t="s">
        <v>297</v>
      </c>
      <c r="E745" s="79">
        <v>1125</v>
      </c>
      <c r="F745" s="6">
        <f t="shared" si="10"/>
        <v>0</v>
      </c>
      <c r="G745" s="57"/>
      <c r="H745" s="81"/>
      <c r="J745" s="84"/>
    </row>
    <row r="746" spans="1:10" s="77" customFormat="1" x14ac:dyDescent="0.3">
      <c r="A746" s="76" t="s">
        <v>34</v>
      </c>
      <c r="B746" s="77" t="s">
        <v>310</v>
      </c>
      <c r="C746" s="78"/>
      <c r="D746" s="76" t="s">
        <v>301</v>
      </c>
      <c r="E746" s="79">
        <v>300</v>
      </c>
      <c r="F746" s="6">
        <f t="shared" si="10"/>
        <v>0</v>
      </c>
      <c r="G746" s="57"/>
      <c r="H746" s="81"/>
      <c r="J746" s="84"/>
    </row>
    <row r="747" spans="1:10" s="77" customFormat="1" x14ac:dyDescent="0.3">
      <c r="A747" s="76" t="s">
        <v>41</v>
      </c>
      <c r="B747" s="77" t="s">
        <v>311</v>
      </c>
      <c r="C747" s="78"/>
      <c r="D747" s="76" t="s">
        <v>301</v>
      </c>
      <c r="E747" s="79">
        <v>300</v>
      </c>
      <c r="F747" s="6">
        <f t="shared" si="10"/>
        <v>0</v>
      </c>
      <c r="G747" s="57"/>
      <c r="H747" s="81"/>
      <c r="J747" s="84"/>
    </row>
    <row r="748" spans="1:10" s="77" customFormat="1" x14ac:dyDescent="0.3">
      <c r="A748" s="76" t="s">
        <v>42</v>
      </c>
      <c r="B748" s="77" t="s">
        <v>312</v>
      </c>
      <c r="C748" s="78"/>
      <c r="D748" s="76" t="s">
        <v>297</v>
      </c>
      <c r="E748" s="79">
        <v>1125</v>
      </c>
      <c r="F748" s="6">
        <f t="shared" si="10"/>
        <v>0</v>
      </c>
      <c r="G748" s="57"/>
      <c r="H748" s="81"/>
      <c r="J748" s="84"/>
    </row>
    <row r="749" spans="1:10" s="77" customFormat="1" x14ac:dyDescent="0.3">
      <c r="A749" s="76" t="s">
        <v>43</v>
      </c>
      <c r="B749" s="77" t="s">
        <v>313</v>
      </c>
      <c r="C749" s="78"/>
      <c r="D749" s="76" t="s">
        <v>297</v>
      </c>
      <c r="E749" s="79">
        <v>1125</v>
      </c>
      <c r="F749" s="6">
        <f t="shared" si="10"/>
        <v>0</v>
      </c>
      <c r="G749" s="57"/>
      <c r="H749" s="81"/>
      <c r="J749" s="84"/>
    </row>
    <row r="750" spans="1:10" s="77" customFormat="1" x14ac:dyDescent="0.3">
      <c r="A750" s="76" t="s">
        <v>46</v>
      </c>
      <c r="B750" s="77" t="s">
        <v>314</v>
      </c>
      <c r="C750" s="78"/>
      <c r="D750" s="76" t="s">
        <v>297</v>
      </c>
      <c r="E750" s="79">
        <v>1500</v>
      </c>
      <c r="F750" s="6">
        <f t="shared" si="10"/>
        <v>0</v>
      </c>
      <c r="G750" s="57"/>
      <c r="H750" s="81"/>
      <c r="J750" s="84"/>
    </row>
    <row r="751" spans="1:10" s="77" customFormat="1" x14ac:dyDescent="0.3">
      <c r="A751" s="76"/>
      <c r="C751" s="78"/>
      <c r="D751" s="76"/>
      <c r="E751" s="79">
        <v>0</v>
      </c>
      <c r="F751" s="6"/>
      <c r="G751" s="57"/>
      <c r="H751" s="81"/>
      <c r="J751" s="84"/>
    </row>
    <row r="752" spans="1:10" s="77" customFormat="1" ht="16.5" x14ac:dyDescent="0.35">
      <c r="A752" s="76"/>
      <c r="B752" s="82" t="s">
        <v>315</v>
      </c>
      <c r="C752" s="78"/>
      <c r="D752" s="76"/>
      <c r="E752" s="79">
        <v>0</v>
      </c>
      <c r="F752" s="6"/>
      <c r="G752" s="57"/>
      <c r="H752" s="81"/>
      <c r="J752" s="84"/>
    </row>
    <row r="753" spans="1:10" s="77" customFormat="1" x14ac:dyDescent="0.3">
      <c r="A753" s="76" t="s">
        <v>4</v>
      </c>
      <c r="B753" s="77" t="s">
        <v>316</v>
      </c>
      <c r="C753" s="78"/>
      <c r="D753" s="76" t="s">
        <v>297</v>
      </c>
      <c r="E753" s="79">
        <v>11250</v>
      </c>
      <c r="F753" s="6">
        <f t="shared" si="10"/>
        <v>0</v>
      </c>
      <c r="G753" s="57"/>
      <c r="H753" s="81"/>
      <c r="J753" s="84"/>
    </row>
    <row r="754" spans="1:10" s="77" customFormat="1" x14ac:dyDescent="0.3">
      <c r="A754" s="76" t="s">
        <v>7</v>
      </c>
      <c r="B754" s="77" t="s">
        <v>317</v>
      </c>
      <c r="C754" s="78"/>
      <c r="D754" s="76" t="s">
        <v>318</v>
      </c>
      <c r="E754" s="79">
        <v>750</v>
      </c>
      <c r="F754" s="6">
        <f t="shared" si="10"/>
        <v>0</v>
      </c>
      <c r="G754" s="57"/>
      <c r="H754" s="81"/>
      <c r="J754" s="84"/>
    </row>
    <row r="755" spans="1:10" s="77" customFormat="1" x14ac:dyDescent="0.3">
      <c r="A755" s="76" t="s">
        <v>10</v>
      </c>
      <c r="B755" s="77" t="s">
        <v>319</v>
      </c>
      <c r="C755" s="78"/>
      <c r="D755" s="76" t="s">
        <v>318</v>
      </c>
      <c r="E755" s="79">
        <v>750</v>
      </c>
      <c r="F755" s="6">
        <f t="shared" si="10"/>
        <v>0</v>
      </c>
      <c r="G755" s="57"/>
      <c r="H755" s="81"/>
      <c r="J755" s="84"/>
    </row>
    <row r="756" spans="1:10" s="77" customFormat="1" x14ac:dyDescent="0.3">
      <c r="A756" s="76" t="s">
        <v>12</v>
      </c>
      <c r="B756" s="77" t="s">
        <v>320</v>
      </c>
      <c r="C756" s="78"/>
      <c r="D756" s="76" t="s">
        <v>301</v>
      </c>
      <c r="E756" s="79">
        <v>1750</v>
      </c>
      <c r="F756" s="6">
        <f t="shared" si="10"/>
        <v>0</v>
      </c>
      <c r="G756" s="57"/>
      <c r="H756" s="81"/>
      <c r="J756" s="84"/>
    </row>
    <row r="757" spans="1:10" s="77" customFormat="1" x14ac:dyDescent="0.3">
      <c r="A757" s="76" t="s">
        <v>14</v>
      </c>
      <c r="B757" s="77" t="s">
        <v>321</v>
      </c>
      <c r="C757" s="78"/>
      <c r="D757" s="76" t="s">
        <v>301</v>
      </c>
      <c r="E757" s="79">
        <v>1000</v>
      </c>
      <c r="F757" s="6">
        <f t="shared" si="10"/>
        <v>0</v>
      </c>
      <c r="G757" s="57"/>
      <c r="H757" s="81"/>
      <c r="J757" s="84"/>
    </row>
    <row r="758" spans="1:10" s="77" customFormat="1" x14ac:dyDescent="0.3">
      <c r="A758" s="76" t="s">
        <v>16</v>
      </c>
      <c r="B758" s="77" t="s">
        <v>322</v>
      </c>
      <c r="C758" s="78"/>
      <c r="D758" s="76" t="s">
        <v>301</v>
      </c>
      <c r="E758" s="79">
        <v>8750</v>
      </c>
      <c r="F758" s="6">
        <f t="shared" si="10"/>
        <v>0</v>
      </c>
      <c r="G758" s="57"/>
      <c r="H758" s="81"/>
      <c r="J758" s="84"/>
    </row>
    <row r="759" spans="1:10" s="77" customFormat="1" x14ac:dyDescent="0.3">
      <c r="A759" s="76" t="s">
        <v>18</v>
      </c>
      <c r="B759" s="77" t="s">
        <v>323</v>
      </c>
      <c r="C759" s="78"/>
      <c r="D759" s="76" t="s">
        <v>297</v>
      </c>
      <c r="E759" s="79">
        <v>600</v>
      </c>
      <c r="F759" s="6">
        <f t="shared" si="10"/>
        <v>0</v>
      </c>
      <c r="G759" s="57"/>
      <c r="H759" s="81"/>
      <c r="J759" s="84"/>
    </row>
    <row r="760" spans="1:10" s="77" customFormat="1" x14ac:dyDescent="0.3">
      <c r="A760" s="76" t="s">
        <v>20</v>
      </c>
      <c r="B760" s="77" t="s">
        <v>324</v>
      </c>
      <c r="C760" s="78"/>
      <c r="D760" s="76" t="s">
        <v>301</v>
      </c>
      <c r="E760" s="79">
        <v>750</v>
      </c>
      <c r="F760" s="6">
        <f t="shared" si="10"/>
        <v>0</v>
      </c>
      <c r="G760" s="57"/>
      <c r="H760" s="81"/>
      <c r="J760" s="84"/>
    </row>
    <row r="761" spans="1:10" s="77" customFormat="1" x14ac:dyDescent="0.3">
      <c r="A761" s="76" t="s">
        <v>22</v>
      </c>
      <c r="B761" s="77" t="s">
        <v>325</v>
      </c>
      <c r="C761" s="78"/>
      <c r="D761" s="76" t="s">
        <v>301</v>
      </c>
      <c r="E761" s="79">
        <v>1350</v>
      </c>
      <c r="F761" s="6">
        <f t="shared" si="10"/>
        <v>0</v>
      </c>
      <c r="G761" s="57"/>
      <c r="H761" s="81"/>
      <c r="J761" s="84"/>
    </row>
    <row r="762" spans="1:10" s="77" customFormat="1" x14ac:dyDescent="0.3">
      <c r="A762" s="76" t="s">
        <v>24</v>
      </c>
      <c r="B762" s="77" t="s">
        <v>326</v>
      </c>
      <c r="C762" s="78"/>
      <c r="D762" s="76" t="s">
        <v>327</v>
      </c>
      <c r="E762" s="79">
        <v>10500</v>
      </c>
      <c r="F762" s="6">
        <f t="shared" si="10"/>
        <v>0</v>
      </c>
      <c r="G762" s="57"/>
      <c r="H762" s="81"/>
      <c r="J762" s="84"/>
    </row>
    <row r="763" spans="1:10" s="77" customFormat="1" x14ac:dyDescent="0.3">
      <c r="A763" s="76" t="s">
        <v>28</v>
      </c>
      <c r="B763" s="77" t="s">
        <v>328</v>
      </c>
      <c r="C763" s="78"/>
      <c r="D763" s="76" t="s">
        <v>301</v>
      </c>
      <c r="E763" s="79">
        <v>3000</v>
      </c>
      <c r="F763" s="6">
        <f t="shared" si="10"/>
        <v>0</v>
      </c>
      <c r="G763" s="57"/>
      <c r="H763" s="81"/>
      <c r="J763" s="84"/>
    </row>
    <row r="764" spans="1:10" s="77" customFormat="1" x14ac:dyDescent="0.3">
      <c r="A764" s="76" t="s">
        <v>40</v>
      </c>
      <c r="B764" s="77" t="s">
        <v>329</v>
      </c>
      <c r="C764" s="78"/>
      <c r="D764" s="76" t="s">
        <v>301</v>
      </c>
      <c r="E764" s="79">
        <v>3000</v>
      </c>
      <c r="F764" s="6">
        <f t="shared" si="10"/>
        <v>0</v>
      </c>
      <c r="G764" s="57"/>
      <c r="H764" s="81"/>
      <c r="J764" s="84"/>
    </row>
    <row r="765" spans="1:10" s="77" customFormat="1" x14ac:dyDescent="0.3">
      <c r="A765" s="76" t="s">
        <v>34</v>
      </c>
      <c r="B765" s="77" t="s">
        <v>330</v>
      </c>
      <c r="C765" s="78"/>
      <c r="D765" s="76" t="s">
        <v>301</v>
      </c>
      <c r="E765" s="79">
        <v>3000</v>
      </c>
      <c r="F765" s="6">
        <f t="shared" si="10"/>
        <v>0</v>
      </c>
      <c r="G765" s="57"/>
      <c r="H765" s="81"/>
      <c r="J765" s="84"/>
    </row>
    <row r="766" spans="1:10" s="77" customFormat="1" x14ac:dyDescent="0.3">
      <c r="A766" s="76" t="s">
        <v>41</v>
      </c>
      <c r="B766" s="77" t="s">
        <v>331</v>
      </c>
      <c r="C766" s="78"/>
      <c r="D766" s="76" t="s">
        <v>301</v>
      </c>
      <c r="E766" s="79">
        <v>3500</v>
      </c>
      <c r="F766" s="6">
        <f t="shared" si="10"/>
        <v>0</v>
      </c>
      <c r="G766" s="57"/>
      <c r="H766" s="81"/>
      <c r="J766" s="84"/>
    </row>
    <row r="767" spans="1:10" s="77" customFormat="1" x14ac:dyDescent="0.3">
      <c r="A767" s="76" t="s">
        <v>42</v>
      </c>
      <c r="B767" s="77" t="s">
        <v>332</v>
      </c>
      <c r="C767" s="83"/>
      <c r="D767" s="76" t="s">
        <v>301</v>
      </c>
      <c r="E767" s="79">
        <v>3000</v>
      </c>
      <c r="F767" s="6">
        <f t="shared" si="10"/>
        <v>0</v>
      </c>
      <c r="G767" s="57"/>
      <c r="H767" s="81"/>
      <c r="J767" s="84"/>
    </row>
    <row r="768" spans="1:10" s="77" customFormat="1" x14ac:dyDescent="0.3">
      <c r="A768" s="76" t="s">
        <v>43</v>
      </c>
      <c r="B768" s="77" t="s">
        <v>333</v>
      </c>
      <c r="C768" s="83"/>
      <c r="D768" s="76" t="s">
        <v>327</v>
      </c>
      <c r="E768" s="79">
        <v>6250</v>
      </c>
      <c r="F768" s="6">
        <f t="shared" si="10"/>
        <v>0</v>
      </c>
      <c r="G768" s="57"/>
      <c r="H768" s="81"/>
      <c r="J768" s="84"/>
    </row>
    <row r="769" spans="1:10" s="77" customFormat="1" x14ac:dyDescent="0.3">
      <c r="A769" s="76" t="s">
        <v>46</v>
      </c>
      <c r="B769" s="77" t="s">
        <v>334</v>
      </c>
      <c r="C769" s="83"/>
      <c r="D769" s="76" t="s">
        <v>301</v>
      </c>
      <c r="E769" s="79">
        <v>1375</v>
      </c>
      <c r="F769" s="6">
        <f t="shared" si="10"/>
        <v>0</v>
      </c>
      <c r="G769" s="57"/>
      <c r="H769" s="81"/>
      <c r="J769" s="84"/>
    </row>
    <row r="770" spans="1:10" s="77" customFormat="1" x14ac:dyDescent="0.3">
      <c r="A770" s="76" t="s">
        <v>47</v>
      </c>
      <c r="B770" s="77" t="s">
        <v>335</v>
      </c>
      <c r="C770" s="83"/>
      <c r="D770" s="76" t="s">
        <v>301</v>
      </c>
      <c r="E770" s="79">
        <v>1375</v>
      </c>
      <c r="F770" s="6">
        <f t="shared" si="10"/>
        <v>0</v>
      </c>
      <c r="G770" s="57"/>
      <c r="H770" s="81"/>
      <c r="J770" s="84"/>
    </row>
    <row r="771" spans="1:10" s="77" customFormat="1" x14ac:dyDescent="0.3">
      <c r="A771" s="76" t="s">
        <v>48</v>
      </c>
      <c r="B771" s="77" t="s">
        <v>336</v>
      </c>
      <c r="C771" s="83"/>
      <c r="D771" s="76" t="s">
        <v>301</v>
      </c>
      <c r="E771" s="79">
        <v>1375</v>
      </c>
      <c r="F771" s="6">
        <f t="shared" si="10"/>
        <v>0</v>
      </c>
      <c r="G771" s="57"/>
      <c r="H771" s="81"/>
      <c r="J771" s="84"/>
    </row>
    <row r="772" spans="1:10" s="77" customFormat="1" x14ac:dyDescent="0.3">
      <c r="A772" s="76" t="s">
        <v>49</v>
      </c>
      <c r="B772" s="77" t="s">
        <v>337</v>
      </c>
      <c r="C772" s="78"/>
      <c r="D772" s="76" t="s">
        <v>338</v>
      </c>
      <c r="E772" s="79">
        <v>16250</v>
      </c>
      <c r="F772" s="6">
        <f t="shared" si="10"/>
        <v>0</v>
      </c>
      <c r="G772" s="57"/>
      <c r="H772" s="81"/>
      <c r="J772" s="84"/>
    </row>
    <row r="773" spans="1:10" s="77" customFormat="1" x14ac:dyDescent="0.3">
      <c r="A773" s="76" t="s">
        <v>50</v>
      </c>
      <c r="B773" s="77" t="s">
        <v>339</v>
      </c>
      <c r="C773" s="83"/>
      <c r="D773" s="76" t="s">
        <v>318</v>
      </c>
      <c r="E773" s="79">
        <v>1500</v>
      </c>
      <c r="F773" s="6">
        <f t="shared" si="10"/>
        <v>0</v>
      </c>
      <c r="G773" s="57"/>
      <c r="H773" s="81"/>
      <c r="J773" s="84"/>
    </row>
    <row r="774" spans="1:10" s="77" customFormat="1" x14ac:dyDescent="0.3">
      <c r="A774" s="76" t="s">
        <v>340</v>
      </c>
      <c r="B774" s="77" t="s">
        <v>341</v>
      </c>
      <c r="C774" s="83"/>
      <c r="D774" s="76" t="s">
        <v>318</v>
      </c>
      <c r="E774" s="79">
        <v>5000</v>
      </c>
      <c r="F774" s="6">
        <f t="shared" si="10"/>
        <v>0</v>
      </c>
      <c r="G774" s="57"/>
      <c r="H774" s="81"/>
      <c r="J774" s="84"/>
    </row>
    <row r="775" spans="1:10" s="77" customFormat="1" x14ac:dyDescent="0.3">
      <c r="A775" s="76" t="s">
        <v>342</v>
      </c>
      <c r="B775" s="77" t="s">
        <v>343</v>
      </c>
      <c r="C775" s="83"/>
      <c r="D775" s="76" t="s">
        <v>318</v>
      </c>
      <c r="E775" s="79">
        <v>2500</v>
      </c>
      <c r="F775" s="6">
        <f t="shared" si="10"/>
        <v>0</v>
      </c>
      <c r="G775" s="57"/>
      <c r="H775" s="81"/>
      <c r="J775" s="84"/>
    </row>
    <row r="776" spans="1:10" s="77" customFormat="1" x14ac:dyDescent="0.3">
      <c r="A776" s="76"/>
      <c r="C776" s="78"/>
      <c r="D776" s="76"/>
      <c r="E776" s="79"/>
      <c r="F776" s="6"/>
      <c r="G776" s="3"/>
      <c r="H776" s="81"/>
      <c r="J776" s="84"/>
    </row>
    <row r="777" spans="1:10" s="77" customFormat="1" x14ac:dyDescent="0.3">
      <c r="A777" s="76"/>
      <c r="B777" s="77" t="s">
        <v>344</v>
      </c>
      <c r="C777" s="78"/>
      <c r="D777" s="76"/>
      <c r="E777" s="79"/>
      <c r="F777" s="6"/>
      <c r="G777" s="3"/>
      <c r="H777" s="81"/>
      <c r="J777" s="84"/>
    </row>
    <row r="778" spans="1:10" s="77" customFormat="1" x14ac:dyDescent="0.3">
      <c r="A778" s="76"/>
      <c r="C778" s="78"/>
      <c r="D778" s="76"/>
      <c r="E778" s="79"/>
      <c r="F778" s="6"/>
      <c r="G778" s="3"/>
      <c r="H778" s="81"/>
      <c r="J778" s="84"/>
    </row>
    <row r="779" spans="1:10" s="77" customFormat="1" x14ac:dyDescent="0.3">
      <c r="A779" s="76"/>
      <c r="C779" s="78"/>
      <c r="D779" s="76"/>
      <c r="E779" s="79"/>
      <c r="F779" s="6"/>
      <c r="G779" s="3"/>
      <c r="H779" s="81"/>
      <c r="J779" s="84"/>
    </row>
    <row r="780" spans="1:10" s="77" customFormat="1" x14ac:dyDescent="0.3">
      <c r="A780" s="76"/>
      <c r="C780" s="78"/>
      <c r="D780" s="76"/>
      <c r="E780" s="79"/>
      <c r="F780" s="6"/>
      <c r="G780" s="3"/>
      <c r="H780" s="81"/>
      <c r="J780" s="84"/>
    </row>
    <row r="781" spans="1:10" s="77" customFormat="1" x14ac:dyDescent="0.3">
      <c r="A781" s="76"/>
      <c r="C781" s="78"/>
      <c r="D781" s="76"/>
      <c r="E781" s="79"/>
      <c r="F781" s="6"/>
      <c r="G781" s="3"/>
      <c r="H781" s="81"/>
      <c r="J781" s="84"/>
    </row>
    <row r="782" spans="1:10" s="77" customFormat="1" x14ac:dyDescent="0.3">
      <c r="A782" s="76"/>
      <c r="C782" s="78"/>
      <c r="D782" s="76"/>
      <c r="E782" s="79"/>
      <c r="F782" s="6"/>
      <c r="G782" s="3"/>
      <c r="H782" s="81"/>
      <c r="J782" s="84"/>
    </row>
    <row r="783" spans="1:10" s="77" customFormat="1" x14ac:dyDescent="0.3">
      <c r="A783" s="76"/>
      <c r="C783" s="78"/>
      <c r="D783" s="76"/>
      <c r="E783" s="79"/>
      <c r="F783" s="6"/>
      <c r="G783" s="3"/>
      <c r="H783" s="81"/>
      <c r="J783" s="84"/>
    </row>
    <row r="784" spans="1:10" s="77" customFormat="1" x14ac:dyDescent="0.3">
      <c r="A784" s="76"/>
      <c r="C784" s="78"/>
      <c r="D784" s="76"/>
      <c r="E784" s="79"/>
      <c r="F784" s="6"/>
      <c r="G784" s="3"/>
      <c r="H784" s="81"/>
      <c r="J784" s="84"/>
    </row>
    <row r="785" spans="1:10" s="77" customFormat="1" x14ac:dyDescent="0.3">
      <c r="A785" s="76"/>
      <c r="C785" s="78"/>
      <c r="D785" s="76"/>
      <c r="E785" s="79"/>
      <c r="F785" s="6"/>
      <c r="G785" s="3"/>
      <c r="H785" s="81"/>
      <c r="J785" s="84"/>
    </row>
    <row r="786" spans="1:10" s="77" customFormat="1" x14ac:dyDescent="0.3">
      <c r="A786" s="76"/>
      <c r="C786" s="78"/>
      <c r="D786" s="76"/>
      <c r="E786" s="79"/>
      <c r="F786" s="6"/>
      <c r="G786" s="3"/>
      <c r="H786" s="81"/>
      <c r="J786" s="84"/>
    </row>
    <row r="787" spans="1:10" s="77" customFormat="1" x14ac:dyDescent="0.3">
      <c r="A787" s="76"/>
      <c r="C787" s="78"/>
      <c r="D787" s="76"/>
      <c r="E787" s="79"/>
      <c r="F787" s="6"/>
      <c r="G787" s="3"/>
      <c r="H787" s="81"/>
      <c r="J787" s="84"/>
    </row>
    <row r="788" spans="1:10" s="77" customFormat="1" x14ac:dyDescent="0.3">
      <c r="A788" s="76"/>
      <c r="C788" s="78"/>
      <c r="D788" s="76"/>
      <c r="E788" s="79"/>
      <c r="F788" s="6"/>
      <c r="G788" s="3"/>
      <c r="H788" s="81"/>
      <c r="J788" s="84"/>
    </row>
    <row r="789" spans="1:10" s="77" customFormat="1" x14ac:dyDescent="0.3">
      <c r="A789" s="76"/>
      <c r="C789" s="78"/>
      <c r="D789" s="76"/>
      <c r="E789" s="79"/>
      <c r="F789" s="6"/>
      <c r="G789" s="3"/>
      <c r="H789" s="81"/>
      <c r="J789" s="84"/>
    </row>
    <row r="790" spans="1:10" s="77" customFormat="1" x14ac:dyDescent="0.3">
      <c r="A790" s="76"/>
      <c r="C790" s="78"/>
      <c r="D790" s="76"/>
      <c r="E790" s="79"/>
      <c r="F790" s="6"/>
      <c r="G790" s="3"/>
      <c r="H790" s="81"/>
      <c r="J790" s="84"/>
    </row>
    <row r="791" spans="1:10" s="77" customFormat="1" ht="16.5" x14ac:dyDescent="0.35">
      <c r="A791" s="76"/>
      <c r="B791" s="25" t="s">
        <v>33</v>
      </c>
      <c r="C791" s="78"/>
      <c r="D791" s="76"/>
      <c r="E791" s="85" t="s">
        <v>34</v>
      </c>
      <c r="F791" s="86">
        <f>SUM(F734:F789)</f>
        <v>0</v>
      </c>
      <c r="G791" s="3"/>
      <c r="H791" s="81"/>
      <c r="J791" s="84"/>
    </row>
    <row r="792" spans="1:10" s="77" customFormat="1" ht="16.5" x14ac:dyDescent="0.3">
      <c r="A792" s="76"/>
      <c r="B792" s="25" t="s">
        <v>345</v>
      </c>
      <c r="C792" s="78"/>
      <c r="D792" s="76"/>
      <c r="E792" s="79"/>
      <c r="F792" s="80"/>
      <c r="G792" s="3"/>
      <c r="H792" s="81"/>
      <c r="J792" s="84"/>
    </row>
    <row r="793" spans="1:10" s="77" customFormat="1" ht="16.5" x14ac:dyDescent="0.35">
      <c r="A793" s="76"/>
      <c r="B793" s="82" t="s">
        <v>346</v>
      </c>
      <c r="C793" s="78"/>
      <c r="D793" s="76"/>
      <c r="E793" s="79"/>
      <c r="F793" s="80"/>
      <c r="G793" s="3"/>
      <c r="H793" s="81"/>
      <c r="J793" s="84"/>
    </row>
    <row r="794" spans="1:10" ht="60" x14ac:dyDescent="0.25">
      <c r="B794" s="30" t="s">
        <v>347</v>
      </c>
      <c r="E794" s="87"/>
      <c r="F794" s="49"/>
      <c r="G794" s="54"/>
    </row>
    <row r="795" spans="1:10" ht="33.6" customHeight="1" x14ac:dyDescent="0.25">
      <c r="A795" s="4" t="s">
        <v>4</v>
      </c>
      <c r="B795" s="20" t="s">
        <v>348</v>
      </c>
      <c r="D795" s="4" t="s">
        <v>349</v>
      </c>
      <c r="E795" s="87">
        <f>'[16]Type S-0'!E888</f>
        <v>134316.16935000001</v>
      </c>
      <c r="F795" s="6">
        <f t="shared" ref="F795:F800" si="11">E795*C795</f>
        <v>0</v>
      </c>
    </row>
    <row r="796" spans="1:10" x14ac:dyDescent="0.25">
      <c r="A796" s="4" t="s">
        <v>7</v>
      </c>
      <c r="B796" s="20" t="s">
        <v>350</v>
      </c>
      <c r="D796" s="4" t="s">
        <v>349</v>
      </c>
      <c r="E796" s="87">
        <f>'[16]Type S-0'!E889</f>
        <v>35230.439750000005</v>
      </c>
      <c r="F796" s="6">
        <f t="shared" si="11"/>
        <v>0</v>
      </c>
    </row>
    <row r="797" spans="1:10" ht="21" customHeight="1" x14ac:dyDescent="0.25">
      <c r="A797" s="4" t="s">
        <v>10</v>
      </c>
      <c r="B797" s="20" t="s">
        <v>351</v>
      </c>
      <c r="D797" s="4" t="s">
        <v>349</v>
      </c>
      <c r="E797" s="87">
        <f>'[16]Type S-0'!E890</f>
        <v>70460.87950000001</v>
      </c>
      <c r="F797" s="6">
        <f t="shared" si="11"/>
        <v>0</v>
      </c>
    </row>
    <row r="798" spans="1:10" x14ac:dyDescent="0.25">
      <c r="A798" s="4" t="s">
        <v>12</v>
      </c>
      <c r="B798" s="20" t="s">
        <v>352</v>
      </c>
      <c r="D798" s="4" t="s">
        <v>349</v>
      </c>
      <c r="E798" s="87">
        <f>'[16]Type S-0'!E891</f>
        <v>38856.056250000001</v>
      </c>
      <c r="F798" s="6">
        <f t="shared" si="11"/>
        <v>0</v>
      </c>
    </row>
    <row r="799" spans="1:10" ht="60" x14ac:dyDescent="0.25">
      <c r="A799" s="4" t="s">
        <v>14</v>
      </c>
      <c r="B799" s="20" t="s">
        <v>353</v>
      </c>
      <c r="D799" s="4" t="s">
        <v>349</v>
      </c>
      <c r="E799" s="87">
        <f>'[16]Type S-0'!E892</f>
        <v>139782.5</v>
      </c>
      <c r="F799" s="6">
        <f t="shared" si="11"/>
        <v>0</v>
      </c>
    </row>
    <row r="800" spans="1:10" x14ac:dyDescent="0.25">
      <c r="A800" s="4" t="s">
        <v>16</v>
      </c>
      <c r="B800" s="3" t="s">
        <v>354</v>
      </c>
      <c r="D800" s="4" t="s">
        <v>349</v>
      </c>
      <c r="E800" s="87">
        <f>'[16]Type S-0'!E893</f>
        <v>990000.00000000012</v>
      </c>
      <c r="F800" s="6">
        <f t="shared" si="11"/>
        <v>0</v>
      </c>
    </row>
    <row r="801" spans="1:10" ht="60" x14ac:dyDescent="0.25">
      <c r="B801" s="30" t="s">
        <v>347</v>
      </c>
      <c r="C801" s="61"/>
      <c r="E801" s="87"/>
      <c r="F801" s="49"/>
    </row>
    <row r="802" spans="1:10" s="77" customFormat="1" x14ac:dyDescent="0.3">
      <c r="A802" s="76" t="s">
        <v>14</v>
      </c>
      <c r="B802" s="77" t="s">
        <v>355</v>
      </c>
      <c r="C802" s="88"/>
      <c r="D802" s="76" t="s">
        <v>349</v>
      </c>
      <c r="E802" s="89">
        <f>'[16]Type S-0'!E896</f>
        <v>99645.315000000002</v>
      </c>
      <c r="F802" s="80">
        <f t="shared" ref="F802:F809" si="12">C802*E802</f>
        <v>0</v>
      </c>
      <c r="G802" s="3"/>
      <c r="H802" s="81"/>
      <c r="J802" s="84"/>
    </row>
    <row r="803" spans="1:10" s="77" customFormat="1" x14ac:dyDescent="0.3">
      <c r="A803" s="76" t="s">
        <v>14</v>
      </c>
      <c r="B803" s="77" t="s">
        <v>356</v>
      </c>
      <c r="C803" s="88"/>
      <c r="D803" s="76" t="s">
        <v>349</v>
      </c>
      <c r="E803" s="89">
        <f>(E802/1.2)*1.5</f>
        <v>124556.64375000002</v>
      </c>
      <c r="F803" s="80">
        <f t="shared" si="12"/>
        <v>0</v>
      </c>
      <c r="G803" s="3"/>
      <c r="H803" s="81"/>
      <c r="J803" s="84"/>
    </row>
    <row r="804" spans="1:10" s="77" customFormat="1" x14ac:dyDescent="0.3">
      <c r="A804" s="76" t="s">
        <v>14</v>
      </c>
      <c r="B804" s="77" t="s">
        <v>357</v>
      </c>
      <c r="C804" s="88"/>
      <c r="D804" s="76" t="s">
        <v>349</v>
      </c>
      <c r="E804" s="89">
        <f>(E802/1.2)*1.8</f>
        <v>149467.97250000003</v>
      </c>
      <c r="F804" s="80">
        <f t="shared" si="12"/>
        <v>0</v>
      </c>
      <c r="G804" s="3"/>
      <c r="H804" s="81"/>
      <c r="J804" s="84"/>
    </row>
    <row r="805" spans="1:10" x14ac:dyDescent="0.25">
      <c r="A805" s="4" t="s">
        <v>22</v>
      </c>
      <c r="B805" s="3" t="s">
        <v>358</v>
      </c>
      <c r="D805" s="4" t="s">
        <v>349</v>
      </c>
      <c r="E805" s="87">
        <f>'[16]Type S-0'!E897</f>
        <v>99251.900000000009</v>
      </c>
      <c r="F805" s="49">
        <f t="shared" si="12"/>
        <v>0</v>
      </c>
    </row>
    <row r="806" spans="1:10" x14ac:dyDescent="0.25">
      <c r="A806" s="4" t="s">
        <v>24</v>
      </c>
      <c r="B806" s="3" t="s">
        <v>359</v>
      </c>
      <c r="D806" s="4" t="s">
        <v>349</v>
      </c>
      <c r="E806" s="87">
        <f>'[16]Type S-0'!E898</f>
        <v>74508.5</v>
      </c>
      <c r="F806" s="49">
        <f t="shared" si="12"/>
        <v>0</v>
      </c>
    </row>
    <row r="807" spans="1:10" ht="30" x14ac:dyDescent="0.25">
      <c r="A807" s="4" t="s">
        <v>28</v>
      </c>
      <c r="B807" s="20" t="s">
        <v>360</v>
      </c>
      <c r="D807" s="4" t="s">
        <v>349</v>
      </c>
      <c r="E807" s="87">
        <f>'[16]Type S-0'!E899</f>
        <v>30783.433450000004</v>
      </c>
      <c r="F807" s="49">
        <f t="shared" si="12"/>
        <v>0</v>
      </c>
    </row>
    <row r="808" spans="1:10" ht="30" x14ac:dyDescent="0.25">
      <c r="A808" s="4" t="s">
        <v>40</v>
      </c>
      <c r="B808" s="20" t="s">
        <v>361</v>
      </c>
      <c r="D808" s="4" t="s">
        <v>349</v>
      </c>
      <c r="E808" s="87">
        <f>'[16]Type S-0'!E900</f>
        <v>74022.234000000011</v>
      </c>
      <c r="F808" s="49">
        <f t="shared" si="12"/>
        <v>0</v>
      </c>
    </row>
    <row r="809" spans="1:10" ht="31.5" customHeight="1" x14ac:dyDescent="0.25">
      <c r="A809" s="4" t="s">
        <v>34</v>
      </c>
      <c r="B809" s="20" t="s">
        <v>362</v>
      </c>
      <c r="D809" s="4" t="s">
        <v>349</v>
      </c>
      <c r="E809" s="87">
        <f>E808</f>
        <v>74022.234000000011</v>
      </c>
      <c r="F809" s="49">
        <f t="shared" si="12"/>
        <v>0</v>
      </c>
    </row>
    <row r="810" spans="1:10" s="77" customFormat="1" x14ac:dyDescent="0.3">
      <c r="A810" s="76" t="s">
        <v>18</v>
      </c>
      <c r="B810" s="90" t="s">
        <v>363</v>
      </c>
      <c r="C810" s="78"/>
      <c r="D810" s="76" t="s">
        <v>349</v>
      </c>
      <c r="E810" s="91" t="e">
        <f>'[16]Type S-0'!E902</f>
        <v>#REF!</v>
      </c>
      <c r="F810" s="35" t="e">
        <f>E810*C810</f>
        <v>#REF!</v>
      </c>
      <c r="G810" s="3"/>
      <c r="H810" s="81"/>
      <c r="J810" s="84"/>
    </row>
    <row r="811" spans="1:10" s="77" customFormat="1" x14ac:dyDescent="0.3">
      <c r="A811" s="76" t="s">
        <v>41</v>
      </c>
      <c r="B811" s="77" t="s">
        <v>364</v>
      </c>
      <c r="C811" s="78"/>
      <c r="D811" s="76" t="s">
        <v>349</v>
      </c>
      <c r="E811" s="91"/>
      <c r="F811" s="6">
        <f>E811*C811</f>
        <v>0</v>
      </c>
      <c r="G811" s="3"/>
      <c r="H811" s="81"/>
    </row>
    <row r="812" spans="1:10" s="77" customFormat="1" x14ac:dyDescent="0.3">
      <c r="A812" s="76" t="s">
        <v>24</v>
      </c>
      <c r="B812" s="77" t="s">
        <v>365</v>
      </c>
      <c r="C812" s="78"/>
      <c r="D812" s="76" t="s">
        <v>349</v>
      </c>
      <c r="E812" s="79">
        <f>'[16]Type S-0'!E904</f>
        <v>3795.0000000000005</v>
      </c>
      <c r="F812" s="6">
        <f t="shared" ref="F812:F826" si="13">E812*C812</f>
        <v>0</v>
      </c>
      <c r="G812" s="57"/>
      <c r="H812" s="81"/>
      <c r="J812" s="84"/>
    </row>
    <row r="813" spans="1:10" s="77" customFormat="1" x14ac:dyDescent="0.3">
      <c r="A813" s="76" t="s">
        <v>28</v>
      </c>
      <c r="B813" s="77" t="s">
        <v>366</v>
      </c>
      <c r="C813" s="78"/>
      <c r="D813" s="76" t="s">
        <v>349</v>
      </c>
      <c r="E813" s="79">
        <f>'[16]Type S-0'!E905</f>
        <v>3162.5000000000005</v>
      </c>
      <c r="F813" s="6">
        <f t="shared" si="13"/>
        <v>0</v>
      </c>
      <c r="G813" s="57"/>
      <c r="H813" s="81"/>
      <c r="J813" s="84"/>
    </row>
    <row r="814" spans="1:10" s="77" customFormat="1" x14ac:dyDescent="0.3">
      <c r="A814" s="76" t="s">
        <v>40</v>
      </c>
      <c r="B814" s="77" t="s">
        <v>367</v>
      </c>
      <c r="C814" s="78"/>
      <c r="D814" s="76" t="s">
        <v>349</v>
      </c>
      <c r="E814" s="79">
        <f>'[16]Type S-0'!E906</f>
        <v>4195.0182999999997</v>
      </c>
      <c r="F814" s="6">
        <f t="shared" si="13"/>
        <v>0</v>
      </c>
      <c r="G814" s="57"/>
      <c r="H814" s="81"/>
      <c r="J814" s="84"/>
    </row>
    <row r="815" spans="1:10" s="77" customFormat="1" x14ac:dyDescent="0.3">
      <c r="A815" s="76" t="s">
        <v>47</v>
      </c>
      <c r="B815" s="77" t="s">
        <v>368</v>
      </c>
      <c r="C815" s="78"/>
      <c r="D815" s="76" t="s">
        <v>349</v>
      </c>
      <c r="E815" s="92">
        <f>'[16]Type S-0'!E907</f>
        <v>1100</v>
      </c>
      <c r="F815" s="6">
        <f t="shared" si="13"/>
        <v>0</v>
      </c>
      <c r="G815" s="57"/>
      <c r="H815" s="81"/>
    </row>
    <row r="816" spans="1:10" s="77" customFormat="1" x14ac:dyDescent="0.3">
      <c r="A816" s="76" t="s">
        <v>34</v>
      </c>
      <c r="B816" s="77" t="s">
        <v>369</v>
      </c>
      <c r="C816" s="78"/>
      <c r="D816" s="76" t="s">
        <v>349</v>
      </c>
      <c r="E816" s="92">
        <f>'[16]Type S-0'!E908</f>
        <v>5000</v>
      </c>
      <c r="F816" s="6">
        <f t="shared" si="13"/>
        <v>0</v>
      </c>
      <c r="G816" s="57"/>
      <c r="H816" s="81"/>
      <c r="J816" s="84"/>
    </row>
    <row r="817" spans="1:10" s="77" customFormat="1" x14ac:dyDescent="0.3">
      <c r="A817" s="76" t="s">
        <v>41</v>
      </c>
      <c r="B817" s="77" t="s">
        <v>370</v>
      </c>
      <c r="C817" s="78"/>
      <c r="D817" s="76" t="s">
        <v>349</v>
      </c>
      <c r="E817" s="92">
        <f>'[16]Type S-0'!E909</f>
        <v>500</v>
      </c>
      <c r="F817" s="6">
        <f t="shared" si="13"/>
        <v>0</v>
      </c>
      <c r="G817" s="57"/>
      <c r="H817" s="81"/>
      <c r="J817" s="84"/>
    </row>
    <row r="818" spans="1:10" s="77" customFormat="1" x14ac:dyDescent="0.3">
      <c r="A818" s="93" t="s">
        <v>42</v>
      </c>
      <c r="B818" s="77" t="s">
        <v>371</v>
      </c>
      <c r="C818" s="78"/>
      <c r="D818" s="93" t="s">
        <v>349</v>
      </c>
      <c r="E818" s="92">
        <f>'[16]Type S-0'!E910</f>
        <v>500</v>
      </c>
      <c r="F818" s="6">
        <f t="shared" si="13"/>
        <v>0</v>
      </c>
      <c r="G818" s="57"/>
      <c r="H818" s="81"/>
      <c r="J818" s="84"/>
    </row>
    <row r="819" spans="1:10" s="77" customFormat="1" x14ac:dyDescent="0.3">
      <c r="A819" s="76" t="s">
        <v>43</v>
      </c>
      <c r="B819" s="77" t="s">
        <v>372</v>
      </c>
      <c r="C819" s="78"/>
      <c r="D819" s="76" t="s">
        <v>349</v>
      </c>
      <c r="E819" s="92">
        <f>'[16]Type S-0'!E911</f>
        <v>500</v>
      </c>
      <c r="F819" s="6">
        <f t="shared" si="13"/>
        <v>0</v>
      </c>
      <c r="G819" s="57"/>
      <c r="H819" s="81"/>
      <c r="J819" s="84"/>
    </row>
    <row r="820" spans="1:10" s="77" customFormat="1" x14ac:dyDescent="0.3">
      <c r="A820" s="76" t="s">
        <v>46</v>
      </c>
      <c r="B820" s="77" t="s">
        <v>373</v>
      </c>
      <c r="C820" s="78"/>
      <c r="D820" s="94" t="s">
        <v>349</v>
      </c>
      <c r="E820" s="92">
        <f>'[16]Type S-0'!E912</f>
        <v>6250</v>
      </c>
      <c r="F820" s="6">
        <f t="shared" si="13"/>
        <v>0</v>
      </c>
      <c r="G820" s="57"/>
      <c r="H820" s="81"/>
      <c r="J820" s="84"/>
    </row>
    <row r="821" spans="1:10" s="77" customFormat="1" x14ac:dyDescent="0.3">
      <c r="A821" s="76" t="s">
        <v>47</v>
      </c>
      <c r="B821" s="77" t="s">
        <v>374</v>
      </c>
      <c r="C821" s="78"/>
      <c r="D821" s="94" t="s">
        <v>349</v>
      </c>
      <c r="E821" s="92">
        <f>'[16]Type S-0'!E913</f>
        <v>3750</v>
      </c>
      <c r="F821" s="6">
        <f t="shared" si="13"/>
        <v>0</v>
      </c>
      <c r="G821" s="57"/>
      <c r="H821" s="81"/>
      <c r="J821" s="84"/>
    </row>
    <row r="822" spans="1:10" s="77" customFormat="1" x14ac:dyDescent="0.3">
      <c r="A822" s="76" t="s">
        <v>48</v>
      </c>
      <c r="B822" s="77" t="s">
        <v>375</v>
      </c>
      <c r="C822" s="78"/>
      <c r="D822" s="76" t="s">
        <v>349</v>
      </c>
      <c r="E822" s="92">
        <f>'[16]Type S-0'!E914</f>
        <v>10000</v>
      </c>
      <c r="F822" s="6">
        <f t="shared" si="13"/>
        <v>0</v>
      </c>
      <c r="G822" s="57"/>
      <c r="H822" s="81"/>
      <c r="J822" s="84"/>
    </row>
    <row r="823" spans="1:10" s="77" customFormat="1" x14ac:dyDescent="0.3">
      <c r="A823" s="76" t="s">
        <v>49</v>
      </c>
      <c r="B823" s="77" t="s">
        <v>376</v>
      </c>
      <c r="C823" s="78"/>
      <c r="D823" s="76" t="s">
        <v>349</v>
      </c>
      <c r="E823" s="92">
        <f>'[16]Type S-0'!E915</f>
        <v>11250</v>
      </c>
      <c r="F823" s="6">
        <f t="shared" si="13"/>
        <v>0</v>
      </c>
      <c r="G823" s="57"/>
      <c r="H823" s="81"/>
      <c r="J823" s="84"/>
    </row>
    <row r="824" spans="1:10" s="77" customFormat="1" x14ac:dyDescent="0.3">
      <c r="A824" s="76" t="s">
        <v>50</v>
      </c>
      <c r="B824" s="77" t="s">
        <v>377</v>
      </c>
      <c r="C824" s="78"/>
      <c r="D824" s="76" t="s">
        <v>349</v>
      </c>
      <c r="E824" s="92"/>
      <c r="F824" s="6"/>
      <c r="G824" s="57"/>
      <c r="H824" s="81"/>
      <c r="J824" s="84"/>
    </row>
    <row r="825" spans="1:10" s="77" customFormat="1" x14ac:dyDescent="0.3">
      <c r="A825" s="76" t="s">
        <v>340</v>
      </c>
      <c r="B825" s="77" t="s">
        <v>378</v>
      </c>
      <c r="C825" s="78"/>
      <c r="D825" s="76" t="s">
        <v>349</v>
      </c>
      <c r="E825" s="92">
        <f>'[16]Type S-0'!E917</f>
        <v>51562.500000000007</v>
      </c>
      <c r="F825" s="6">
        <f t="shared" si="13"/>
        <v>0</v>
      </c>
      <c r="G825" s="57"/>
      <c r="H825" s="81"/>
      <c r="J825" s="84"/>
    </row>
    <row r="826" spans="1:10" s="77" customFormat="1" x14ac:dyDescent="0.3">
      <c r="A826" s="76" t="s">
        <v>342</v>
      </c>
      <c r="B826" s="77" t="s">
        <v>379</v>
      </c>
      <c r="C826" s="78"/>
      <c r="D826" s="76" t="s">
        <v>349</v>
      </c>
      <c r="E826" s="92">
        <f>'[16]Type S-0'!E918</f>
        <v>3125</v>
      </c>
      <c r="F826" s="6">
        <f t="shared" si="13"/>
        <v>0</v>
      </c>
      <c r="G826" s="57"/>
      <c r="H826" s="81"/>
      <c r="J826" s="84"/>
    </row>
    <row r="827" spans="1:10" ht="60" x14ac:dyDescent="0.3">
      <c r="A827" s="4" t="s">
        <v>380</v>
      </c>
      <c r="B827" s="20" t="s">
        <v>381</v>
      </c>
      <c r="C827" s="78"/>
      <c r="D827" s="4" t="s">
        <v>349</v>
      </c>
      <c r="E827" s="92">
        <f>'[16]Type S-0'!E919</f>
        <v>65625</v>
      </c>
      <c r="F827" s="6">
        <f>C827*E827</f>
        <v>0</v>
      </c>
      <c r="G827" s="57"/>
      <c r="H827" s="81"/>
      <c r="J827" s="84"/>
    </row>
    <row r="828" spans="1:10" x14ac:dyDescent="0.25">
      <c r="A828" s="4" t="s">
        <v>4</v>
      </c>
      <c r="B828" s="20" t="s">
        <v>382</v>
      </c>
      <c r="C828" s="95"/>
      <c r="E828" s="89"/>
      <c r="F828" s="96"/>
    </row>
    <row r="829" spans="1:10" s="77" customFormat="1" x14ac:dyDescent="0.3">
      <c r="A829" s="76"/>
      <c r="C829" s="95"/>
      <c r="D829" s="76"/>
      <c r="E829" s="79"/>
      <c r="F829" s="80"/>
      <c r="H829" s="81"/>
    </row>
    <row r="830" spans="1:10" s="77" customFormat="1" ht="16.5" x14ac:dyDescent="0.35">
      <c r="A830" s="76"/>
      <c r="B830" s="25" t="s">
        <v>33</v>
      </c>
      <c r="C830" s="95"/>
      <c r="D830" s="76"/>
      <c r="E830" s="85" t="s">
        <v>34</v>
      </c>
      <c r="F830" s="86"/>
      <c r="H830" s="81"/>
    </row>
    <row r="831" spans="1:10" ht="16.5" x14ac:dyDescent="0.25">
      <c r="B831" s="25" t="s">
        <v>345</v>
      </c>
      <c r="C831" s="95"/>
      <c r="E831" s="97"/>
      <c r="F831" s="96"/>
    </row>
    <row r="832" spans="1:10" x14ac:dyDescent="0.25">
      <c r="B832" s="20"/>
      <c r="C832" s="95"/>
      <c r="E832" s="97"/>
      <c r="F832" s="96"/>
    </row>
    <row r="833" spans="2:8" ht="18.75" customHeight="1" x14ac:dyDescent="0.25">
      <c r="B833" s="9" t="s">
        <v>56</v>
      </c>
      <c r="C833" s="73"/>
      <c r="D833" s="8"/>
      <c r="E833" s="74"/>
      <c r="F833" s="75"/>
    </row>
    <row r="834" spans="2:8" ht="17.25" customHeight="1" x14ac:dyDescent="0.25">
      <c r="B834" s="36" t="s">
        <v>383</v>
      </c>
      <c r="C834" s="73"/>
      <c r="D834" s="8"/>
      <c r="E834" s="97"/>
      <c r="F834" s="75"/>
    </row>
    <row r="835" spans="2:8" ht="17.25" customHeight="1" x14ac:dyDescent="0.25">
      <c r="B835" s="36" t="s">
        <v>384</v>
      </c>
      <c r="C835" s="73"/>
      <c r="D835" s="8"/>
      <c r="E835" s="97"/>
      <c r="F835" s="75"/>
    </row>
    <row r="836" spans="2:8" ht="16.5" x14ac:dyDescent="0.25">
      <c r="B836" s="36"/>
      <c r="C836" s="73"/>
      <c r="D836" s="8"/>
      <c r="E836" s="97"/>
      <c r="F836" s="75"/>
    </row>
    <row r="837" spans="2:8" ht="17.25" customHeight="1" x14ac:dyDescent="0.25">
      <c r="B837" s="9" t="s">
        <v>385</v>
      </c>
      <c r="C837" s="73"/>
      <c r="D837" s="8"/>
      <c r="E837" s="74"/>
      <c r="F837" s="75"/>
    </row>
    <row r="838" spans="2:8" ht="17.25" customHeight="1" x14ac:dyDescent="0.25">
      <c r="B838" s="25" t="s">
        <v>267</v>
      </c>
      <c r="C838" s="73"/>
      <c r="D838" s="8"/>
      <c r="E838" s="74" t="s">
        <v>34</v>
      </c>
      <c r="F838" s="75"/>
      <c r="H838" s="98"/>
    </row>
    <row r="839" spans="2:8" ht="16.5" x14ac:dyDescent="0.25">
      <c r="B839" s="9"/>
      <c r="C839" s="25"/>
      <c r="D839" s="8"/>
      <c r="E839" s="28"/>
      <c r="F839" s="27"/>
    </row>
    <row r="840" spans="2:8" ht="17.25" customHeight="1" x14ac:dyDescent="0.25">
      <c r="B840" s="9" t="s">
        <v>386</v>
      </c>
      <c r="C840" s="25"/>
      <c r="D840" s="8"/>
      <c r="E840" s="28"/>
      <c r="F840" s="27"/>
    </row>
    <row r="841" spans="2:8" ht="17.25" customHeight="1" x14ac:dyDescent="0.25">
      <c r="B841" s="9"/>
      <c r="C841" s="25"/>
      <c r="D841" s="8"/>
      <c r="E841" s="28"/>
      <c r="F841" s="27"/>
    </row>
    <row r="842" spans="2:8" ht="17.25" customHeight="1" x14ac:dyDescent="0.25">
      <c r="B842" s="39" t="s">
        <v>387</v>
      </c>
      <c r="C842" s="25"/>
      <c r="E842" s="28"/>
      <c r="F842" s="6">
        <f>'[16]S0 Elect'!F328</f>
        <v>8235661.5736814234</v>
      </c>
      <c r="G842" s="49"/>
    </row>
    <row r="843" spans="2:8" ht="16.5" x14ac:dyDescent="0.25">
      <c r="B843" s="36"/>
      <c r="C843" s="25"/>
      <c r="D843" s="8"/>
      <c r="F843" s="27"/>
    </row>
    <row r="844" spans="2:8" ht="16.5" x14ac:dyDescent="0.25">
      <c r="B844" s="36"/>
      <c r="C844" s="25"/>
      <c r="D844" s="8"/>
      <c r="F844" s="27"/>
    </row>
    <row r="845" spans="2:8" ht="16.5" x14ac:dyDescent="0.25">
      <c r="B845" s="36"/>
      <c r="C845" s="25"/>
      <c r="D845" s="8"/>
      <c r="F845" s="27"/>
    </row>
    <row r="846" spans="2:8" ht="16.5" x14ac:dyDescent="0.25">
      <c r="B846" s="36"/>
      <c r="C846" s="25"/>
      <c r="D846" s="8"/>
      <c r="F846" s="27"/>
    </row>
    <row r="847" spans="2:8" ht="16.5" x14ac:dyDescent="0.25">
      <c r="B847" s="36"/>
      <c r="C847" s="25"/>
      <c r="D847" s="8"/>
      <c r="F847" s="27"/>
    </row>
    <row r="848" spans="2:8" ht="16.5" x14ac:dyDescent="0.25">
      <c r="B848" s="36"/>
      <c r="C848" s="25"/>
      <c r="D848" s="8"/>
      <c r="F848" s="27"/>
    </row>
    <row r="849" spans="2:8" ht="16.5" x14ac:dyDescent="0.25">
      <c r="B849" s="9" t="s">
        <v>388</v>
      </c>
      <c r="C849" s="25"/>
      <c r="D849" s="8"/>
      <c r="E849" s="28"/>
      <c r="F849" s="27">
        <f>SUM(F842:F848)</f>
        <v>8235661.5736814234</v>
      </c>
    </row>
    <row r="850" spans="2:8" ht="16.5" x14ac:dyDescent="0.25">
      <c r="B850" s="25" t="s">
        <v>267</v>
      </c>
      <c r="C850" s="25"/>
      <c r="D850" s="8"/>
      <c r="E850" s="28" t="s">
        <v>34</v>
      </c>
      <c r="F850" s="27"/>
    </row>
    <row r="851" spans="2:8" ht="16.5" x14ac:dyDescent="0.25">
      <c r="B851" s="10"/>
    </row>
    <row r="852" spans="2:8" ht="16.5" x14ac:dyDescent="0.25">
      <c r="B852" s="39"/>
      <c r="C852" s="39"/>
      <c r="D852" s="39"/>
      <c r="E852" s="39"/>
      <c r="F852" s="99"/>
    </row>
    <row r="853" spans="2:8" ht="16.5" x14ac:dyDescent="0.25">
      <c r="B853" s="10" t="s">
        <v>389</v>
      </c>
    </row>
    <row r="854" spans="2:8" ht="16.5" x14ac:dyDescent="0.25">
      <c r="F854" s="29"/>
    </row>
    <row r="855" spans="2:8" x14ac:dyDescent="0.25">
      <c r="B855" s="20" t="s">
        <v>60</v>
      </c>
      <c r="E855" s="17">
        <f>F94</f>
        <v>5042100</v>
      </c>
      <c r="F855" s="100"/>
      <c r="H855" s="101"/>
    </row>
    <row r="856" spans="2:8" x14ac:dyDescent="0.25">
      <c r="F856" s="100"/>
      <c r="H856" s="101"/>
    </row>
    <row r="857" spans="2:8" x14ac:dyDescent="0.25">
      <c r="B857" s="3" t="s">
        <v>63</v>
      </c>
      <c r="E857" s="5">
        <f>F135</f>
        <v>5001600</v>
      </c>
      <c r="F857" s="100"/>
      <c r="H857" s="101"/>
    </row>
    <row r="858" spans="2:8" x14ac:dyDescent="0.25">
      <c r="F858" s="100"/>
      <c r="H858" s="101"/>
    </row>
    <row r="859" spans="2:8" x14ac:dyDescent="0.25">
      <c r="B859" s="3" t="s">
        <v>80</v>
      </c>
      <c r="E859" s="5">
        <f>F172</f>
        <v>5397100</v>
      </c>
      <c r="F859" s="100"/>
      <c r="H859" s="101"/>
    </row>
    <row r="860" spans="2:8" x14ac:dyDescent="0.25">
      <c r="F860" s="100"/>
      <c r="H860" s="101"/>
    </row>
    <row r="861" spans="2:8" x14ac:dyDescent="0.25">
      <c r="B861" s="3" t="s">
        <v>129</v>
      </c>
      <c r="E861" s="5">
        <f>F290</f>
        <v>722400</v>
      </c>
      <c r="F861" s="100"/>
      <c r="H861" s="101"/>
    </row>
    <row r="862" spans="2:8" ht="17.25" customHeight="1" x14ac:dyDescent="0.25">
      <c r="C862" s="102"/>
      <c r="D862" s="103"/>
      <c r="F862" s="100"/>
      <c r="H862" s="101"/>
    </row>
    <row r="863" spans="2:8" x14ac:dyDescent="0.25">
      <c r="B863" s="3" t="s">
        <v>131</v>
      </c>
      <c r="E863" s="5">
        <f>F411</f>
        <v>4071630</v>
      </c>
      <c r="F863" s="100"/>
      <c r="H863" s="101"/>
    </row>
    <row r="864" spans="2:8" ht="17.25" customHeight="1" x14ac:dyDescent="0.25">
      <c r="C864" s="102"/>
      <c r="D864" s="103"/>
      <c r="F864" s="100"/>
      <c r="H864" s="101"/>
    </row>
    <row r="865" spans="2:8" x14ac:dyDescent="0.25">
      <c r="B865" s="3" t="s">
        <v>169</v>
      </c>
      <c r="E865" s="5">
        <f>F449</f>
        <v>2113250</v>
      </c>
      <c r="F865" s="100"/>
      <c r="H865" s="101"/>
    </row>
    <row r="866" spans="2:8" ht="17.25" customHeight="1" x14ac:dyDescent="0.25">
      <c r="F866" s="100"/>
      <c r="H866" s="101"/>
    </row>
    <row r="867" spans="2:8" ht="17.25" customHeight="1" x14ac:dyDescent="0.25">
      <c r="B867" s="3" t="s">
        <v>179</v>
      </c>
      <c r="E867" s="5">
        <f>F469</f>
        <v>5950800</v>
      </c>
      <c r="F867" s="100"/>
      <c r="H867" s="101"/>
    </row>
    <row r="868" spans="2:8" ht="17.25" customHeight="1" x14ac:dyDescent="0.25">
      <c r="F868" s="100"/>
      <c r="H868" s="101"/>
    </row>
    <row r="869" spans="2:8" ht="17.25" customHeight="1" x14ac:dyDescent="0.25">
      <c r="B869" s="3" t="s">
        <v>188</v>
      </c>
      <c r="E869" s="5">
        <f>F507</f>
        <v>2115375</v>
      </c>
      <c r="F869" s="100"/>
      <c r="H869" s="101"/>
    </row>
    <row r="870" spans="2:8" ht="17.25" customHeight="1" x14ac:dyDescent="0.25">
      <c r="F870" s="100"/>
      <c r="H870" s="101"/>
    </row>
    <row r="871" spans="2:8" ht="17.25" customHeight="1" x14ac:dyDescent="0.25">
      <c r="B871" s="3" t="s">
        <v>195</v>
      </c>
      <c r="E871" s="5">
        <f>F543</f>
        <v>3535000</v>
      </c>
      <c r="F871" s="100"/>
      <c r="H871" s="101"/>
    </row>
    <row r="872" spans="2:8" ht="17.25" customHeight="1" x14ac:dyDescent="0.25">
      <c r="C872" s="102"/>
      <c r="D872" s="103"/>
      <c r="F872" s="100"/>
      <c r="H872" s="101"/>
    </row>
    <row r="873" spans="2:8" ht="17.25" customHeight="1" x14ac:dyDescent="0.25">
      <c r="B873" s="3" t="s">
        <v>197</v>
      </c>
      <c r="E873" s="5">
        <f>F591</f>
        <v>0</v>
      </c>
      <c r="F873" s="100"/>
      <c r="H873" s="101"/>
    </row>
    <row r="874" spans="2:8" ht="17.25" customHeight="1" x14ac:dyDescent="0.25">
      <c r="C874" s="102"/>
      <c r="D874" s="103"/>
      <c r="F874" s="100"/>
      <c r="H874" s="101"/>
    </row>
    <row r="875" spans="2:8" ht="17.25" customHeight="1" x14ac:dyDescent="0.25">
      <c r="B875" s="3" t="s">
        <v>235</v>
      </c>
      <c r="E875" s="5">
        <f>F661</f>
        <v>6358350</v>
      </c>
      <c r="F875" s="100"/>
      <c r="H875" s="101"/>
    </row>
    <row r="876" spans="2:8" ht="17.25" customHeight="1" x14ac:dyDescent="0.25">
      <c r="C876" s="102"/>
      <c r="D876" s="103"/>
      <c r="F876" s="100"/>
      <c r="H876" s="101"/>
    </row>
    <row r="877" spans="2:8" ht="17.25" customHeight="1" x14ac:dyDescent="0.25">
      <c r="B877" s="3" t="s">
        <v>269</v>
      </c>
      <c r="E877" s="5">
        <f>F698</f>
        <v>6259287.5</v>
      </c>
      <c r="F877" s="100"/>
      <c r="H877" s="101"/>
    </row>
    <row r="878" spans="2:8" ht="17.25" customHeight="1" x14ac:dyDescent="0.25">
      <c r="F878" s="100"/>
      <c r="H878" s="101"/>
    </row>
    <row r="879" spans="2:8" ht="17.25" customHeight="1" x14ac:dyDescent="0.25">
      <c r="B879" s="3" t="s">
        <v>282</v>
      </c>
      <c r="E879" s="5">
        <f>F728</f>
        <v>3450500</v>
      </c>
      <c r="F879" s="100"/>
      <c r="H879" s="101"/>
    </row>
    <row r="880" spans="2:8" ht="17.25" customHeight="1" x14ac:dyDescent="0.25">
      <c r="F880" s="100"/>
      <c r="H880" s="101"/>
    </row>
    <row r="881" spans="1:8" ht="17.25" customHeight="1" x14ac:dyDescent="0.25">
      <c r="B881" s="3" t="s">
        <v>385</v>
      </c>
      <c r="E881" s="17"/>
      <c r="F881" s="100"/>
      <c r="H881" s="101"/>
    </row>
    <row r="882" spans="1:8" ht="17.25" customHeight="1" x14ac:dyDescent="0.25">
      <c r="C882" s="102"/>
      <c r="D882" s="103"/>
      <c r="F882" s="100"/>
      <c r="H882" s="101"/>
    </row>
    <row r="883" spans="1:8" ht="17.25" customHeight="1" x14ac:dyDescent="0.25">
      <c r="B883" s="3" t="s">
        <v>388</v>
      </c>
      <c r="F883" s="100"/>
      <c r="H883" s="101"/>
    </row>
    <row r="884" spans="1:8" ht="17.25" customHeight="1" x14ac:dyDescent="0.25">
      <c r="E884" s="3"/>
    </row>
    <row r="885" spans="1:8" ht="17.25" customHeight="1" x14ac:dyDescent="0.25">
      <c r="E885" s="3"/>
    </row>
    <row r="886" spans="1:8" ht="17.25" customHeight="1" x14ac:dyDescent="0.25">
      <c r="E886" s="3"/>
    </row>
    <row r="887" spans="1:8" ht="17.25" customHeight="1" x14ac:dyDescent="0.25">
      <c r="E887" s="3"/>
    </row>
    <row r="888" spans="1:8" ht="16.5" x14ac:dyDescent="0.25">
      <c r="B888" s="9" t="s">
        <v>390</v>
      </c>
      <c r="C888" s="25"/>
      <c r="D888" s="8"/>
      <c r="E888" s="3"/>
      <c r="F888" s="29"/>
    </row>
    <row r="889" spans="1:8" ht="17.25" thickBot="1" x14ac:dyDescent="0.3">
      <c r="B889" s="25" t="s">
        <v>391</v>
      </c>
      <c r="C889" s="25"/>
      <c r="D889" s="26" t="s">
        <v>34</v>
      </c>
      <c r="E889" s="104">
        <f>SUM(E855:E883)</f>
        <v>50017392.5</v>
      </c>
      <c r="F889" s="100"/>
    </row>
    <row r="890" spans="1:8" ht="17.25" thickTop="1" x14ac:dyDescent="0.25">
      <c r="B890" s="25"/>
      <c r="C890" s="25"/>
      <c r="D890" s="8"/>
      <c r="E890" s="33"/>
      <c r="F890" s="27"/>
    </row>
    <row r="891" spans="1:8" ht="16.5" x14ac:dyDescent="0.25">
      <c r="A891" s="3"/>
      <c r="B891" s="25" t="s">
        <v>392</v>
      </c>
      <c r="C891" s="105"/>
      <c r="D891" s="8"/>
      <c r="E891" s="33">
        <f>E889</f>
        <v>50017392.5</v>
      </c>
      <c r="F891" s="100"/>
    </row>
    <row r="892" spans="1:8" ht="16.5" x14ac:dyDescent="0.25">
      <c r="A892" s="3"/>
      <c r="B892" s="9" t="s">
        <v>393</v>
      </c>
      <c r="C892" s="25"/>
      <c r="D892" s="8"/>
      <c r="E892" s="33"/>
      <c r="F892" s="100"/>
    </row>
    <row r="893" spans="1:8" ht="18" customHeight="1" x14ac:dyDescent="0.25">
      <c r="A893" s="3"/>
      <c r="B893" s="25" t="s">
        <v>394</v>
      </c>
      <c r="C893" s="25"/>
      <c r="D893" s="8"/>
      <c r="E893" s="33">
        <f>E891*5%</f>
        <v>2500869.625</v>
      </c>
      <c r="F893" s="100"/>
    </row>
    <row r="894" spans="1:8" ht="16.5" x14ac:dyDescent="0.25">
      <c r="A894" s="3"/>
      <c r="B894" s="106"/>
      <c r="C894" s="106"/>
      <c r="D894" s="107" t="s">
        <v>34</v>
      </c>
      <c r="E894" s="108">
        <f>SUM(E891:E893)</f>
        <v>52518262.125</v>
      </c>
      <c r="F894" s="100"/>
    </row>
    <row r="895" spans="1:8" ht="16.5" x14ac:dyDescent="0.25">
      <c r="A895" s="3"/>
      <c r="B895" s="9" t="s">
        <v>393</v>
      </c>
      <c r="C895" s="25"/>
      <c r="D895" s="8"/>
      <c r="E895" s="33"/>
      <c r="F895" s="100"/>
    </row>
    <row r="896" spans="1:8" ht="16.5" x14ac:dyDescent="0.25">
      <c r="A896" s="3"/>
      <c r="B896" s="25" t="s">
        <v>395</v>
      </c>
      <c r="C896" s="25"/>
      <c r="D896" s="8"/>
      <c r="E896" s="109">
        <f>E894*7.5%</f>
        <v>3938869.6593749998</v>
      </c>
      <c r="F896" s="100"/>
    </row>
    <row r="897" spans="1:6" ht="17.25" thickBot="1" x14ac:dyDescent="0.3">
      <c r="B897" s="25" t="s">
        <v>396</v>
      </c>
      <c r="C897" s="25"/>
      <c r="D897" s="8"/>
      <c r="E897" s="110">
        <f>SUM(E894:E896)</f>
        <v>56457131.784374997</v>
      </c>
      <c r="F897" s="27"/>
    </row>
    <row r="898" spans="1:6" ht="17.25" thickTop="1" x14ac:dyDescent="0.25">
      <c r="B898" s="25"/>
      <c r="C898" s="25"/>
      <c r="D898" s="8"/>
      <c r="E898" s="33"/>
      <c r="F898" s="27"/>
    </row>
    <row r="899" spans="1:6" ht="16.5" x14ac:dyDescent="0.25">
      <c r="A899" s="3"/>
      <c r="B899" s="25" t="s">
        <v>397</v>
      </c>
      <c r="C899" s="33">
        <v>442</v>
      </c>
      <c r="D899" s="8" t="s">
        <v>398</v>
      </c>
      <c r="E899" s="3"/>
      <c r="F899" s="27"/>
    </row>
    <row r="900" spans="1:6" ht="16.5" x14ac:dyDescent="0.25">
      <c r="A900" s="3"/>
      <c r="B900" s="25" t="s">
        <v>399</v>
      </c>
      <c r="C900" s="25"/>
      <c r="D900" s="8"/>
      <c r="E900" s="33"/>
      <c r="F900" s="27">
        <f>E897/C899</f>
        <v>127731.0673854638</v>
      </c>
    </row>
    <row r="901" spans="1:6" ht="16.5" x14ac:dyDescent="0.25">
      <c r="A901" s="3"/>
      <c r="B901" s="25"/>
      <c r="C901" s="25"/>
      <c r="D901" s="8"/>
      <c r="E901" s="26"/>
      <c r="F901" s="100"/>
    </row>
    <row r="902" spans="1:6" ht="16.5" x14ac:dyDescent="0.25">
      <c r="A902" s="3"/>
      <c r="B902" s="106"/>
      <c r="C902" s="106"/>
      <c r="D902" s="107"/>
      <c r="E902" s="111"/>
      <c r="F902" s="100"/>
    </row>
    <row r="903" spans="1:6" ht="16.5" x14ac:dyDescent="0.25">
      <c r="A903" s="3"/>
      <c r="B903" s="25"/>
      <c r="C903" s="25"/>
      <c r="D903" s="8"/>
      <c r="E903" s="33"/>
      <c r="F903" s="100"/>
    </row>
    <row r="904" spans="1:6" ht="16.5" x14ac:dyDescent="0.25">
      <c r="A904" s="3"/>
      <c r="B904" s="25"/>
      <c r="C904" s="25"/>
      <c r="D904" s="8"/>
      <c r="E904" s="33"/>
      <c r="F904" s="100"/>
    </row>
    <row r="905" spans="1:6" ht="16.5" x14ac:dyDescent="0.25">
      <c r="B905" s="25"/>
      <c r="C905" s="25"/>
      <c r="D905" s="8"/>
      <c r="E905" s="33"/>
      <c r="F905" s="27"/>
    </row>
    <row r="906" spans="1:6" ht="16.5" x14ac:dyDescent="0.25">
      <c r="B906" s="25"/>
      <c r="C906" s="25"/>
      <c r="D906" s="8"/>
      <c r="E906" s="33"/>
      <c r="F906" s="27"/>
    </row>
    <row r="907" spans="1:6" ht="16.5" x14ac:dyDescent="0.25">
      <c r="D907" s="3"/>
      <c r="E907" s="3"/>
      <c r="F907" s="27"/>
    </row>
    <row r="908" spans="1:6" ht="16.5" x14ac:dyDescent="0.25">
      <c r="D908" s="3"/>
      <c r="E908" s="3"/>
      <c r="F908" s="27"/>
    </row>
    <row r="909" spans="1:6" ht="14.25" customHeight="1" x14ac:dyDescent="0.25">
      <c r="D909" s="3"/>
      <c r="E909" s="3"/>
      <c r="F909" s="27"/>
    </row>
    <row r="910" spans="1:6" ht="16.5" x14ac:dyDescent="0.25">
      <c r="D910" s="3"/>
      <c r="E910" s="3"/>
      <c r="F910" s="27"/>
    </row>
    <row r="911" spans="1:6" ht="16.5" x14ac:dyDescent="0.25">
      <c r="D911" s="3"/>
      <c r="E911" s="3"/>
      <c r="F911" s="27"/>
    </row>
    <row r="912" spans="1:6" ht="16.5" x14ac:dyDescent="0.25">
      <c r="D912" s="3"/>
      <c r="E912" s="3"/>
      <c r="F912" s="27"/>
    </row>
    <row r="913" spans="2:6" ht="16.5" x14ac:dyDescent="0.25">
      <c r="D913" s="3"/>
      <c r="E913" s="3"/>
      <c r="F913" s="27"/>
    </row>
    <row r="914" spans="2:6" ht="16.5" x14ac:dyDescent="0.25">
      <c r="B914" s="25"/>
      <c r="C914" s="25"/>
      <c r="D914" s="8"/>
      <c r="E914" s="33"/>
      <c r="F914" s="27"/>
    </row>
    <row r="915" spans="2:6" ht="16.5" x14ac:dyDescent="0.25">
      <c r="B915" s="25"/>
      <c r="C915" s="25"/>
      <c r="D915" s="8"/>
      <c r="E915" s="33"/>
      <c r="F915" s="27"/>
    </row>
    <row r="931" spans="1:8" s="25" customFormat="1" ht="16.5" x14ac:dyDescent="0.25">
      <c r="A931" s="4"/>
      <c r="B931" s="3"/>
      <c r="C931" s="3"/>
      <c r="D931" s="4"/>
      <c r="E931" s="5"/>
      <c r="F931" s="6"/>
      <c r="H931" s="112"/>
    </row>
    <row r="932" spans="1:8" s="25" customFormat="1" ht="16.5" x14ac:dyDescent="0.25">
      <c r="A932" s="4"/>
      <c r="B932" s="3"/>
      <c r="C932" s="3"/>
      <c r="D932" s="4"/>
      <c r="E932" s="5"/>
      <c r="F932" s="6"/>
      <c r="H932" s="112"/>
    </row>
    <row r="933" spans="1:8" s="25" customFormat="1" ht="16.5" x14ac:dyDescent="0.25">
      <c r="A933" s="4"/>
      <c r="B933" s="3"/>
      <c r="C933" s="3"/>
      <c r="D933" s="4"/>
      <c r="E933" s="5"/>
      <c r="F933" s="6"/>
      <c r="H933" s="112"/>
    </row>
    <row r="934" spans="1:8" s="25" customFormat="1" ht="16.5" x14ac:dyDescent="0.25">
      <c r="A934" s="4"/>
      <c r="B934" s="3"/>
      <c r="C934" s="3"/>
      <c r="D934" s="4"/>
      <c r="E934" s="5"/>
      <c r="F934" s="6"/>
      <c r="H934" s="112"/>
    </row>
    <row r="935" spans="1:8" s="25" customFormat="1" ht="16.5" x14ac:dyDescent="0.25">
      <c r="A935" s="4"/>
      <c r="B935" s="3"/>
      <c r="C935" s="3"/>
      <c r="D935" s="4"/>
      <c r="E935" s="5"/>
      <c r="F935" s="6"/>
      <c r="H935" s="112"/>
    </row>
    <row r="936" spans="1:8" s="25" customFormat="1" ht="16.5" x14ac:dyDescent="0.25">
      <c r="A936" s="4"/>
      <c r="B936" s="3"/>
      <c r="C936" s="3"/>
      <c r="D936" s="4"/>
      <c r="E936" s="5"/>
      <c r="F936" s="6"/>
      <c r="H936" s="112"/>
    </row>
    <row r="960" spans="1:8" s="25" customFormat="1" ht="16.5" x14ac:dyDescent="0.25">
      <c r="A960" s="4"/>
      <c r="B960" s="3"/>
      <c r="C960" s="3"/>
      <c r="D960" s="4"/>
      <c r="E960" s="5"/>
      <c r="F960" s="6"/>
      <c r="H960" s="112"/>
    </row>
    <row r="961" ht="21" customHeight="1" x14ac:dyDescent="0.25"/>
    <row r="998" spans="1:8" s="25" customFormat="1" ht="16.5" x14ac:dyDescent="0.25">
      <c r="A998" s="4"/>
      <c r="B998" s="3"/>
      <c r="C998" s="3"/>
      <c r="D998" s="4"/>
      <c r="E998" s="5"/>
      <c r="F998" s="6"/>
      <c r="H998" s="112"/>
    </row>
    <row r="999" spans="1:8" s="25" customFormat="1" ht="16.5" x14ac:dyDescent="0.25">
      <c r="A999" s="4"/>
      <c r="B999" s="3"/>
      <c r="C999" s="3"/>
      <c r="D999" s="4"/>
      <c r="E999" s="5"/>
      <c r="F999" s="6"/>
      <c r="H999" s="112"/>
    </row>
    <row r="1030" spans="1:8" s="25" customFormat="1" ht="16.5" x14ac:dyDescent="0.25">
      <c r="A1030" s="4"/>
      <c r="B1030" s="3"/>
      <c r="C1030" s="3"/>
      <c r="D1030" s="4"/>
      <c r="E1030" s="5"/>
      <c r="F1030" s="6"/>
      <c r="H1030" s="112"/>
    </row>
    <row r="1031" spans="1:8" s="25" customFormat="1" ht="16.5" x14ac:dyDescent="0.25">
      <c r="A1031" s="4"/>
      <c r="B1031" s="3"/>
      <c r="C1031" s="3"/>
      <c r="D1031" s="4"/>
      <c r="E1031" s="5"/>
      <c r="F1031" s="6"/>
      <c r="H1031" s="112"/>
    </row>
  </sheetData>
  <printOptions gridLines="1"/>
  <pageMargins left="0.74803149606299213" right="0.51181102362204722" top="0.98425196850393704" bottom="0.98425196850393704" header="0.51181102362204722" footer="0.51181102362204722"/>
  <pageSetup paperSize="9" scale="84" orientation="portrait" horizontalDpi="300" verticalDpi="300" r:id="rId1"/>
  <headerFooter alignWithMargins="0">
    <oddFooter>&amp;R&amp;"Comic Sans MS,Bold Italic"Page /&amp;P</oddFooter>
  </headerFooter>
  <rowBreaks count="23" manualBreakCount="23">
    <brk id="28" max="5" man="1"/>
    <brk id="56" max="5" man="1"/>
    <brk id="94" max="5" man="1"/>
    <brk id="135" max="5" man="1"/>
    <brk id="172" max="5" man="1"/>
    <brk id="214" max="5" man="1"/>
    <brk id="253" max="5" man="1"/>
    <brk id="290" max="5" man="1"/>
    <brk id="325" max="5" man="1"/>
    <brk id="371" max="5" man="1"/>
    <brk id="411" max="5" man="1"/>
    <brk id="449" max="16383" man="1"/>
    <brk id="469" max="5" man="1"/>
    <brk id="507" max="16383" man="1"/>
    <brk id="543" max="16383" man="1"/>
    <brk id="591" max="16383" man="1"/>
    <brk id="625" max="16383" man="1"/>
    <brk id="661" max="16383" man="1"/>
    <brk id="698" max="16383" man="1"/>
    <brk id="728" max="5" man="1"/>
    <brk id="791" max="5" man="1"/>
    <brk id="839" max="5" man="1"/>
    <brk id="85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Asoya bOQ</vt:lpstr>
      <vt:lpstr>'Asoya bOQ'!Print_Area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QS DESKTOP 2</cp:lastModifiedBy>
  <cp:lastPrinted>2022-02-23T08:12:22Z</cp:lastPrinted>
  <dcterms:created xsi:type="dcterms:W3CDTF">2022-02-23T07:43:06Z</dcterms:created>
  <dcterms:modified xsi:type="dcterms:W3CDTF">2022-02-25T12:04:44Z</dcterms:modified>
</cp:coreProperties>
</file>