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rFavQ$\Desktop\Boq\BILLS 2024\MAY\QS PHILIP\BOQ\"/>
    </mc:Choice>
  </mc:AlternateContent>
  <xr:revisionPtr revIDLastSave="0" documentId="13_ncr:1_{F8242B07-01FB-47F7-B643-DA0F66462A4C}" xr6:coauthVersionLast="47" xr6:coauthVersionMax="47" xr10:uidLastSave="{00000000-0000-0000-0000-000000000000}"/>
  <bookViews>
    <workbookView xWindow="-120" yWindow="-120" windowWidth="19440" windowHeight="11640" firstSheet="10" activeTab="13" xr2:uid="{00000000-000D-0000-FFFF-FFFF00000000}"/>
  </bookViews>
  <sheets>
    <sheet name="BILL" sheetId="3" state="hidden" r:id="rId1"/>
    <sheet name="BILL (2)" sheetId="8" state="hidden" r:id="rId2"/>
    <sheet name="Cover Page" sheetId="15" r:id="rId3"/>
    <sheet name="Cover page (MALL" sheetId="22" r:id="rId4"/>
    <sheet name="SHOPPING MALL" sheetId="25" r:id="rId5"/>
    <sheet name="Cover page Admin block" sheetId="23" r:id="rId6"/>
    <sheet name="ADMIN BLOCK" sheetId="34" r:id="rId7"/>
    <sheet name="Cover page (MOSQUE" sheetId="9" r:id="rId8"/>
    <sheet name="MASJID" sheetId="35" r:id="rId9"/>
    <sheet name="Cover page power house" sheetId="27" r:id="rId10"/>
    <sheet name="Power house" sheetId="36" r:id="rId11"/>
    <sheet name="cover page public toilet" sheetId="11" r:id="rId12"/>
    <sheet name="public toilet" sheetId="37" r:id="rId13"/>
    <sheet name="General Summary" sheetId="14"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0" localSheetId="1">#REF!</definedName>
    <definedName name="\0" localSheetId="2">#REF!</definedName>
    <definedName name="\0" localSheetId="3">#REF!</definedName>
    <definedName name="\0" localSheetId="7">#REF!</definedName>
    <definedName name="\0" localSheetId="5">#REF!</definedName>
    <definedName name="\0" localSheetId="9">#REF!</definedName>
    <definedName name="\0" localSheetId="11">#REF!</definedName>
    <definedName name="\0" localSheetId="13">#REF!</definedName>
    <definedName name="\0" localSheetId="10">#REF!</definedName>
    <definedName name="\0" localSheetId="12">#REF!</definedName>
    <definedName name="\0" localSheetId="4">#REF!</definedName>
    <definedName name="\0">#REF!</definedName>
    <definedName name="\a" localSheetId="1">#REF!</definedName>
    <definedName name="\A" localSheetId="2">#REF!</definedName>
    <definedName name="\a" localSheetId="3">#REF!</definedName>
    <definedName name="\a" localSheetId="7">#REF!</definedName>
    <definedName name="\a" localSheetId="5">#REF!</definedName>
    <definedName name="\a" localSheetId="9">#REF!</definedName>
    <definedName name="\a" localSheetId="11">#REF!</definedName>
    <definedName name="\a" localSheetId="13">#REF!</definedName>
    <definedName name="\a" localSheetId="10">#REF!</definedName>
    <definedName name="\a" localSheetId="12">#REF!</definedName>
    <definedName name="\a" localSheetId="4">#REF!</definedName>
    <definedName name="\a">#REF!</definedName>
    <definedName name="\b" localSheetId="1">#REF!</definedName>
    <definedName name="\b" localSheetId="2">#REF!</definedName>
    <definedName name="\b" localSheetId="3">#REF!</definedName>
    <definedName name="\b" localSheetId="7">#REF!</definedName>
    <definedName name="\b" localSheetId="5">#REF!</definedName>
    <definedName name="\b" localSheetId="9">#REF!</definedName>
    <definedName name="\b" localSheetId="11">#REF!</definedName>
    <definedName name="\b" localSheetId="13">#REF!</definedName>
    <definedName name="\b" localSheetId="10">#REF!</definedName>
    <definedName name="\b" localSheetId="12">#REF!</definedName>
    <definedName name="\b" localSheetId="4">#REF!</definedName>
    <definedName name="\b">#REF!</definedName>
    <definedName name="\c" localSheetId="4">#REF!</definedName>
    <definedName name="\c">#REF!</definedName>
    <definedName name="\d" localSheetId="4">#REF!</definedName>
    <definedName name="\d">#REF!</definedName>
    <definedName name="\da" localSheetId="4">#REF!</definedName>
    <definedName name="\da">#REF!</definedName>
    <definedName name="\E" localSheetId="2">[1]Sheet1!#REF!</definedName>
    <definedName name="\E" localSheetId="4">[1]Sheet1!#REF!</definedName>
    <definedName name="\E">[1]Sheet1!#REF!</definedName>
    <definedName name="\F" localSheetId="2">[1]Sheet1!#REF!</definedName>
    <definedName name="\F" localSheetId="4">[1]Sheet1!#REF!</definedName>
    <definedName name="\F">[1]Sheet1!#REF!</definedName>
    <definedName name="\G" localSheetId="2">[1]Sheet1!#REF!</definedName>
    <definedName name="\G">[1]Sheet1!#REF!</definedName>
    <definedName name="\h" localSheetId="2">#REF!</definedName>
    <definedName name="\h" localSheetId="8">#REF!</definedName>
    <definedName name="\h" localSheetId="4">#REF!</definedName>
    <definedName name="\h">#REF!</definedName>
    <definedName name="\ha" localSheetId="2">#REF!</definedName>
    <definedName name="\ha" localSheetId="4">#REF!</definedName>
    <definedName name="\ha">#REF!</definedName>
    <definedName name="\i" localSheetId="4">#REF!</definedName>
    <definedName name="\i">#REF!</definedName>
    <definedName name="\J" localSheetId="2">[1]Sheet1!#REF!</definedName>
    <definedName name="\J" localSheetId="4">[1]Sheet1!#REF!</definedName>
    <definedName name="\J">[1]Sheet1!#REF!</definedName>
    <definedName name="\k" localSheetId="2">#REF!</definedName>
    <definedName name="\k" localSheetId="8">#REF!</definedName>
    <definedName name="\k" localSheetId="4">#REF!</definedName>
    <definedName name="\k">#REF!</definedName>
    <definedName name="\ka" localSheetId="4">#REF!</definedName>
    <definedName name="\ka">#REF!</definedName>
    <definedName name="\L" localSheetId="2">[1]Sheet1!#REF!</definedName>
    <definedName name="\L" localSheetId="4">[1]Sheet1!#REF!</definedName>
    <definedName name="\L">[1]Sheet1!#REF!</definedName>
    <definedName name="\m" localSheetId="2">#REF!</definedName>
    <definedName name="\m" localSheetId="8">#REF!</definedName>
    <definedName name="\m" localSheetId="4">#REF!</definedName>
    <definedName name="\m">#REF!</definedName>
    <definedName name="\ma" localSheetId="2">#REF!</definedName>
    <definedName name="\ma" localSheetId="4">#REF!</definedName>
    <definedName name="\ma">#REF!</definedName>
    <definedName name="\n" localSheetId="4">#REF!</definedName>
    <definedName name="\n">#REF!</definedName>
    <definedName name="\p" localSheetId="4">#REF!</definedName>
    <definedName name="\p">#REF!</definedName>
    <definedName name="\pa" localSheetId="4">#REF!</definedName>
    <definedName name="\pa">#REF!</definedName>
    <definedName name="\pb" localSheetId="4">#REF!</definedName>
    <definedName name="\pb">#REF!</definedName>
    <definedName name="\q" localSheetId="4">#REF!</definedName>
    <definedName name="\q">#REF!</definedName>
    <definedName name="\qb" localSheetId="4">#REF!</definedName>
    <definedName name="\qb">#REF!</definedName>
    <definedName name="\r" localSheetId="4">#REF!</definedName>
    <definedName name="\r">#REF!</definedName>
    <definedName name="\ra" localSheetId="4">#REF!</definedName>
    <definedName name="\ra">#REF!</definedName>
    <definedName name="\s" localSheetId="4">#REF!</definedName>
    <definedName name="\s">#REF!</definedName>
    <definedName name="\sa" localSheetId="4">#REF!</definedName>
    <definedName name="\sa">#REF!</definedName>
    <definedName name="\t" localSheetId="4">#REF!</definedName>
    <definedName name="\t">#REF!</definedName>
    <definedName name="\u" localSheetId="4">#REF!</definedName>
    <definedName name="\u">#REF!</definedName>
    <definedName name="\ua" localSheetId="4">#REF!</definedName>
    <definedName name="\ua">#REF!</definedName>
    <definedName name="\v" localSheetId="4">#REF!</definedName>
    <definedName name="\v">#REF!</definedName>
    <definedName name="\va" localSheetId="4">#REF!</definedName>
    <definedName name="\va">#REF!</definedName>
    <definedName name="\w" localSheetId="4">#REF!</definedName>
    <definedName name="\w">#REF!</definedName>
    <definedName name="\wa" localSheetId="4">#REF!</definedName>
    <definedName name="\wa">#REF!</definedName>
    <definedName name="\X" localSheetId="2">[1]Sheet1!#REF!</definedName>
    <definedName name="\X" localSheetId="4">[1]Sheet1!#REF!</definedName>
    <definedName name="\X">[1]Sheet1!#REF!</definedName>
    <definedName name="\y" localSheetId="2">#REF!</definedName>
    <definedName name="\y" localSheetId="8">#REF!</definedName>
    <definedName name="\y" localSheetId="4">#REF!</definedName>
    <definedName name="\y">#REF!</definedName>
    <definedName name="\ya" localSheetId="4">#REF!</definedName>
    <definedName name="\ya">#REF!</definedName>
    <definedName name="\z" localSheetId="4">#REF!</definedName>
    <definedName name="\z">#REF!</definedName>
    <definedName name="______cbd1" localSheetId="4">'[2]MAIN BLD TAKE OFF'!#REF!</definedName>
    <definedName name="______cbd1">'[2]MAIN BLD TAKE OFF'!#REF!</definedName>
    <definedName name="______cbd2" localSheetId="4">'[2]MAIN BLD TAKE OFF'!#REF!</definedName>
    <definedName name="______cbd2">'[2]MAIN BLD TAKE OFF'!#REF!</definedName>
    <definedName name="______cbd3" localSheetId="4">'[2]MAIN BLD TAKE OFF'!#REF!</definedName>
    <definedName name="______cbd3">'[2]MAIN BLD TAKE OFF'!#REF!</definedName>
    <definedName name="______td2" localSheetId="4">'[2]MAIN BLD TAKE OFF'!#REF!</definedName>
    <definedName name="______td2">'[2]MAIN BLD TAKE OFF'!#REF!</definedName>
    <definedName name="______tl1">'[2]MAIN BLD TAKE OFF'!#REF!</definedName>
    <definedName name="______tl2">'[2]MAIN BLD TAKE OFF'!#REF!</definedName>
    <definedName name="______tw2">'[2]MAIN BLD TAKE OFF'!#REF!</definedName>
    <definedName name="_____B242498" localSheetId="8">#REF!</definedName>
    <definedName name="_____B242498" localSheetId="4">#REF!</definedName>
    <definedName name="_____B242498">#REF!</definedName>
    <definedName name="_____cbd1">'[2]MAIN BLD TAKE OFF'!#REF!</definedName>
    <definedName name="_____cbd2">'[2]MAIN BLD TAKE OFF'!#REF!</definedName>
    <definedName name="_____cbd3">'[2]MAIN BLD TAKE OFF'!#REF!</definedName>
    <definedName name="_____td2">'[2]MAIN BLD TAKE OFF'!#REF!</definedName>
    <definedName name="_____tl1">'[2]MAIN BLD TAKE OFF'!#REF!</definedName>
    <definedName name="_____tl2">'[2]MAIN BLD TAKE OFF'!#REF!</definedName>
    <definedName name="_____tw1">'[3]MAIN BLD TAKE OFF'!$I$34</definedName>
    <definedName name="_____tw2" localSheetId="1">'[2]MAIN BLD TAKE OFF'!#REF!</definedName>
    <definedName name="_____tw2" localSheetId="3">'[2]MAIN BLD TAKE OFF'!#REF!</definedName>
    <definedName name="_____tw2" localSheetId="7">'[2]MAIN BLD TAKE OFF'!#REF!</definedName>
    <definedName name="_____tw2" localSheetId="5">'[2]MAIN BLD TAKE OFF'!#REF!</definedName>
    <definedName name="_____tw2" localSheetId="9">'[2]MAIN BLD TAKE OFF'!#REF!</definedName>
    <definedName name="_____tw2" localSheetId="11">'[2]MAIN BLD TAKE OFF'!#REF!</definedName>
    <definedName name="_____tw2" localSheetId="13">'[2]MAIN BLD TAKE OFF'!#REF!</definedName>
    <definedName name="_____tw2" localSheetId="10">'[2]MAIN BLD TAKE OFF'!#REF!</definedName>
    <definedName name="_____tw2" localSheetId="12">'[2]MAIN BLD TAKE OFF'!#REF!</definedName>
    <definedName name="_____tw2" localSheetId="4">'[2]MAIN BLD TAKE OFF'!#REF!</definedName>
    <definedName name="_____tw2">'[2]MAIN BLD TAKE OFF'!#REF!</definedName>
    <definedName name="____B242498" localSheetId="8">#REF!</definedName>
    <definedName name="____B242498" localSheetId="4">#REF!</definedName>
    <definedName name="____B242498">#REF!</definedName>
    <definedName name="____cbd1" localSheetId="1">'[2]MAIN BLD TAKE OFF'!#REF!</definedName>
    <definedName name="____cbd1" localSheetId="3">'[2]MAIN BLD TAKE OFF'!#REF!</definedName>
    <definedName name="____cbd1" localSheetId="7">'[2]MAIN BLD TAKE OFF'!#REF!</definedName>
    <definedName name="____cbd1" localSheetId="5">'[2]MAIN BLD TAKE OFF'!#REF!</definedName>
    <definedName name="____cbd1" localSheetId="9">'[2]MAIN BLD TAKE OFF'!#REF!</definedName>
    <definedName name="____cbd1" localSheetId="11">'[2]MAIN BLD TAKE OFF'!#REF!</definedName>
    <definedName name="____cbd1" localSheetId="13">'[2]MAIN BLD TAKE OFF'!#REF!</definedName>
    <definedName name="____cbd1" localSheetId="10">'[2]MAIN BLD TAKE OFF'!#REF!</definedName>
    <definedName name="____cbd1" localSheetId="12">'[2]MAIN BLD TAKE OFF'!#REF!</definedName>
    <definedName name="____cbd1" localSheetId="4">'[2]MAIN BLD TAKE OFF'!#REF!</definedName>
    <definedName name="____cbd1">'[2]MAIN BLD TAKE OFF'!#REF!</definedName>
    <definedName name="____cbd2" localSheetId="1">'[2]MAIN BLD TAKE OFF'!#REF!</definedName>
    <definedName name="____cbd2" localSheetId="3">'[2]MAIN BLD TAKE OFF'!#REF!</definedName>
    <definedName name="____cbd2" localSheetId="7">'[2]MAIN BLD TAKE OFF'!#REF!</definedName>
    <definedName name="____cbd2" localSheetId="5">'[2]MAIN BLD TAKE OFF'!#REF!</definedName>
    <definedName name="____cbd2" localSheetId="9">'[2]MAIN BLD TAKE OFF'!#REF!</definedName>
    <definedName name="____cbd2" localSheetId="11">'[2]MAIN BLD TAKE OFF'!#REF!</definedName>
    <definedName name="____cbd2" localSheetId="13">'[2]MAIN BLD TAKE OFF'!#REF!</definedName>
    <definedName name="____cbd2" localSheetId="10">'[2]MAIN BLD TAKE OFF'!#REF!</definedName>
    <definedName name="____cbd2" localSheetId="12">'[2]MAIN BLD TAKE OFF'!#REF!</definedName>
    <definedName name="____cbd2" localSheetId="4">'[2]MAIN BLD TAKE OFF'!#REF!</definedName>
    <definedName name="____cbd2">'[2]MAIN BLD TAKE OFF'!#REF!</definedName>
    <definedName name="____cbd3" localSheetId="1">'[2]MAIN BLD TAKE OFF'!#REF!</definedName>
    <definedName name="____cbd3" localSheetId="3">'[2]MAIN BLD TAKE OFF'!#REF!</definedName>
    <definedName name="____cbd3" localSheetId="7">'[2]MAIN BLD TAKE OFF'!#REF!</definedName>
    <definedName name="____cbd3" localSheetId="5">'[2]MAIN BLD TAKE OFF'!#REF!</definedName>
    <definedName name="____cbd3" localSheetId="9">'[2]MAIN BLD TAKE OFF'!#REF!</definedName>
    <definedName name="____cbd3" localSheetId="11">'[2]MAIN BLD TAKE OFF'!#REF!</definedName>
    <definedName name="____cbd3" localSheetId="13">'[2]MAIN BLD TAKE OFF'!#REF!</definedName>
    <definedName name="____cbd3" localSheetId="10">'[2]MAIN BLD TAKE OFF'!#REF!</definedName>
    <definedName name="____cbd3" localSheetId="12">'[2]MAIN BLD TAKE OFF'!#REF!</definedName>
    <definedName name="____cbd3" localSheetId="4">'[2]MAIN BLD TAKE OFF'!#REF!</definedName>
    <definedName name="____cbd3">'[2]MAIN BLD TAKE OFF'!#REF!</definedName>
    <definedName name="____td2">'[2]MAIN BLD TAKE OFF'!#REF!</definedName>
    <definedName name="____tl1">'[2]MAIN BLD TAKE OFF'!#REF!</definedName>
    <definedName name="____tl2">'[2]MAIN BLD TAKE OFF'!#REF!</definedName>
    <definedName name="____tw1">'[4]MAIN BLD TAKE OFF'!$I$34</definedName>
    <definedName name="____tw2" localSheetId="1">'[2]MAIN BLD TAKE OFF'!#REF!</definedName>
    <definedName name="____tw2" localSheetId="3">'[2]MAIN BLD TAKE OFF'!#REF!</definedName>
    <definedName name="____tw2" localSheetId="7">'[2]MAIN BLD TAKE OFF'!#REF!</definedName>
    <definedName name="____tw2" localSheetId="5">'[2]MAIN BLD TAKE OFF'!#REF!</definedName>
    <definedName name="____tw2" localSheetId="9">'[2]MAIN BLD TAKE OFF'!#REF!</definedName>
    <definedName name="____tw2" localSheetId="11">'[2]MAIN BLD TAKE OFF'!#REF!</definedName>
    <definedName name="____tw2" localSheetId="13">'[2]MAIN BLD TAKE OFF'!#REF!</definedName>
    <definedName name="____tw2" localSheetId="10">'[2]MAIN BLD TAKE OFF'!#REF!</definedName>
    <definedName name="____tw2" localSheetId="12">'[2]MAIN BLD TAKE OFF'!#REF!</definedName>
    <definedName name="____tw2" localSheetId="4">'[2]MAIN BLD TAKE OFF'!#REF!</definedName>
    <definedName name="____tw2">'[2]MAIN BLD TAKE OFF'!#REF!</definedName>
    <definedName name="___B242498" localSheetId="8">#REF!</definedName>
    <definedName name="___B242498" localSheetId="4">#REF!</definedName>
    <definedName name="___B242498">#REF!</definedName>
    <definedName name="___cbd1" localSheetId="1">'[2]MAIN BLD TAKE OFF'!#REF!</definedName>
    <definedName name="___cbd1" localSheetId="3">'[2]MAIN BLD TAKE OFF'!#REF!</definedName>
    <definedName name="___cbd1" localSheetId="7">'[2]MAIN BLD TAKE OFF'!#REF!</definedName>
    <definedName name="___cbd1" localSheetId="5">'[2]MAIN BLD TAKE OFF'!#REF!</definedName>
    <definedName name="___cbd1" localSheetId="9">'[2]MAIN BLD TAKE OFF'!#REF!</definedName>
    <definedName name="___cbd1" localSheetId="11">'[2]MAIN BLD TAKE OFF'!#REF!</definedName>
    <definedName name="___cbd1" localSheetId="13">'[2]MAIN BLD TAKE OFF'!#REF!</definedName>
    <definedName name="___cbd1" localSheetId="10">'[2]MAIN BLD TAKE OFF'!#REF!</definedName>
    <definedName name="___cbd1" localSheetId="12">'[2]MAIN BLD TAKE OFF'!#REF!</definedName>
    <definedName name="___cbd1" localSheetId="4">'[2]MAIN BLD TAKE OFF'!#REF!</definedName>
    <definedName name="___cbd1">'[2]MAIN BLD TAKE OFF'!#REF!</definedName>
    <definedName name="___cbd2" localSheetId="1">'[2]MAIN BLD TAKE OFF'!#REF!</definedName>
    <definedName name="___cbd2" localSheetId="3">'[2]MAIN BLD TAKE OFF'!#REF!</definedName>
    <definedName name="___cbd2" localSheetId="7">'[2]MAIN BLD TAKE OFF'!#REF!</definedName>
    <definedName name="___cbd2" localSheetId="5">'[2]MAIN BLD TAKE OFF'!#REF!</definedName>
    <definedName name="___cbd2" localSheetId="9">'[2]MAIN BLD TAKE OFF'!#REF!</definedName>
    <definedName name="___cbd2" localSheetId="11">'[2]MAIN BLD TAKE OFF'!#REF!</definedName>
    <definedName name="___cbd2" localSheetId="13">'[2]MAIN BLD TAKE OFF'!#REF!</definedName>
    <definedName name="___cbd2" localSheetId="10">'[2]MAIN BLD TAKE OFF'!#REF!</definedName>
    <definedName name="___cbd2" localSheetId="12">'[2]MAIN BLD TAKE OFF'!#REF!</definedName>
    <definedName name="___cbd2" localSheetId="4">'[2]MAIN BLD TAKE OFF'!#REF!</definedName>
    <definedName name="___cbd2">'[2]MAIN BLD TAKE OFF'!#REF!</definedName>
    <definedName name="___cbd3" localSheetId="1">'[2]MAIN BLD TAKE OFF'!#REF!</definedName>
    <definedName name="___cbd3" localSheetId="3">'[2]MAIN BLD TAKE OFF'!#REF!</definedName>
    <definedName name="___cbd3" localSheetId="7">'[2]MAIN BLD TAKE OFF'!#REF!</definedName>
    <definedName name="___cbd3" localSheetId="5">'[2]MAIN BLD TAKE OFF'!#REF!</definedName>
    <definedName name="___cbd3" localSheetId="9">'[2]MAIN BLD TAKE OFF'!#REF!</definedName>
    <definedName name="___cbd3" localSheetId="11">'[2]MAIN BLD TAKE OFF'!#REF!</definedName>
    <definedName name="___cbd3" localSheetId="13">'[2]MAIN BLD TAKE OFF'!#REF!</definedName>
    <definedName name="___cbd3" localSheetId="10">'[2]MAIN BLD TAKE OFF'!#REF!</definedName>
    <definedName name="___cbd3" localSheetId="12">'[2]MAIN BLD TAKE OFF'!#REF!</definedName>
    <definedName name="___cbd3" localSheetId="4">'[2]MAIN BLD TAKE OFF'!#REF!</definedName>
    <definedName name="___cbd3">'[2]MAIN BLD TAKE OFF'!#REF!</definedName>
    <definedName name="___td2">'[2]MAIN BLD TAKE OFF'!#REF!</definedName>
    <definedName name="___tl1">'[2]MAIN BLD TAKE OFF'!#REF!</definedName>
    <definedName name="___tl2">'[2]MAIN BLD TAKE OFF'!#REF!</definedName>
    <definedName name="___tw1">'[3]MAIN BLD TAKE OFF'!$I$34</definedName>
    <definedName name="___tw2" localSheetId="1">'[2]MAIN BLD TAKE OFF'!#REF!</definedName>
    <definedName name="___tw2" localSheetId="3">'[2]MAIN BLD TAKE OFF'!#REF!</definedName>
    <definedName name="___tw2" localSheetId="7">'[2]MAIN BLD TAKE OFF'!#REF!</definedName>
    <definedName name="___tw2" localSheetId="5">'[2]MAIN BLD TAKE OFF'!#REF!</definedName>
    <definedName name="___tw2" localSheetId="9">'[2]MAIN BLD TAKE OFF'!#REF!</definedName>
    <definedName name="___tw2" localSheetId="11">'[2]MAIN BLD TAKE OFF'!#REF!</definedName>
    <definedName name="___tw2" localSheetId="13">'[2]MAIN BLD TAKE OFF'!#REF!</definedName>
    <definedName name="___tw2" localSheetId="10">'[2]MAIN BLD TAKE OFF'!#REF!</definedName>
    <definedName name="___tw2" localSheetId="12">'[2]MAIN BLD TAKE OFF'!#REF!</definedName>
    <definedName name="___tw2" localSheetId="4">'[2]MAIN BLD TAKE OFF'!#REF!</definedName>
    <definedName name="___tw2">'[2]MAIN BLD TAKE OFF'!#REF!</definedName>
    <definedName name="__B242498" localSheetId="8">#REF!</definedName>
    <definedName name="__B242498" localSheetId="4">#REF!</definedName>
    <definedName name="__B242498">#REF!</definedName>
    <definedName name="__cbd1" localSheetId="6">'[5]MAIN BLD TAKE OFF'!#REF!</definedName>
    <definedName name="__cbd1" localSheetId="1">'[5]MAIN BLD TAKE OFF'!#REF!</definedName>
    <definedName name="__cbd1" localSheetId="3">'[5]MAIN BLD TAKE OFF'!#REF!</definedName>
    <definedName name="__cbd1" localSheetId="7">'[5]MAIN BLD TAKE OFF'!#REF!</definedName>
    <definedName name="__cbd1" localSheetId="5">'[5]MAIN BLD TAKE OFF'!#REF!</definedName>
    <definedName name="__cbd1" localSheetId="9">'[5]MAIN BLD TAKE OFF'!#REF!</definedName>
    <definedName name="__cbd1" localSheetId="11">'[5]MAIN BLD TAKE OFF'!#REF!</definedName>
    <definedName name="__cbd1" localSheetId="13">'[5]MAIN BLD TAKE OFF'!#REF!</definedName>
    <definedName name="__cbd1" localSheetId="10">'[5]MAIN BLD TAKE OFF'!#REF!</definedName>
    <definedName name="__cbd1" localSheetId="12">'[5]MAIN BLD TAKE OFF'!#REF!</definedName>
    <definedName name="__cbd1" localSheetId="4">'[5]MAIN BLD TAKE OFF'!#REF!</definedName>
    <definedName name="__cbd1">'[5]MAIN BLD TAKE OFF'!#REF!</definedName>
    <definedName name="__cbd2" localSheetId="6">'[5]MAIN BLD TAKE OFF'!#REF!</definedName>
    <definedName name="__cbd2" localSheetId="1">'[5]MAIN BLD TAKE OFF'!#REF!</definedName>
    <definedName name="__cbd2" localSheetId="3">'[5]MAIN BLD TAKE OFF'!#REF!</definedName>
    <definedName name="__cbd2" localSheetId="7">'[5]MAIN BLD TAKE OFF'!#REF!</definedName>
    <definedName name="__cbd2" localSheetId="5">'[5]MAIN BLD TAKE OFF'!#REF!</definedName>
    <definedName name="__cbd2" localSheetId="9">'[5]MAIN BLD TAKE OFF'!#REF!</definedName>
    <definedName name="__cbd2" localSheetId="11">'[5]MAIN BLD TAKE OFF'!#REF!</definedName>
    <definedName name="__cbd2" localSheetId="10">'[5]MAIN BLD TAKE OFF'!#REF!</definedName>
    <definedName name="__cbd2" localSheetId="12">'[5]MAIN BLD TAKE OFF'!#REF!</definedName>
    <definedName name="__cbd2" localSheetId="4">'[5]MAIN BLD TAKE OFF'!#REF!</definedName>
    <definedName name="__cbd2">'[5]MAIN BLD TAKE OFF'!#REF!</definedName>
    <definedName name="__cbd3" localSheetId="6">'[5]MAIN BLD TAKE OFF'!#REF!</definedName>
    <definedName name="__cbd3" localSheetId="1">'[5]MAIN BLD TAKE OFF'!#REF!</definedName>
    <definedName name="__cbd3" localSheetId="10">'[5]MAIN BLD TAKE OFF'!#REF!</definedName>
    <definedName name="__cbd3" localSheetId="12">'[5]MAIN BLD TAKE OFF'!#REF!</definedName>
    <definedName name="__cbd3" localSheetId="4">'[5]MAIN BLD TAKE OFF'!#REF!</definedName>
    <definedName name="__cbd3">'[5]MAIN BLD TAKE OFF'!#REF!</definedName>
    <definedName name="__Gen1" localSheetId="8">#REF!</definedName>
    <definedName name="__Gen1" localSheetId="4">#REF!</definedName>
    <definedName name="__Gen1">#REF!</definedName>
    <definedName name="__Gen2" localSheetId="8">#REF!</definedName>
    <definedName name="__Gen2" localSheetId="4">#REF!</definedName>
    <definedName name="__Gen2">#REF!</definedName>
    <definedName name="__Pg1" localSheetId="8">#REF!</definedName>
    <definedName name="__Pg1" localSheetId="4">#REF!</definedName>
    <definedName name="__Pg1">#REF!</definedName>
    <definedName name="__Pg10" localSheetId="4">#REF!</definedName>
    <definedName name="__Pg10">#REF!</definedName>
    <definedName name="__Pg13" localSheetId="4">#REF!</definedName>
    <definedName name="__Pg13">#REF!</definedName>
    <definedName name="__Pg14" localSheetId="4">#REF!</definedName>
    <definedName name="__Pg14">#REF!</definedName>
    <definedName name="__Pg15" localSheetId="4">#REF!</definedName>
    <definedName name="__Pg15">#REF!</definedName>
    <definedName name="__Pg16" localSheetId="4">#REF!</definedName>
    <definedName name="__Pg16">#REF!</definedName>
    <definedName name="__Pg17" localSheetId="4">#REF!</definedName>
    <definedName name="__Pg17">#REF!</definedName>
    <definedName name="__Pg18" localSheetId="4">#REF!</definedName>
    <definedName name="__Pg18">#REF!</definedName>
    <definedName name="__Pg19" localSheetId="4">#REF!</definedName>
    <definedName name="__Pg19">#REF!</definedName>
    <definedName name="__Pg2" localSheetId="4">#REF!</definedName>
    <definedName name="__Pg2">#REF!</definedName>
    <definedName name="__Pg20" localSheetId="4">#REF!</definedName>
    <definedName name="__Pg20">#REF!</definedName>
    <definedName name="__Pg21" localSheetId="4">#REF!</definedName>
    <definedName name="__Pg21">#REF!</definedName>
    <definedName name="__Pg22" localSheetId="4">#REF!</definedName>
    <definedName name="__Pg22">#REF!</definedName>
    <definedName name="__Pg23" localSheetId="4">#REF!</definedName>
    <definedName name="__Pg23">#REF!</definedName>
    <definedName name="__Pg24" localSheetId="4">#REF!</definedName>
    <definedName name="__Pg24">#REF!</definedName>
    <definedName name="__Pg25" localSheetId="4">#REF!</definedName>
    <definedName name="__Pg25">#REF!</definedName>
    <definedName name="__Pg26" localSheetId="4">#REF!</definedName>
    <definedName name="__Pg26">#REF!</definedName>
    <definedName name="__Pg27" localSheetId="4">#REF!</definedName>
    <definedName name="__Pg27">#REF!</definedName>
    <definedName name="__Pg28" localSheetId="4">#REF!</definedName>
    <definedName name="__Pg28">#REF!</definedName>
    <definedName name="__Pg29" localSheetId="4">#REF!</definedName>
    <definedName name="__Pg29">#REF!</definedName>
    <definedName name="__Pg3" localSheetId="4">#REF!</definedName>
    <definedName name="__Pg3">#REF!</definedName>
    <definedName name="__Pg30" localSheetId="4">#REF!</definedName>
    <definedName name="__Pg30">#REF!</definedName>
    <definedName name="__Pg31" localSheetId="4">#REF!</definedName>
    <definedName name="__Pg31">#REF!</definedName>
    <definedName name="__Pg32" localSheetId="4">#REF!</definedName>
    <definedName name="__Pg32">#REF!</definedName>
    <definedName name="__Pg33" localSheetId="4">#REF!</definedName>
    <definedName name="__Pg33">#REF!</definedName>
    <definedName name="__Pg34" localSheetId="4">#REF!</definedName>
    <definedName name="__Pg34">#REF!</definedName>
    <definedName name="__Pg35" localSheetId="4">#REF!</definedName>
    <definedName name="__Pg35">#REF!</definedName>
    <definedName name="__Pg36" localSheetId="4">#REF!</definedName>
    <definedName name="__Pg36">#REF!</definedName>
    <definedName name="__Pg37" localSheetId="4">#REF!</definedName>
    <definedName name="__Pg37">#REF!</definedName>
    <definedName name="__Pg38" localSheetId="4">#REF!</definedName>
    <definedName name="__Pg38">#REF!</definedName>
    <definedName name="__Pg39" localSheetId="4">#REF!</definedName>
    <definedName name="__Pg39">#REF!</definedName>
    <definedName name="__Pg4" localSheetId="4">#REF!</definedName>
    <definedName name="__Pg4">#REF!</definedName>
    <definedName name="__Pg40" localSheetId="4">#REF!</definedName>
    <definedName name="__Pg40">#REF!</definedName>
    <definedName name="__Pg41" localSheetId="4">#REF!</definedName>
    <definedName name="__Pg41">#REF!</definedName>
    <definedName name="__Pg42" localSheetId="4">#REF!</definedName>
    <definedName name="__Pg42">#REF!</definedName>
    <definedName name="__Pg43" localSheetId="4">#REF!</definedName>
    <definedName name="__Pg43">#REF!</definedName>
    <definedName name="__Pg44" localSheetId="4">#REF!</definedName>
    <definedName name="__Pg44">#REF!</definedName>
    <definedName name="__Pg45" localSheetId="4">#REF!</definedName>
    <definedName name="__Pg45">#REF!</definedName>
    <definedName name="__Pg46" localSheetId="4">#REF!</definedName>
    <definedName name="__Pg46">#REF!</definedName>
    <definedName name="__Pg47" localSheetId="4">#REF!</definedName>
    <definedName name="__Pg47">#REF!</definedName>
    <definedName name="__Pg48" localSheetId="4">#REF!</definedName>
    <definedName name="__Pg48">#REF!</definedName>
    <definedName name="__Pg49" localSheetId="4">#REF!</definedName>
    <definedName name="__Pg49">#REF!</definedName>
    <definedName name="__Pg5" localSheetId="4">#REF!</definedName>
    <definedName name="__Pg5">#REF!</definedName>
    <definedName name="__Pg50" localSheetId="4">#REF!</definedName>
    <definedName name="__Pg50">#REF!</definedName>
    <definedName name="__Pg51" localSheetId="4">#REF!</definedName>
    <definedName name="__Pg51">#REF!</definedName>
    <definedName name="__Pg52" localSheetId="4">#REF!</definedName>
    <definedName name="__Pg52">#REF!</definedName>
    <definedName name="__Pg53" localSheetId="4">#REF!</definedName>
    <definedName name="__Pg53">#REF!</definedName>
    <definedName name="__Pg55" localSheetId="4">#REF!</definedName>
    <definedName name="__Pg55">#REF!</definedName>
    <definedName name="__Pg56" localSheetId="4">#REF!</definedName>
    <definedName name="__Pg56">#REF!</definedName>
    <definedName name="__Pg57" localSheetId="4">#REF!</definedName>
    <definedName name="__Pg57">#REF!</definedName>
    <definedName name="__Pg58" localSheetId="4">#REF!</definedName>
    <definedName name="__Pg58">#REF!</definedName>
    <definedName name="__Pg59" localSheetId="4">#REF!</definedName>
    <definedName name="__Pg59">#REF!</definedName>
    <definedName name="__Pg6" localSheetId="4">#REF!</definedName>
    <definedName name="__Pg6">#REF!</definedName>
    <definedName name="__Pg60" localSheetId="4">#REF!</definedName>
    <definedName name="__Pg60">#REF!</definedName>
    <definedName name="__Pg61" localSheetId="4">#REF!</definedName>
    <definedName name="__Pg61">#REF!</definedName>
    <definedName name="__Pg62" localSheetId="4">#REF!</definedName>
    <definedName name="__Pg62">#REF!</definedName>
    <definedName name="__Pg63" localSheetId="4">#REF!</definedName>
    <definedName name="__Pg63">#REF!</definedName>
    <definedName name="__Pg64" localSheetId="4">#REF!</definedName>
    <definedName name="__Pg64">#REF!</definedName>
    <definedName name="__Pg65" localSheetId="4">#REF!</definedName>
    <definedName name="__Pg65">#REF!</definedName>
    <definedName name="__Pg7" localSheetId="4">#REF!</definedName>
    <definedName name="__Pg7">#REF!</definedName>
    <definedName name="__Pg8" localSheetId="4">#REF!</definedName>
    <definedName name="__Pg8">#REF!</definedName>
    <definedName name="__Pg9" localSheetId="4">#REF!</definedName>
    <definedName name="__Pg9">#REF!</definedName>
    <definedName name="__SEC1200" localSheetId="4">#REF!</definedName>
    <definedName name="__SEC1200">#REF!</definedName>
    <definedName name="__td2" localSheetId="6">'[5]MAIN BLD TAKE OFF'!#REF!</definedName>
    <definedName name="__td2" localSheetId="1">'[5]MAIN BLD TAKE OFF'!#REF!</definedName>
    <definedName name="__td2" localSheetId="4">'[5]MAIN BLD TAKE OFF'!#REF!</definedName>
    <definedName name="__td2">'[5]MAIN BLD TAKE OFF'!#REF!</definedName>
    <definedName name="__tl1" localSheetId="6">'[5]MAIN BLD TAKE OFF'!#REF!</definedName>
    <definedName name="__tl1" localSheetId="1">'[5]MAIN BLD TAKE OFF'!#REF!</definedName>
    <definedName name="__tl1" localSheetId="4">'[5]MAIN BLD TAKE OFF'!#REF!</definedName>
    <definedName name="__tl1">'[5]MAIN BLD TAKE OFF'!#REF!</definedName>
    <definedName name="__tl2" localSheetId="6">'[5]MAIN BLD TAKE OFF'!#REF!</definedName>
    <definedName name="__tl2" localSheetId="1">'[5]MAIN BLD TAKE OFF'!#REF!</definedName>
    <definedName name="__tl2" localSheetId="4">'[5]MAIN BLD TAKE OFF'!#REF!</definedName>
    <definedName name="__tl2">'[5]MAIN BLD TAKE OFF'!#REF!</definedName>
    <definedName name="__tw1">'[3]MAIN BLD TAKE OFF'!$I$34</definedName>
    <definedName name="__tw2" localSheetId="6">'[5]MAIN BLD TAKE OFF'!#REF!</definedName>
    <definedName name="__tw2" localSheetId="1">'[5]MAIN BLD TAKE OFF'!#REF!</definedName>
    <definedName name="__tw2" localSheetId="3">'[5]MAIN BLD TAKE OFF'!#REF!</definedName>
    <definedName name="__tw2" localSheetId="7">'[5]MAIN BLD TAKE OFF'!#REF!</definedName>
    <definedName name="__tw2" localSheetId="5">'[5]MAIN BLD TAKE OFF'!#REF!</definedName>
    <definedName name="__tw2" localSheetId="9">'[5]MAIN BLD TAKE OFF'!#REF!</definedName>
    <definedName name="__tw2" localSheetId="11">'[5]MAIN BLD TAKE OFF'!#REF!</definedName>
    <definedName name="__tw2" localSheetId="13">'[5]MAIN BLD TAKE OFF'!#REF!</definedName>
    <definedName name="__tw2" localSheetId="10">'[5]MAIN BLD TAKE OFF'!#REF!</definedName>
    <definedName name="__tw2" localSheetId="12">'[5]MAIN BLD TAKE OFF'!#REF!</definedName>
    <definedName name="__tw2" localSheetId="4">'[5]MAIN BLD TAKE OFF'!#REF!</definedName>
    <definedName name="__tw2">'[5]MAIN BLD TAKE OFF'!#REF!</definedName>
    <definedName name="_1_allcaz">[6]_1_allcaz!$A$1:$BN$1974</definedName>
    <definedName name="_1Excel_BuiltIn_Print_Area_1_1" localSheetId="8">#REF!</definedName>
    <definedName name="_1Excel_BuiltIn_Print_Area_1_1" localSheetId="4">#REF!</definedName>
    <definedName name="_1Excel_BuiltIn_Print_Area_1_1">#REF!</definedName>
    <definedName name="_1Excel_BuiltIn_Print_Titles_15_1" localSheetId="8">#REF!</definedName>
    <definedName name="_1Excel_BuiltIn_Print_Titles_15_1" localSheetId="4">#REF!</definedName>
    <definedName name="_1Excel_BuiltIn_Print_Titles_15_1">#REF!</definedName>
    <definedName name="_3_BEDROOM_SEMI___DETACHED_DUPLEX__134_M2">"5BRM DUPLEX '5BRM DUPLEX (134m2)+'5BRM DUPLEX (134m2)"</definedName>
    <definedName name="_A" localSheetId="2">[7]Sheet1!#REF!</definedName>
    <definedName name="_A" localSheetId="8">[7]Sheet1!#REF!</definedName>
    <definedName name="_A">[7]Sheet1!#REF!</definedName>
    <definedName name="_B" localSheetId="2">[7]Sheet1!#REF!</definedName>
    <definedName name="_B" localSheetId="8">[7]Sheet1!#REF!</definedName>
    <definedName name="_B">[7]Sheet1!#REF!</definedName>
    <definedName name="_B242498" localSheetId="8">#REF!</definedName>
    <definedName name="_B242498" localSheetId="4">#REF!</definedName>
    <definedName name="_B242498">#REF!</definedName>
    <definedName name="_B80266" localSheetId="3">#REF!</definedName>
    <definedName name="_B80266" localSheetId="7">#REF!</definedName>
    <definedName name="_B80266" localSheetId="5">#REF!</definedName>
    <definedName name="_B80266" localSheetId="9">#REF!</definedName>
    <definedName name="_B80266" localSheetId="11">#REF!</definedName>
    <definedName name="_B80266" localSheetId="13">#REF!</definedName>
    <definedName name="_B80266" localSheetId="10">#REF!</definedName>
    <definedName name="_B80266" localSheetId="12">#REF!</definedName>
    <definedName name="_B80266" localSheetId="4">#REF!</definedName>
    <definedName name="_B80266">#REF!</definedName>
    <definedName name="_B90266" localSheetId="3">#REF!</definedName>
    <definedName name="_B90266" localSheetId="7">#REF!</definedName>
    <definedName name="_B90266" localSheetId="5">#REF!</definedName>
    <definedName name="_B90266" localSheetId="9">#REF!</definedName>
    <definedName name="_B90266" localSheetId="11">#REF!</definedName>
    <definedName name="_B90266" localSheetId="13">#REF!</definedName>
    <definedName name="_B90266" localSheetId="4">#REF!</definedName>
    <definedName name="_B90266">#REF!</definedName>
    <definedName name="_B99106" localSheetId="3">#REF!</definedName>
    <definedName name="_B99106" localSheetId="7">#REF!</definedName>
    <definedName name="_B99106" localSheetId="5">#REF!</definedName>
    <definedName name="_B99106" localSheetId="9">#REF!</definedName>
    <definedName name="_B99106" localSheetId="11">#REF!</definedName>
    <definedName name="_B99106" localSheetId="13">#REF!</definedName>
    <definedName name="_B99106" localSheetId="4">#REF!</definedName>
    <definedName name="_B99106">#REF!</definedName>
    <definedName name="_C" localSheetId="2">[7]Sheet1!#REF!</definedName>
    <definedName name="_C" localSheetId="8">[7]Sheet1!#REF!</definedName>
    <definedName name="_C" localSheetId="4">[7]Sheet1!#REF!</definedName>
    <definedName name="_C">[7]Sheet1!#REF!</definedName>
    <definedName name="_cbd1" localSheetId="6">'[5]MAIN BLD TAKE OFF'!#REF!</definedName>
    <definedName name="_cbd1" localSheetId="1">'[5]MAIN BLD TAKE OFF'!#REF!</definedName>
    <definedName name="_cbd1" localSheetId="3">'[5]MAIN BLD TAKE OFF'!#REF!</definedName>
    <definedName name="_cbd1" localSheetId="7">'[5]MAIN BLD TAKE OFF'!#REF!</definedName>
    <definedName name="_cbd1" localSheetId="5">'[5]MAIN BLD TAKE OFF'!#REF!</definedName>
    <definedName name="_cbd1" localSheetId="9">'[5]MAIN BLD TAKE OFF'!#REF!</definedName>
    <definedName name="_cbd1" localSheetId="11">'[5]MAIN BLD TAKE OFF'!#REF!</definedName>
    <definedName name="_cbd1" localSheetId="13">'[5]MAIN BLD TAKE OFF'!#REF!</definedName>
    <definedName name="_cbd1" localSheetId="10">'[5]MAIN BLD TAKE OFF'!#REF!</definedName>
    <definedName name="_cbd1" localSheetId="12">'[5]MAIN BLD TAKE OFF'!#REF!</definedName>
    <definedName name="_cbd1" localSheetId="4">'[5]MAIN BLD TAKE OFF'!#REF!</definedName>
    <definedName name="_cbd1">'[5]MAIN BLD TAKE OFF'!#REF!</definedName>
    <definedName name="_cbd2" localSheetId="6">'[5]MAIN BLD TAKE OFF'!#REF!</definedName>
    <definedName name="_cbd2" localSheetId="1">'[5]MAIN BLD TAKE OFF'!#REF!</definedName>
    <definedName name="_cbd2" localSheetId="3">'[5]MAIN BLD TAKE OFF'!#REF!</definedName>
    <definedName name="_cbd2" localSheetId="7">'[5]MAIN BLD TAKE OFF'!#REF!</definedName>
    <definedName name="_cbd2" localSheetId="5">'[5]MAIN BLD TAKE OFF'!#REF!</definedName>
    <definedName name="_cbd2" localSheetId="9">'[5]MAIN BLD TAKE OFF'!#REF!</definedName>
    <definedName name="_cbd2" localSheetId="11">'[5]MAIN BLD TAKE OFF'!#REF!</definedName>
    <definedName name="_cbd2" localSheetId="13">'[5]MAIN BLD TAKE OFF'!#REF!</definedName>
    <definedName name="_cbd2" localSheetId="10">'[5]MAIN BLD TAKE OFF'!#REF!</definedName>
    <definedName name="_cbd2" localSheetId="12">'[5]MAIN BLD TAKE OFF'!#REF!</definedName>
    <definedName name="_cbd2" localSheetId="4">'[5]MAIN BLD TAKE OFF'!#REF!</definedName>
    <definedName name="_cbd2">'[5]MAIN BLD TAKE OFF'!#REF!</definedName>
    <definedName name="_cbd3" localSheetId="6">'[5]MAIN BLD TAKE OFF'!#REF!</definedName>
    <definedName name="_cbd3" localSheetId="1">'[5]MAIN BLD TAKE OFF'!#REF!</definedName>
    <definedName name="_cbd3" localSheetId="4">'[5]MAIN BLD TAKE OFF'!#REF!</definedName>
    <definedName name="_cbd3">'[5]MAIN BLD TAKE OFF'!#REF!</definedName>
    <definedName name="_D" localSheetId="2">[7]Sheet1!#REF!</definedName>
    <definedName name="_D">[7]Sheet1!#REF!</definedName>
    <definedName name="_Dem1" localSheetId="8">#REF!</definedName>
    <definedName name="_Dem1" localSheetId="4">#REF!</definedName>
    <definedName name="_Dem1">#REF!</definedName>
    <definedName name="_Dem2" localSheetId="8">#REF!</definedName>
    <definedName name="_Dem2" localSheetId="4">#REF!</definedName>
    <definedName name="_Dem2">#REF!</definedName>
    <definedName name="_dem3" localSheetId="8">#REF!</definedName>
    <definedName name="_dem3" localSheetId="4">#REF!</definedName>
    <definedName name="_dem3">#REF!</definedName>
    <definedName name="_dem4" localSheetId="4">#REF!</definedName>
    <definedName name="_dem4">#REF!</definedName>
    <definedName name="_drg1" localSheetId="4">#REF!</definedName>
    <definedName name="_drg1">#REF!</definedName>
    <definedName name="_drg2" localSheetId="4">#REF!</definedName>
    <definedName name="_drg2">#REF!</definedName>
    <definedName name="_drg3" localSheetId="4">#REF!</definedName>
    <definedName name="_drg3">#REF!</definedName>
    <definedName name="_E" localSheetId="2">[7]Sheet1!#REF!</definedName>
    <definedName name="_E" localSheetId="8">[7]Sheet1!#REF!</definedName>
    <definedName name="_E" localSheetId="4">[7]Sheet1!#REF!</definedName>
    <definedName name="_E">[7]Sheet1!#REF!</definedName>
    <definedName name="_F" localSheetId="2">[7]Sheet1!#REF!</definedName>
    <definedName name="_F" localSheetId="8">[7]Sheet1!#REF!</definedName>
    <definedName name="_F" localSheetId="4">[7]Sheet1!#REF!</definedName>
    <definedName name="_F">[7]Sheet1!#REF!</definedName>
    <definedName name="_Fill" localSheetId="1" hidden="1">#REF!</definedName>
    <definedName name="_Fill" localSheetId="2" hidden="1">#REF!</definedName>
    <definedName name="_Fill" localSheetId="3" hidden="1">#REF!</definedName>
    <definedName name="_Fill" localSheetId="7" hidden="1">#REF!</definedName>
    <definedName name="_Fill" localSheetId="5" hidden="1">#REF!</definedName>
    <definedName name="_Fill" localSheetId="9" hidden="1">#REF!</definedName>
    <definedName name="_Fill" localSheetId="11" hidden="1">#REF!</definedName>
    <definedName name="_Fill" localSheetId="13" hidden="1">#REF!</definedName>
    <definedName name="_Fill" localSheetId="10" hidden="1">#REF!</definedName>
    <definedName name="_Fill" localSheetId="12" hidden="1">#REF!</definedName>
    <definedName name="_Fill" localSheetId="4" hidden="1">#REF!</definedName>
    <definedName name="_Fill" hidden="1">#REF!</definedName>
    <definedName name="_FR_?__" localSheetId="2">[7]Sheet1!#REF!</definedName>
    <definedName name="_FR_?__" localSheetId="8">[7]Sheet1!#REF!</definedName>
    <definedName name="_FR_?__" localSheetId="4">[7]Sheet1!#REF!</definedName>
    <definedName name="_FR_?__">[7]Sheet1!#REF!</definedName>
    <definedName name="_G" localSheetId="2">[7]Sheet1!#REF!</definedName>
    <definedName name="_G" localSheetId="8">[7]Sheet1!#REF!</definedName>
    <definedName name="_G" localSheetId="4">[7]Sheet1!#REF!</definedName>
    <definedName name="_G">[7]Sheet1!#REF!</definedName>
    <definedName name="_Gen1" localSheetId="8">#REF!</definedName>
    <definedName name="_Gen1" localSheetId="4">#REF!</definedName>
    <definedName name="_Gen1">#REF!</definedName>
    <definedName name="_Gen2" localSheetId="8">#REF!</definedName>
    <definedName name="_Gen2" localSheetId="4">#REF!</definedName>
    <definedName name="_Gen2">#REF!</definedName>
    <definedName name="_H" localSheetId="2">[7]Sheet1!#REF!</definedName>
    <definedName name="_H" localSheetId="8">[7]Sheet1!#REF!</definedName>
    <definedName name="_H" localSheetId="4">[7]Sheet1!#REF!</definedName>
    <definedName name="_H">[7]Sheet1!#REF!</definedName>
    <definedName name="_I" localSheetId="2">[7]Sheet1!#REF!</definedName>
    <definedName name="_I" localSheetId="8">[7]Sheet1!#REF!</definedName>
    <definedName name="_I" localSheetId="4">[7]Sheet1!#REF!</definedName>
    <definedName name="_I">[7]Sheet1!#REF!</definedName>
    <definedName name="_J" localSheetId="2">[7]Sheet1!#REF!</definedName>
    <definedName name="_J" localSheetId="8">[7]Sheet1!#REF!</definedName>
    <definedName name="_J">[7]Sheet1!#REF!</definedName>
    <definedName name="_K" localSheetId="2">[7]Sheet1!#REF!</definedName>
    <definedName name="_K" localSheetId="8">[7]Sheet1!#REF!</definedName>
    <definedName name="_K">[7]Sheet1!#REF!</definedName>
    <definedName name="_L" localSheetId="2">[7]Sheet1!#REF!</definedName>
    <definedName name="_L" localSheetId="8">[7]Sheet1!#REF!</definedName>
    <definedName name="_L">[7]Sheet1!#REF!</definedName>
    <definedName name="_M" localSheetId="2">[7]Sheet1!#REF!</definedName>
    <definedName name="_M">[7]Sheet1!#REF!</definedName>
    <definedName name="_N" localSheetId="2">[7]Sheet1!#REF!</definedName>
    <definedName name="_N">[7]Sheet1!#REF!</definedName>
    <definedName name="_Order1" hidden="1">255</definedName>
    <definedName name="_Order2" hidden="1">255</definedName>
    <definedName name="_P" localSheetId="2">[7]Sheet1!#REF!</definedName>
    <definedName name="_P">[7]Sheet1!#REF!</definedName>
    <definedName name="_Pg1" localSheetId="8">#REF!</definedName>
    <definedName name="_Pg1" localSheetId="4">#REF!</definedName>
    <definedName name="_Pg1">#REF!</definedName>
    <definedName name="_Pg10" localSheetId="8">#REF!</definedName>
    <definedName name="_Pg10" localSheetId="4">#REF!</definedName>
    <definedName name="_Pg10">#REF!</definedName>
    <definedName name="_Pg13" localSheetId="8">#REF!</definedName>
    <definedName name="_Pg13" localSheetId="4">#REF!</definedName>
    <definedName name="_Pg13">#REF!</definedName>
    <definedName name="_Pg14" localSheetId="4">#REF!</definedName>
    <definedName name="_Pg14">#REF!</definedName>
    <definedName name="_Pg15" localSheetId="4">#REF!</definedName>
    <definedName name="_Pg15">#REF!</definedName>
    <definedName name="_Pg16" localSheetId="4">#REF!</definedName>
    <definedName name="_Pg16">#REF!</definedName>
    <definedName name="_Pg17" localSheetId="4">#REF!</definedName>
    <definedName name="_Pg17">#REF!</definedName>
    <definedName name="_Pg18" localSheetId="4">#REF!</definedName>
    <definedName name="_Pg18">#REF!</definedName>
    <definedName name="_Pg19" localSheetId="4">#REF!</definedName>
    <definedName name="_Pg19">#REF!</definedName>
    <definedName name="_Pg2" localSheetId="4">#REF!</definedName>
    <definedName name="_Pg2">#REF!</definedName>
    <definedName name="_Pg20" localSheetId="4">#REF!</definedName>
    <definedName name="_Pg20">#REF!</definedName>
    <definedName name="_Pg21" localSheetId="4">#REF!</definedName>
    <definedName name="_Pg21">#REF!</definedName>
    <definedName name="_Pg22" localSheetId="4">#REF!</definedName>
    <definedName name="_Pg22">#REF!</definedName>
    <definedName name="_Pg23" localSheetId="4">#REF!</definedName>
    <definedName name="_Pg23">#REF!</definedName>
    <definedName name="_Pg24" localSheetId="4">#REF!</definedName>
    <definedName name="_Pg24">#REF!</definedName>
    <definedName name="_Pg25" localSheetId="4">#REF!</definedName>
    <definedName name="_Pg25">#REF!</definedName>
    <definedName name="_Pg26" localSheetId="4">#REF!</definedName>
    <definedName name="_Pg26">#REF!</definedName>
    <definedName name="_Pg27" localSheetId="4">#REF!</definedName>
    <definedName name="_Pg27">#REF!</definedName>
    <definedName name="_Pg28" localSheetId="4">#REF!</definedName>
    <definedName name="_Pg28">#REF!</definedName>
    <definedName name="_Pg29" localSheetId="4">#REF!</definedName>
    <definedName name="_Pg29">#REF!</definedName>
    <definedName name="_Pg3" localSheetId="4">#REF!</definedName>
    <definedName name="_Pg3">#REF!</definedName>
    <definedName name="_Pg30" localSheetId="4">#REF!</definedName>
    <definedName name="_Pg30">#REF!</definedName>
    <definedName name="_Pg31" localSheetId="4">#REF!</definedName>
    <definedName name="_Pg31">#REF!</definedName>
    <definedName name="_Pg32" localSheetId="4">#REF!</definedName>
    <definedName name="_Pg32">#REF!</definedName>
    <definedName name="_Pg33" localSheetId="4">#REF!</definedName>
    <definedName name="_Pg33">#REF!</definedName>
    <definedName name="_Pg34" localSheetId="4">#REF!</definedName>
    <definedName name="_Pg34">#REF!</definedName>
    <definedName name="_Pg35" localSheetId="4">#REF!</definedName>
    <definedName name="_Pg35">#REF!</definedName>
    <definedName name="_Pg36" localSheetId="4">#REF!</definedName>
    <definedName name="_Pg36">#REF!</definedName>
    <definedName name="_Pg37" localSheetId="4">#REF!</definedName>
    <definedName name="_Pg37">#REF!</definedName>
    <definedName name="_Pg38" localSheetId="4">#REF!</definedName>
    <definedName name="_Pg38">#REF!</definedName>
    <definedName name="_Pg39" localSheetId="4">#REF!</definedName>
    <definedName name="_Pg39">#REF!</definedName>
    <definedName name="_Pg4" localSheetId="4">#REF!</definedName>
    <definedName name="_Pg4">#REF!</definedName>
    <definedName name="_Pg40" localSheetId="4">#REF!</definedName>
    <definedName name="_Pg40">#REF!</definedName>
    <definedName name="_Pg41" localSheetId="4">#REF!</definedName>
    <definedName name="_Pg41">#REF!</definedName>
    <definedName name="_Pg42" localSheetId="4">#REF!</definedName>
    <definedName name="_Pg42">#REF!</definedName>
    <definedName name="_Pg43" localSheetId="4">#REF!</definedName>
    <definedName name="_Pg43">#REF!</definedName>
    <definedName name="_Pg44" localSheetId="4">#REF!</definedName>
    <definedName name="_Pg44">#REF!</definedName>
    <definedName name="_Pg45" localSheetId="4">#REF!</definedName>
    <definedName name="_Pg45">#REF!</definedName>
    <definedName name="_Pg46" localSheetId="4">#REF!</definedName>
    <definedName name="_Pg46">#REF!</definedName>
    <definedName name="_Pg47" localSheetId="4">#REF!</definedName>
    <definedName name="_Pg47">#REF!</definedName>
    <definedName name="_Pg48" localSheetId="4">#REF!</definedName>
    <definedName name="_Pg48">#REF!</definedName>
    <definedName name="_Pg49" localSheetId="4">#REF!</definedName>
    <definedName name="_Pg49">#REF!</definedName>
    <definedName name="_Pg5" localSheetId="4">#REF!</definedName>
    <definedName name="_Pg5">#REF!</definedName>
    <definedName name="_Pg50" localSheetId="4">#REF!</definedName>
    <definedName name="_Pg50">#REF!</definedName>
    <definedName name="_Pg51" localSheetId="4">#REF!</definedName>
    <definedName name="_Pg51">#REF!</definedName>
    <definedName name="_Pg52" localSheetId="4">#REF!</definedName>
    <definedName name="_Pg52">#REF!</definedName>
    <definedName name="_Pg53" localSheetId="4">#REF!</definedName>
    <definedName name="_Pg53">#REF!</definedName>
    <definedName name="_Pg55" localSheetId="4">#REF!</definedName>
    <definedName name="_Pg55">#REF!</definedName>
    <definedName name="_Pg56" localSheetId="4">#REF!</definedName>
    <definedName name="_Pg56">#REF!</definedName>
    <definedName name="_Pg57" localSheetId="4">#REF!</definedName>
    <definedName name="_Pg57">#REF!</definedName>
    <definedName name="_Pg58" localSheetId="4">#REF!</definedName>
    <definedName name="_Pg58">#REF!</definedName>
    <definedName name="_Pg59" localSheetId="4">#REF!</definedName>
    <definedName name="_Pg59">#REF!</definedName>
    <definedName name="_Pg6" localSheetId="4">#REF!</definedName>
    <definedName name="_Pg6">#REF!</definedName>
    <definedName name="_Pg60" localSheetId="4">#REF!</definedName>
    <definedName name="_Pg60">#REF!</definedName>
    <definedName name="_Pg61" localSheetId="4">#REF!</definedName>
    <definedName name="_Pg61">#REF!</definedName>
    <definedName name="_Pg62" localSheetId="4">#REF!</definedName>
    <definedName name="_Pg62">#REF!</definedName>
    <definedName name="_Pg63" localSheetId="4">#REF!</definedName>
    <definedName name="_Pg63">#REF!</definedName>
    <definedName name="_Pg64" localSheetId="4">#REF!</definedName>
    <definedName name="_Pg64">#REF!</definedName>
    <definedName name="_Pg65" localSheetId="4">#REF!</definedName>
    <definedName name="_Pg65">#REF!</definedName>
    <definedName name="_Pg7" localSheetId="4">#REF!</definedName>
    <definedName name="_Pg7">#REF!</definedName>
    <definedName name="_Pg8" localSheetId="4">#REF!</definedName>
    <definedName name="_Pg8">#REF!</definedName>
    <definedName name="_Pg9" localSheetId="4">#REF!</definedName>
    <definedName name="_Pg9">#REF!</definedName>
    <definedName name="_Q" localSheetId="2">[7]Sheet1!#REF!</definedName>
    <definedName name="_Q" localSheetId="8">[7]Sheet1!#REF!</definedName>
    <definedName name="_Q" localSheetId="4">[7]Sheet1!#REF!</definedName>
    <definedName name="_Q">[7]Sheet1!#REF!</definedName>
    <definedName name="_R" localSheetId="2">[7]Sheet1!#REF!</definedName>
    <definedName name="_R" localSheetId="8">[7]Sheet1!#REF!</definedName>
    <definedName name="_R" localSheetId="4">[7]Sheet1!#REF!</definedName>
    <definedName name="_R">[7]Sheet1!#REF!</definedName>
    <definedName name="_S" localSheetId="2">[7]Sheet1!#REF!</definedName>
    <definedName name="_S" localSheetId="8">[7]Sheet1!#REF!</definedName>
    <definedName name="_S">[7]Sheet1!#REF!</definedName>
    <definedName name="_SEC1200" localSheetId="2">#REF!</definedName>
    <definedName name="_SEC1200" localSheetId="8">#REF!</definedName>
    <definedName name="_SEC1200" localSheetId="4">#REF!</definedName>
    <definedName name="_SEC1200">#REF!</definedName>
    <definedName name="_SK1" localSheetId="1">#REF!</definedName>
    <definedName name="_SK1" localSheetId="3">#REF!</definedName>
    <definedName name="_SK1" localSheetId="7">#REF!</definedName>
    <definedName name="_SK1" localSheetId="5">#REF!</definedName>
    <definedName name="_SK1" localSheetId="9">#REF!</definedName>
    <definedName name="_SK1" localSheetId="11">#REF!</definedName>
    <definedName name="_SK1" localSheetId="13">#REF!</definedName>
    <definedName name="_SK1" localSheetId="10">#REF!</definedName>
    <definedName name="_SK1" localSheetId="12">#REF!</definedName>
    <definedName name="_SK1" localSheetId="4">#REF!</definedName>
    <definedName name="_SK1">#REF!</definedName>
    <definedName name="_st1" localSheetId="2">#REF!</definedName>
    <definedName name="_st1" localSheetId="4">#REF!</definedName>
    <definedName name="_st1">#REF!</definedName>
    <definedName name="_st2" localSheetId="4">#REF!</definedName>
    <definedName name="_st2">#REF!</definedName>
    <definedName name="_str1" localSheetId="4">#REF!</definedName>
    <definedName name="_str1">#REF!</definedName>
    <definedName name="_str2" localSheetId="4">#REF!</definedName>
    <definedName name="_str2">#REF!</definedName>
    <definedName name="_stw1" localSheetId="4">#REF!</definedName>
    <definedName name="_stw1">#REF!</definedName>
    <definedName name="_stw2" localSheetId="4">#REF!</definedName>
    <definedName name="_stw2">#REF!</definedName>
    <definedName name="_stw3" localSheetId="4">#REF!</definedName>
    <definedName name="_stw3">#REF!</definedName>
    <definedName name="_sub1" localSheetId="4">#REF!</definedName>
    <definedName name="_sub1">#REF!</definedName>
    <definedName name="_sub2" localSheetId="4">#REF!</definedName>
    <definedName name="_sub2">#REF!</definedName>
    <definedName name="_sub3" localSheetId="4">#REF!</definedName>
    <definedName name="_sub3">#REF!</definedName>
    <definedName name="_sw1" localSheetId="4">#REF!</definedName>
    <definedName name="_sw1">#REF!</definedName>
    <definedName name="_sw3" localSheetId="4">#REF!</definedName>
    <definedName name="_sw3">#REF!</definedName>
    <definedName name="_swd1" localSheetId="4">#REF!</definedName>
    <definedName name="_swd1">#REF!</definedName>
    <definedName name="_swd2" localSheetId="4">#REF!</definedName>
    <definedName name="_swd2">#REF!</definedName>
    <definedName name="_T" localSheetId="2">[7]Sheet1!#REF!</definedName>
    <definedName name="_T" localSheetId="8">[7]Sheet1!#REF!</definedName>
    <definedName name="_T" localSheetId="4">[7]Sheet1!#REF!</definedName>
    <definedName name="_T">[7]Sheet1!#REF!</definedName>
    <definedName name="_tab1" localSheetId="8">#REF!</definedName>
    <definedName name="_tab1" localSheetId="4">#REF!</definedName>
    <definedName name="_tab1">#REF!</definedName>
    <definedName name="_td2" localSheetId="6">'[5]MAIN BLD TAKE OFF'!#REF!</definedName>
    <definedName name="_td2" localSheetId="1">'[5]MAIN BLD TAKE OFF'!#REF!</definedName>
    <definedName name="_td2" localSheetId="3">'[5]MAIN BLD TAKE OFF'!#REF!</definedName>
    <definedName name="_td2" localSheetId="7">'[5]MAIN BLD TAKE OFF'!#REF!</definedName>
    <definedName name="_td2" localSheetId="5">'[5]MAIN BLD TAKE OFF'!#REF!</definedName>
    <definedName name="_td2" localSheetId="9">'[5]MAIN BLD TAKE OFF'!#REF!</definedName>
    <definedName name="_td2" localSheetId="11">'[5]MAIN BLD TAKE OFF'!#REF!</definedName>
    <definedName name="_td2" localSheetId="13">'[5]MAIN BLD TAKE OFF'!#REF!</definedName>
    <definedName name="_td2" localSheetId="8">'[5]MAIN BLD TAKE OFF'!#REF!</definedName>
    <definedName name="_td2" localSheetId="10">'[5]MAIN BLD TAKE OFF'!#REF!</definedName>
    <definedName name="_td2" localSheetId="12">'[5]MAIN BLD TAKE OFF'!#REF!</definedName>
    <definedName name="_td2" localSheetId="4">'[5]MAIN BLD TAKE OFF'!#REF!</definedName>
    <definedName name="_td2">'[5]MAIN BLD TAKE OFF'!#REF!</definedName>
    <definedName name="_tl1" localSheetId="6">'[5]MAIN BLD TAKE OFF'!#REF!</definedName>
    <definedName name="_tl1" localSheetId="1">'[5]MAIN BLD TAKE OFF'!#REF!</definedName>
    <definedName name="_tl1" localSheetId="3">'[5]MAIN BLD TAKE OFF'!#REF!</definedName>
    <definedName name="_tl1" localSheetId="7">'[5]MAIN BLD TAKE OFF'!#REF!</definedName>
    <definedName name="_tl1" localSheetId="5">'[5]MAIN BLD TAKE OFF'!#REF!</definedName>
    <definedName name="_tl1" localSheetId="9">'[5]MAIN BLD TAKE OFF'!#REF!</definedName>
    <definedName name="_tl1" localSheetId="11">'[5]MAIN BLD TAKE OFF'!#REF!</definedName>
    <definedName name="_tl1" localSheetId="4">'[5]MAIN BLD TAKE OFF'!#REF!</definedName>
    <definedName name="_tl1">'[5]MAIN BLD TAKE OFF'!#REF!</definedName>
    <definedName name="_tl2" localSheetId="6">'[5]MAIN BLD TAKE OFF'!#REF!</definedName>
    <definedName name="_tl2" localSheetId="1">'[5]MAIN BLD TAKE OFF'!#REF!</definedName>
    <definedName name="_tl2" localSheetId="3">'[5]MAIN BLD TAKE OFF'!#REF!</definedName>
    <definedName name="_tl2" localSheetId="7">'[5]MAIN BLD TAKE OFF'!#REF!</definedName>
    <definedName name="_tl2" localSheetId="5">'[5]MAIN BLD TAKE OFF'!#REF!</definedName>
    <definedName name="_tl2" localSheetId="9">'[5]MAIN BLD TAKE OFF'!#REF!</definedName>
    <definedName name="_tl2" localSheetId="11">'[5]MAIN BLD TAKE OFF'!#REF!</definedName>
    <definedName name="_tl2" localSheetId="4">'[5]MAIN BLD TAKE OFF'!#REF!</definedName>
    <definedName name="_tl2">'[5]MAIN BLD TAKE OFF'!#REF!</definedName>
    <definedName name="_tw1">'[3]MAIN BLD TAKE OFF'!$I$34</definedName>
    <definedName name="_tw2" localSheetId="6">'[5]MAIN BLD TAKE OFF'!#REF!</definedName>
    <definedName name="_tw2" localSheetId="1">'[5]MAIN BLD TAKE OFF'!#REF!</definedName>
    <definedName name="_tw2" localSheetId="3">'[5]MAIN BLD TAKE OFF'!#REF!</definedName>
    <definedName name="_tw2" localSheetId="7">'[5]MAIN BLD TAKE OFF'!#REF!</definedName>
    <definedName name="_tw2" localSheetId="5">'[5]MAIN BLD TAKE OFF'!#REF!</definedName>
    <definedName name="_tw2" localSheetId="9">'[5]MAIN BLD TAKE OFF'!#REF!</definedName>
    <definedName name="_tw2" localSheetId="11">'[5]MAIN BLD TAKE OFF'!#REF!</definedName>
    <definedName name="_tw2" localSheetId="13">'[5]MAIN BLD TAKE OFF'!#REF!</definedName>
    <definedName name="_tw2" localSheetId="10">'[5]MAIN BLD TAKE OFF'!#REF!</definedName>
    <definedName name="_tw2" localSheetId="12">'[5]MAIN BLD TAKE OFF'!#REF!</definedName>
    <definedName name="_tw2" localSheetId="4">'[5]MAIN BLD TAKE OFF'!#REF!</definedName>
    <definedName name="_tw2">'[5]MAIN BLD TAKE OFF'!#REF!</definedName>
    <definedName name="_U" localSheetId="2">[7]Sheet1!#REF!</definedName>
    <definedName name="_U">[7]Sheet1!#REF!</definedName>
    <definedName name="_V" localSheetId="2">[7]Sheet1!#REF!</definedName>
    <definedName name="_V">[7]Sheet1!#REF!</definedName>
    <definedName name="_wal1" localSheetId="2">#REF!</definedName>
    <definedName name="_wal1" localSheetId="8">#REF!</definedName>
    <definedName name="_wal1" localSheetId="4">#REF!</definedName>
    <definedName name="_wal1">#REF!</definedName>
    <definedName name="_wal2" localSheetId="2">#REF!</definedName>
    <definedName name="_wal2" localSheetId="8">#REF!</definedName>
    <definedName name="_wal2" localSheetId="4">#REF!</definedName>
    <definedName name="_wal2">#REF!</definedName>
    <definedName name="_wf1" localSheetId="8">#REF!</definedName>
    <definedName name="_wf1" localSheetId="4">#REF!</definedName>
    <definedName name="_wf1">#REF!</definedName>
    <definedName name="_wf2" localSheetId="4">#REF!</definedName>
    <definedName name="_wf2">#REF!</definedName>
    <definedName name="_wl1" localSheetId="4">#REF!</definedName>
    <definedName name="_wl1">#REF!</definedName>
    <definedName name="_wl2" localSheetId="4">#REF!</definedName>
    <definedName name="_wl2">#REF!</definedName>
    <definedName name="_wl3" localSheetId="4">#REF!</definedName>
    <definedName name="_wl3">#REF!</definedName>
    <definedName name="_ws2" localSheetId="4">#REF!</definedName>
    <definedName name="_ws2">#REF!</definedName>
    <definedName name="_X" localSheetId="2">[7]Sheet1!#REF!</definedName>
    <definedName name="_X" localSheetId="4">[7]Sheet1!#REF!</definedName>
    <definedName name="_X">[7]Sheet1!#REF!</definedName>
    <definedName name="_Y" localSheetId="2">[7]Sheet1!#REF!</definedName>
    <definedName name="_Y" localSheetId="4">[7]Sheet1!#REF!</definedName>
    <definedName name="_Y">[7]Sheet1!#REF!</definedName>
    <definedName name="_Z" localSheetId="2">[7]Sheet1!#REF!</definedName>
    <definedName name="_Z">[7]Sheet1!#REF!</definedName>
    <definedName name="_zubair" localSheetId="8">#REF!</definedName>
    <definedName name="_zubair" localSheetId="4">#REF!</definedName>
    <definedName name="_zubair">#REF!</definedName>
    <definedName name="A" localSheetId="6">#REF!</definedName>
    <definedName name="A" localSheetId="1">#REF!</definedName>
    <definedName name="A" localSheetId="2">#REF!</definedName>
    <definedName name="A" localSheetId="3">#REF!</definedName>
    <definedName name="A" localSheetId="7">#REF!</definedName>
    <definedName name="A" localSheetId="5">#REF!</definedName>
    <definedName name="A" localSheetId="9">#REF!</definedName>
    <definedName name="A" localSheetId="11">#REF!</definedName>
    <definedName name="A" localSheetId="13">#REF!</definedName>
    <definedName name="A" localSheetId="10">#REF!</definedName>
    <definedName name="A" localSheetId="12">#REF!</definedName>
    <definedName name="A" localSheetId="4">#REF!</definedName>
    <definedName name="A">#REF!</definedName>
    <definedName name="a1a1a" localSheetId="1">{#N/A,#N/A,FALSE,"Cashflow"}</definedName>
    <definedName name="a1a1a" localSheetId="3">{#N/A,#N/A,FALSE,"Cashflow"}</definedName>
    <definedName name="a1a1a" localSheetId="7">{#N/A,#N/A,FALSE,"Cashflow"}</definedName>
    <definedName name="a1a1a" localSheetId="5">{#N/A,#N/A,FALSE,"Cashflow"}</definedName>
    <definedName name="a1a1a" localSheetId="9">{#N/A,#N/A,FALSE,"Cashflow"}</definedName>
    <definedName name="a1a1a" localSheetId="11">{#N/A,#N/A,FALSE,"Cashflow"}</definedName>
    <definedName name="a1a1a" localSheetId="13">{#N/A,#N/A,FALSE,"Cashflow"}</definedName>
    <definedName name="a1a1a" localSheetId="8">{#N/A,#N/A,FALSE,"Cashflow"}</definedName>
    <definedName name="a1a1a" localSheetId="10">{#N/A,#N/A,FALSE,"Cashflow"}</definedName>
    <definedName name="a1a1a" localSheetId="12">{#N/A,#N/A,FALSE,"Cashflow"}</definedName>
    <definedName name="a1a1a" localSheetId="4">{#N/A,#N/A,FALSE,"Cashflow"}</definedName>
    <definedName name="a1a1a">{#N/A,#N/A,FALSE,"Cashflow"}</definedName>
    <definedName name="a1a1a1a1" localSheetId="1">{#N/A,#N/A,FALSE,"Capacity"}</definedName>
    <definedName name="a1a1a1a1" localSheetId="3">{#N/A,#N/A,FALSE,"Capacity"}</definedName>
    <definedName name="a1a1a1a1" localSheetId="7">{#N/A,#N/A,FALSE,"Capacity"}</definedName>
    <definedName name="a1a1a1a1" localSheetId="5">{#N/A,#N/A,FALSE,"Capacity"}</definedName>
    <definedName name="a1a1a1a1" localSheetId="9">{#N/A,#N/A,FALSE,"Capacity"}</definedName>
    <definedName name="a1a1a1a1" localSheetId="11">{#N/A,#N/A,FALSE,"Capacity"}</definedName>
    <definedName name="a1a1a1a1" localSheetId="13">{#N/A,#N/A,FALSE,"Capacity"}</definedName>
    <definedName name="a1a1a1a1" localSheetId="8">{#N/A,#N/A,FALSE,"Capacity"}</definedName>
    <definedName name="a1a1a1a1" localSheetId="10">{#N/A,#N/A,FALSE,"Capacity"}</definedName>
    <definedName name="a1a1a1a1" localSheetId="12">{#N/A,#N/A,FALSE,"Capacity"}</definedName>
    <definedName name="a1a1a1a1" localSheetId="4">{#N/A,#N/A,FALSE,"Capacity"}</definedName>
    <definedName name="a1a1a1a1">{#N/A,#N/A,FALSE,"Capacity"}</definedName>
    <definedName name="aa" localSheetId="1" hidden="1">{#N/A,#N/A,FALSE,"II-2 POP.HH";#N/A,#N/A,FALSE,"II-3 AGE.DIST";#N/A,#N/A,FALSE,"II-4 HH.DIST";#N/A,#N/A,FALSE,"II-5 EMP.INDUS"}</definedName>
    <definedName name="aa" localSheetId="2">#REF!</definedName>
    <definedName name="aa" localSheetId="3" hidden="1">{#N/A,#N/A,FALSE,"II-2 POP.HH";#N/A,#N/A,FALSE,"II-3 AGE.DIST";#N/A,#N/A,FALSE,"II-4 HH.DIST";#N/A,#N/A,FALSE,"II-5 EMP.INDUS"}</definedName>
    <definedName name="aa" localSheetId="7" hidden="1">{#N/A,#N/A,FALSE,"II-2 POP.HH";#N/A,#N/A,FALSE,"II-3 AGE.DIST";#N/A,#N/A,FALSE,"II-4 HH.DIST";#N/A,#N/A,FALSE,"II-5 EMP.INDUS"}</definedName>
    <definedName name="aa" localSheetId="5" hidden="1">{#N/A,#N/A,FALSE,"II-2 POP.HH";#N/A,#N/A,FALSE,"II-3 AGE.DIST";#N/A,#N/A,FALSE,"II-4 HH.DIST";#N/A,#N/A,FALSE,"II-5 EMP.INDUS"}</definedName>
    <definedName name="aa" localSheetId="9" hidden="1">{#N/A,#N/A,FALSE,"II-2 POP.HH";#N/A,#N/A,FALSE,"II-3 AGE.DIST";#N/A,#N/A,FALSE,"II-4 HH.DIST";#N/A,#N/A,FALSE,"II-5 EMP.INDUS"}</definedName>
    <definedName name="aa" localSheetId="11" hidden="1">{#N/A,#N/A,FALSE,"II-2 POP.HH";#N/A,#N/A,FALSE,"II-3 AGE.DIST";#N/A,#N/A,FALSE,"II-4 HH.DIST";#N/A,#N/A,FALSE,"II-5 EMP.INDUS"}</definedName>
    <definedName name="aa" localSheetId="13" hidden="1">{#N/A,#N/A,FALSE,"II-2 POP.HH";#N/A,#N/A,FALSE,"II-3 AGE.DIST";#N/A,#N/A,FALSE,"II-4 HH.DIST";#N/A,#N/A,FALSE,"II-5 EMP.INDUS"}</definedName>
    <definedName name="aa" localSheetId="8" hidden="1">{#N/A,#N/A,FALSE,"II-2 POP.HH";#N/A,#N/A,FALSE,"II-3 AGE.DIST";#N/A,#N/A,FALSE,"II-4 HH.DIST";#N/A,#N/A,FALSE,"II-5 EMP.INDUS"}</definedName>
    <definedName name="aa" localSheetId="10" hidden="1">{#N/A,#N/A,FALSE,"II-2 POP.HH";#N/A,#N/A,FALSE,"II-3 AGE.DIST";#N/A,#N/A,FALSE,"II-4 HH.DIST";#N/A,#N/A,FALSE,"II-5 EMP.INDUS"}</definedName>
    <definedName name="aa" localSheetId="12" hidden="1">{#N/A,#N/A,FALSE,"II-2 POP.HH";#N/A,#N/A,FALSE,"II-3 AGE.DIST";#N/A,#N/A,FALSE,"II-4 HH.DIST";#N/A,#N/A,FALSE,"II-5 EMP.INDUS"}</definedName>
    <definedName name="aa" localSheetId="4" hidden="1">{#N/A,#N/A,FALSE,"II-2 POP.HH";#N/A,#N/A,FALSE,"II-3 AGE.DIST";#N/A,#N/A,FALSE,"II-4 HH.DIST";#N/A,#N/A,FALSE,"II-5 EMP.INDUS"}</definedName>
    <definedName name="aa" hidden="1">{#N/A,#N/A,FALSE,"II-2 POP.HH";#N/A,#N/A,FALSE,"II-3 AGE.DIST";#N/A,#N/A,FALSE,"II-4 HH.DIST";#N/A,#N/A,FALSE,"II-5 EMP.INDUS"}</definedName>
    <definedName name="AAA" localSheetId="6" hidden="1">{#N/A,#N/A,FALSE,"AFR-ELC"}</definedName>
    <definedName name="AAA" localSheetId="0" hidden="1">{#N/A,#N/A,FALSE,"AFR-ELC"}</definedName>
    <definedName name="AAA" localSheetId="1" hidden="1">{#N/A,#N/A,FALSE,"AFR-ELC"}</definedName>
    <definedName name="aaa" localSheetId="2">#REF!</definedName>
    <definedName name="AAA" localSheetId="3" hidden="1">{#N/A,#N/A,FALSE,"AFR-ELC"}</definedName>
    <definedName name="AAA" localSheetId="7" hidden="1">{#N/A,#N/A,FALSE,"AFR-ELC"}</definedName>
    <definedName name="AAA" localSheetId="5" hidden="1">{#N/A,#N/A,FALSE,"AFR-ELC"}</definedName>
    <definedName name="AAA" localSheetId="9" hidden="1">{#N/A,#N/A,FALSE,"AFR-ELC"}</definedName>
    <definedName name="AAA" localSheetId="11" hidden="1">{#N/A,#N/A,FALSE,"AFR-ELC"}</definedName>
    <definedName name="AAA" localSheetId="13" hidden="1">{#N/A,#N/A,FALSE,"AFR-ELC"}</definedName>
    <definedName name="AAA" localSheetId="8" hidden="1">{#N/A,#N/A,FALSE,"AFR-ELC"}</definedName>
    <definedName name="AAA" localSheetId="10" hidden="1">{#N/A,#N/A,FALSE,"AFR-ELC"}</definedName>
    <definedName name="AAA" localSheetId="12" hidden="1">{#N/A,#N/A,FALSE,"AFR-ELC"}</definedName>
    <definedName name="AAA" localSheetId="4" hidden="1">{#N/A,#N/A,FALSE,"AFR-ELC"}</definedName>
    <definedName name="AAA" hidden="1">{#N/A,#N/A,FALSE,"AFR-ELC"}</definedName>
    <definedName name="aaaa" localSheetId="6">'[8]MAIN BLD TAKE OFF'!#REF!</definedName>
    <definedName name="aaaa" localSheetId="1">'[8]MAIN BLD TAKE OFF'!#REF!</definedName>
    <definedName name="aaaa" localSheetId="4">'[8]MAIN BLD TAKE OFF'!#REF!</definedName>
    <definedName name="aaaa">'[8]MAIN BLD TAKE OFF'!#REF!</definedName>
    <definedName name="aaaaa" localSheetId="1">{#N/A,#N/A,FALSE,"Variables";#N/A,#N/A,FALSE,"NPV Cashflows NZ$";#N/A,#N/A,FALSE,"Cashflows NZ$"}</definedName>
    <definedName name="aaaaa" localSheetId="3">{#N/A,#N/A,FALSE,"Variables";#N/A,#N/A,FALSE,"NPV Cashflows NZ$";#N/A,#N/A,FALSE,"Cashflows NZ$"}</definedName>
    <definedName name="aaaaa" localSheetId="7">{#N/A,#N/A,FALSE,"Variables";#N/A,#N/A,FALSE,"NPV Cashflows NZ$";#N/A,#N/A,FALSE,"Cashflows NZ$"}</definedName>
    <definedName name="aaaaa" localSheetId="5">{#N/A,#N/A,FALSE,"Variables";#N/A,#N/A,FALSE,"NPV Cashflows NZ$";#N/A,#N/A,FALSE,"Cashflows NZ$"}</definedName>
    <definedName name="aaaaa" localSheetId="9">{#N/A,#N/A,FALSE,"Variables";#N/A,#N/A,FALSE,"NPV Cashflows NZ$";#N/A,#N/A,FALSE,"Cashflows NZ$"}</definedName>
    <definedName name="aaaaa" localSheetId="11">{#N/A,#N/A,FALSE,"Variables";#N/A,#N/A,FALSE,"NPV Cashflows NZ$";#N/A,#N/A,FALSE,"Cashflows NZ$"}</definedName>
    <definedName name="aaaaa" localSheetId="13">{#N/A,#N/A,FALSE,"Variables";#N/A,#N/A,FALSE,"NPV Cashflows NZ$";#N/A,#N/A,FALSE,"Cashflows NZ$"}</definedName>
    <definedName name="aaaaa" localSheetId="8">{#N/A,#N/A,FALSE,"Variables";#N/A,#N/A,FALSE,"NPV Cashflows NZ$";#N/A,#N/A,FALSE,"Cashflows NZ$"}</definedName>
    <definedName name="aaaaa" localSheetId="10">{#N/A,#N/A,FALSE,"Variables";#N/A,#N/A,FALSE,"NPV Cashflows NZ$";#N/A,#N/A,FALSE,"Cashflows NZ$"}</definedName>
    <definedName name="aaaaa" localSheetId="12">{#N/A,#N/A,FALSE,"Variables";#N/A,#N/A,FALSE,"NPV Cashflows NZ$";#N/A,#N/A,FALSE,"Cashflows NZ$"}</definedName>
    <definedName name="aaaaa" localSheetId="4">{#N/A,#N/A,FALSE,"Variables";#N/A,#N/A,FALSE,"NPV Cashflows NZ$";#N/A,#N/A,FALSE,"Cashflows NZ$"}</definedName>
    <definedName name="aaaaa">{#N/A,#N/A,FALSE,"Variables";#N/A,#N/A,FALSE,"NPV Cashflows NZ$";#N/A,#N/A,FALSE,"Cashflows NZ$"}</definedName>
    <definedName name="aaaaaaa" localSheetId="1">{#N/A,#N/A,FALSE,"Cashflow"}</definedName>
    <definedName name="aaaaaaa" localSheetId="2" hidden="1">{#N/A,#N/A,FALSE,"Elect B.O.Q";#N/A,#N/A,FALSE,"Plumbing b.O.Q";#N/A,#N/A,FALSE,"Ac B.O.Q"}</definedName>
    <definedName name="aaaaaaa" localSheetId="3">{#N/A,#N/A,FALSE,"Cashflow"}</definedName>
    <definedName name="aaaaaaa" localSheetId="7">{#N/A,#N/A,FALSE,"Cashflow"}</definedName>
    <definedName name="aaaaaaa" localSheetId="5">{#N/A,#N/A,FALSE,"Cashflow"}</definedName>
    <definedName name="aaaaaaa" localSheetId="9">{#N/A,#N/A,FALSE,"Cashflow"}</definedName>
    <definedName name="aaaaaaa" localSheetId="11">{#N/A,#N/A,FALSE,"Cashflow"}</definedName>
    <definedName name="aaaaaaa" localSheetId="13">{#N/A,#N/A,FALSE,"Cashflow"}</definedName>
    <definedName name="aaaaaaa" localSheetId="8">{#N/A,#N/A,FALSE,"Cashflow"}</definedName>
    <definedName name="aaaaaaa" localSheetId="10">{#N/A,#N/A,FALSE,"Cashflow"}</definedName>
    <definedName name="aaaaaaa" localSheetId="12">{#N/A,#N/A,FALSE,"Cashflow"}</definedName>
    <definedName name="aaaaaaa" localSheetId="4">{#N/A,#N/A,FALSE,"Cashflow"}</definedName>
    <definedName name="aaaaaaa">{#N/A,#N/A,FALSE,"Cashflow"}</definedName>
    <definedName name="aaaaaaaaaa" localSheetId="1">{#N/A,#N/A,FALSE,"Cashflow"}</definedName>
    <definedName name="aaaaaaaaaa" localSheetId="3">{#N/A,#N/A,FALSE,"Cashflow"}</definedName>
    <definedName name="aaaaaaaaaa" localSheetId="7">{#N/A,#N/A,FALSE,"Cashflow"}</definedName>
    <definedName name="aaaaaaaaaa" localSheetId="5">{#N/A,#N/A,FALSE,"Cashflow"}</definedName>
    <definedName name="aaaaaaaaaa" localSheetId="9">{#N/A,#N/A,FALSE,"Cashflow"}</definedName>
    <definedName name="aaaaaaaaaa" localSheetId="11">{#N/A,#N/A,FALSE,"Cashflow"}</definedName>
    <definedName name="aaaaaaaaaa" localSheetId="13">{#N/A,#N/A,FALSE,"Cashflow"}</definedName>
    <definedName name="aaaaaaaaaa" localSheetId="8">{#N/A,#N/A,FALSE,"Cashflow"}</definedName>
    <definedName name="aaaaaaaaaa" localSheetId="10">{#N/A,#N/A,FALSE,"Cashflow"}</definedName>
    <definedName name="aaaaaaaaaa" localSheetId="12">{#N/A,#N/A,FALSE,"Cashflow"}</definedName>
    <definedName name="aaaaaaaaaa" localSheetId="4">{#N/A,#N/A,FALSE,"Cashflow"}</definedName>
    <definedName name="aaaaaaaaaa">{#N/A,#N/A,FALSE,"Cashflow"}</definedName>
    <definedName name="ABU" localSheetId="6">'[8]MAIN BLD TAKE OFF'!#REF!</definedName>
    <definedName name="ABU" localSheetId="1">'[8]MAIN BLD TAKE OFF'!#REF!</definedName>
    <definedName name="ABU" localSheetId="4">'[8]MAIN BLD TAKE OFF'!#REF!</definedName>
    <definedName name="ABU">'[8]MAIN BLD TAKE OFF'!#REF!</definedName>
    <definedName name="AccessDatabase" hidden="1">"H:\MDEVLIN\mdevlin general\Blank BCIS Tender Master.mdb"</definedName>
    <definedName name="ad" localSheetId="1">{0,0,0,0;0,0,0,0;0,0,0,0}</definedName>
    <definedName name="ad" localSheetId="3">{0,0,0,0;0,0,0,0;0,0,0,0}</definedName>
    <definedName name="ad" localSheetId="7">{0,0,0,0;0,0,0,0;0,0,0,0}</definedName>
    <definedName name="ad" localSheetId="5">{0,0,0,0;0,0,0,0;0,0,0,0}</definedName>
    <definedName name="ad" localSheetId="9">{0,0,0,0;0,0,0,0;0,0,0,0}</definedName>
    <definedName name="ad" localSheetId="11">{0,0,0,0;0,0,0,0;0,0,0,0}</definedName>
    <definedName name="ad" localSheetId="13">{0,0,0,0;0,0,0,0;0,0,0,0}</definedName>
    <definedName name="ad" localSheetId="8">{0,0,0,0;0,0,0,0;0,0,0,0}</definedName>
    <definedName name="ad" localSheetId="10">{0,0,0,0;0,0,0,0;0,0,0,0}</definedName>
    <definedName name="ad" localSheetId="12">{0,0,0,0;0,0,0,0;0,0,0,0}</definedName>
    <definedName name="ad" localSheetId="4">{0,0,0,0;0,0,0,0;0,0,0,0}</definedName>
    <definedName name="ad">{0,0,0,0;0,0,0,0;0,0,0,0}</definedName>
    <definedName name="all" localSheetId="6">'[9]Materials on site'!#REF!</definedName>
    <definedName name="all" localSheetId="1">'[9]Materials on site'!#REF!</definedName>
    <definedName name="all" localSheetId="4">'[9]Materials on site'!#REF!</definedName>
    <definedName name="all">'[9]Materials on site'!#REF!</definedName>
    <definedName name="ALTV">'[10]Base case - condos'!$H$6</definedName>
    <definedName name="Aluminium_roofing_.7_coloured">[11]Prices!$B$15</definedName>
    <definedName name="Amiantus_roof">[11]Prices!$B$77</definedName>
    <definedName name="Amount_Dhs.">"F1"</definedName>
    <definedName name="anscount" hidden="1">1</definedName>
    <definedName name="aq" localSheetId="1">#REF!</definedName>
    <definedName name="aq" localSheetId="3">#REF!</definedName>
    <definedName name="aq" localSheetId="7">#REF!</definedName>
    <definedName name="aq" localSheetId="5">#REF!</definedName>
    <definedName name="aq" localSheetId="9">#REF!</definedName>
    <definedName name="aq" localSheetId="11">#REF!</definedName>
    <definedName name="aq" localSheetId="13">#REF!</definedName>
    <definedName name="aq" localSheetId="10">#REF!</definedName>
    <definedName name="aq" localSheetId="12">#REF!</definedName>
    <definedName name="aq" localSheetId="4">#REF!</definedName>
    <definedName name="aq">#REF!</definedName>
    <definedName name="Area">'[12]Exhibit VI-8'!$A$1:$IV$11</definedName>
    <definedName name="Artizan_direct">[11]Prices!$B$79</definedName>
    <definedName name="Artizan_sc">[11]Prices!$B$80</definedName>
    <definedName name="AS2DocOpenMode" hidden="1">"AS2DocumentEdit"</definedName>
    <definedName name="Asbestos_ridge">[11]Prices!$B$85</definedName>
    <definedName name="Asbestos_roof">[11]Prices!$B$83</definedName>
    <definedName name="asdfasfasd" localSheetId="1">{0,0,0,0;0,0,0,0;0,0,0,0}</definedName>
    <definedName name="asdfasfasd" localSheetId="3">{0,0,0,0;0,0,0,0;0,0,0,0}</definedName>
    <definedName name="asdfasfasd" localSheetId="7">{0,0,0,0;0,0,0,0;0,0,0,0}</definedName>
    <definedName name="asdfasfasd" localSheetId="5">{0,0,0,0;0,0,0,0;0,0,0,0}</definedName>
    <definedName name="asdfasfasd" localSheetId="9">{0,0,0,0;0,0,0,0;0,0,0,0}</definedName>
    <definedName name="asdfasfasd" localSheetId="11">{0,0,0,0;0,0,0,0;0,0,0,0}</definedName>
    <definedName name="asdfasfasd" localSheetId="13">{0,0,0,0;0,0,0,0;0,0,0,0}</definedName>
    <definedName name="asdfasfasd" localSheetId="8">{0,0,0,0;0,0,0,0;0,0,0,0}</definedName>
    <definedName name="asdfasfasd" localSheetId="10">{0,0,0,0;0,0,0,0;0,0,0,0}</definedName>
    <definedName name="asdfasfasd" localSheetId="12">{0,0,0,0;0,0,0,0;0,0,0,0}</definedName>
    <definedName name="asdfasfasd" localSheetId="4">{0,0,0,0;0,0,0,0;0,0,0,0}</definedName>
    <definedName name="asdfasfasd">{0,0,0,0;0,0,0,0;0,0,0,0}</definedName>
    <definedName name="ATTACHED" localSheetId="1" hidden="1">{#N/A,#N/A,FALSE,"el.det";#N/A,#N/A,FALSE,"mu.det";#N/A,#N/A,FALSE,"ug.det";#N/A,#N/A,FALSE,"ex.det";#N/A,#N/A,FALSE,"lux.det";#N/A,#N/A,FALSE,"custom.lot";#N/A,#N/A,FALSE,"condo.att";#N/A,#N/A,FALSE,"el.att";#N/A,#N/A,FALSE,"mu.att";#N/A,#N/A,FALSE,"ex.att";#N/A,#N/A,FALSE,"lux.att";#N/A,#N/A,FALSE,"all.by.village"}</definedName>
    <definedName name="ATTACHED" localSheetId="3" hidden="1">{#N/A,#N/A,FALSE,"el.det";#N/A,#N/A,FALSE,"mu.det";#N/A,#N/A,FALSE,"ug.det";#N/A,#N/A,FALSE,"ex.det";#N/A,#N/A,FALSE,"lux.det";#N/A,#N/A,FALSE,"custom.lot";#N/A,#N/A,FALSE,"condo.att";#N/A,#N/A,FALSE,"el.att";#N/A,#N/A,FALSE,"mu.att";#N/A,#N/A,FALSE,"ex.att";#N/A,#N/A,FALSE,"lux.att";#N/A,#N/A,FALSE,"all.by.village"}</definedName>
    <definedName name="ATTACHED" localSheetId="7" hidden="1">{#N/A,#N/A,FALSE,"el.det";#N/A,#N/A,FALSE,"mu.det";#N/A,#N/A,FALSE,"ug.det";#N/A,#N/A,FALSE,"ex.det";#N/A,#N/A,FALSE,"lux.det";#N/A,#N/A,FALSE,"custom.lot";#N/A,#N/A,FALSE,"condo.att";#N/A,#N/A,FALSE,"el.att";#N/A,#N/A,FALSE,"mu.att";#N/A,#N/A,FALSE,"ex.att";#N/A,#N/A,FALSE,"lux.att";#N/A,#N/A,FALSE,"all.by.village"}</definedName>
    <definedName name="ATTACHED" localSheetId="5" hidden="1">{#N/A,#N/A,FALSE,"el.det";#N/A,#N/A,FALSE,"mu.det";#N/A,#N/A,FALSE,"ug.det";#N/A,#N/A,FALSE,"ex.det";#N/A,#N/A,FALSE,"lux.det";#N/A,#N/A,FALSE,"custom.lot";#N/A,#N/A,FALSE,"condo.att";#N/A,#N/A,FALSE,"el.att";#N/A,#N/A,FALSE,"mu.att";#N/A,#N/A,FALSE,"ex.att";#N/A,#N/A,FALSE,"lux.att";#N/A,#N/A,FALSE,"all.by.village"}</definedName>
    <definedName name="ATTACHED" localSheetId="9" hidden="1">{#N/A,#N/A,FALSE,"el.det";#N/A,#N/A,FALSE,"mu.det";#N/A,#N/A,FALSE,"ug.det";#N/A,#N/A,FALSE,"ex.det";#N/A,#N/A,FALSE,"lux.det";#N/A,#N/A,FALSE,"custom.lot";#N/A,#N/A,FALSE,"condo.att";#N/A,#N/A,FALSE,"el.att";#N/A,#N/A,FALSE,"mu.att";#N/A,#N/A,FALSE,"ex.att";#N/A,#N/A,FALSE,"lux.att";#N/A,#N/A,FALSE,"all.by.village"}</definedName>
    <definedName name="ATTACHED" localSheetId="11" hidden="1">{#N/A,#N/A,FALSE,"el.det";#N/A,#N/A,FALSE,"mu.det";#N/A,#N/A,FALSE,"ug.det";#N/A,#N/A,FALSE,"ex.det";#N/A,#N/A,FALSE,"lux.det";#N/A,#N/A,FALSE,"custom.lot";#N/A,#N/A,FALSE,"condo.att";#N/A,#N/A,FALSE,"el.att";#N/A,#N/A,FALSE,"mu.att";#N/A,#N/A,FALSE,"ex.att";#N/A,#N/A,FALSE,"lux.att";#N/A,#N/A,FALSE,"all.by.village"}</definedName>
    <definedName name="ATTACHED" localSheetId="13" hidden="1">{#N/A,#N/A,FALSE,"el.det";#N/A,#N/A,FALSE,"mu.det";#N/A,#N/A,FALSE,"ug.det";#N/A,#N/A,FALSE,"ex.det";#N/A,#N/A,FALSE,"lux.det";#N/A,#N/A,FALSE,"custom.lot";#N/A,#N/A,FALSE,"condo.att";#N/A,#N/A,FALSE,"el.att";#N/A,#N/A,FALSE,"mu.att";#N/A,#N/A,FALSE,"ex.att";#N/A,#N/A,FALSE,"lux.att";#N/A,#N/A,FALSE,"all.by.village"}</definedName>
    <definedName name="ATTACHED" localSheetId="8" hidden="1">{#N/A,#N/A,FALSE,"el.det";#N/A,#N/A,FALSE,"mu.det";#N/A,#N/A,FALSE,"ug.det";#N/A,#N/A,FALSE,"ex.det";#N/A,#N/A,FALSE,"lux.det";#N/A,#N/A,FALSE,"custom.lot";#N/A,#N/A,FALSE,"condo.att";#N/A,#N/A,FALSE,"el.att";#N/A,#N/A,FALSE,"mu.att";#N/A,#N/A,FALSE,"ex.att";#N/A,#N/A,FALSE,"lux.att";#N/A,#N/A,FALSE,"all.by.village"}</definedName>
    <definedName name="ATTACHED" localSheetId="10" hidden="1">{#N/A,#N/A,FALSE,"el.det";#N/A,#N/A,FALSE,"mu.det";#N/A,#N/A,FALSE,"ug.det";#N/A,#N/A,FALSE,"ex.det";#N/A,#N/A,FALSE,"lux.det";#N/A,#N/A,FALSE,"custom.lot";#N/A,#N/A,FALSE,"condo.att";#N/A,#N/A,FALSE,"el.att";#N/A,#N/A,FALSE,"mu.att";#N/A,#N/A,FALSE,"ex.att";#N/A,#N/A,FALSE,"lux.att";#N/A,#N/A,FALSE,"all.by.village"}</definedName>
    <definedName name="ATTACHED" localSheetId="12" hidden="1">{#N/A,#N/A,FALSE,"el.det";#N/A,#N/A,FALSE,"mu.det";#N/A,#N/A,FALSE,"ug.det";#N/A,#N/A,FALSE,"ex.det";#N/A,#N/A,FALSE,"lux.det";#N/A,#N/A,FALSE,"custom.lot";#N/A,#N/A,FALSE,"condo.att";#N/A,#N/A,FALSE,"el.att";#N/A,#N/A,FALSE,"mu.att";#N/A,#N/A,FALSE,"ex.att";#N/A,#N/A,FALSE,"lux.att";#N/A,#N/A,FALSE,"all.by.village"}</definedName>
    <definedName name="ATTACHED" localSheetId="4" hidden="1">{#N/A,#N/A,FALSE,"el.det";#N/A,#N/A,FALSE,"mu.det";#N/A,#N/A,FALSE,"ug.det";#N/A,#N/A,FALSE,"ex.det";#N/A,#N/A,FALSE,"lux.det";#N/A,#N/A,FALSE,"custom.lot";#N/A,#N/A,FALSE,"condo.att";#N/A,#N/A,FALSE,"el.att";#N/A,#N/A,FALSE,"mu.att";#N/A,#N/A,FALSE,"ex.att";#N/A,#N/A,FALSE,"lux.att";#N/A,#N/A,FALSE,"all.by.village"}</definedName>
    <definedName name="ATTACHED" hidden="1">{#N/A,#N/A,FALSE,"el.det";#N/A,#N/A,FALSE,"mu.det";#N/A,#N/A,FALSE,"ug.det";#N/A,#N/A,FALSE,"ex.det";#N/A,#N/A,FALSE,"lux.det";#N/A,#N/A,FALSE,"custom.lot";#N/A,#N/A,FALSE,"condo.att";#N/A,#N/A,FALSE,"el.att";#N/A,#N/A,FALSE,"mu.att";#N/A,#N/A,FALSE,"ex.att";#N/A,#N/A,FALSE,"lux.att";#N/A,#N/A,FALSE,"all.by.village"}</definedName>
    <definedName name="B" localSheetId="1">#REF!</definedName>
    <definedName name="B" localSheetId="2">#REF!</definedName>
    <definedName name="B" localSheetId="3">#REF!</definedName>
    <definedName name="B" localSheetId="7">#REF!</definedName>
    <definedName name="B" localSheetId="5">#REF!</definedName>
    <definedName name="B" localSheetId="9">#REF!</definedName>
    <definedName name="B" localSheetId="11">#REF!</definedName>
    <definedName name="B" localSheetId="13">#REF!</definedName>
    <definedName name="B" localSheetId="10">#REF!</definedName>
    <definedName name="B" localSheetId="12">#REF!</definedName>
    <definedName name="B" localSheetId="4">#REF!</definedName>
    <definedName name="B">#REF!</definedName>
    <definedName name="B1T" localSheetId="1">#REF!</definedName>
    <definedName name="B1T" localSheetId="3">#REF!</definedName>
    <definedName name="B1T" localSheetId="7">#REF!</definedName>
    <definedName name="B1T" localSheetId="5">#REF!</definedName>
    <definedName name="B1T" localSheetId="9">#REF!</definedName>
    <definedName name="B1T" localSheetId="11">#REF!</definedName>
    <definedName name="B1T" localSheetId="13">#REF!</definedName>
    <definedName name="B1T" localSheetId="10">#REF!</definedName>
    <definedName name="B1T" localSheetId="12">#REF!</definedName>
    <definedName name="B1T" localSheetId="4">#REF!</definedName>
    <definedName name="B1T">#REF!</definedName>
    <definedName name="B2T" localSheetId="1">#REF!</definedName>
    <definedName name="B2T" localSheetId="3">#REF!</definedName>
    <definedName name="B2T" localSheetId="7">#REF!</definedName>
    <definedName name="B2T" localSheetId="5">#REF!</definedName>
    <definedName name="B2T" localSheetId="9">#REF!</definedName>
    <definedName name="B2T" localSheetId="11">#REF!</definedName>
    <definedName name="B2T" localSheetId="13">#REF!</definedName>
    <definedName name="B2T" localSheetId="10">#REF!</definedName>
    <definedName name="B2T" localSheetId="12">#REF!</definedName>
    <definedName name="B2T" localSheetId="4">#REF!</definedName>
    <definedName name="B2T">#REF!</definedName>
    <definedName name="B3T" localSheetId="4">#REF!</definedName>
    <definedName name="B3T">#REF!</definedName>
    <definedName name="B4T" localSheetId="4">#REF!</definedName>
    <definedName name="B4T">#REF!</definedName>
    <definedName name="BACK" localSheetId="6" hidden="1">{#N/A,#N/A,FALSE,"AFR-ELC"}</definedName>
    <definedName name="BACK" localSheetId="1" hidden="1">{#N/A,#N/A,FALSE,"AFR-ELC"}</definedName>
    <definedName name="BACK" localSheetId="3" hidden="1">{#N/A,#N/A,FALSE,"AFR-ELC"}</definedName>
    <definedName name="BACK" localSheetId="7" hidden="1">{#N/A,#N/A,FALSE,"AFR-ELC"}</definedName>
    <definedName name="BACK" localSheetId="5" hidden="1">{#N/A,#N/A,FALSE,"AFR-ELC"}</definedName>
    <definedName name="BACK" localSheetId="9" hidden="1">{#N/A,#N/A,FALSE,"AFR-ELC"}</definedName>
    <definedName name="BACK" localSheetId="11" hidden="1">{#N/A,#N/A,FALSE,"AFR-ELC"}</definedName>
    <definedName name="BACK" localSheetId="13" hidden="1">{#N/A,#N/A,FALSE,"AFR-ELC"}</definedName>
    <definedName name="BACK" localSheetId="8" hidden="1">{#N/A,#N/A,FALSE,"AFR-ELC"}</definedName>
    <definedName name="BACK" localSheetId="10" hidden="1">{#N/A,#N/A,FALSE,"AFR-ELC"}</definedName>
    <definedName name="BACK" localSheetId="12" hidden="1">{#N/A,#N/A,FALSE,"AFR-ELC"}</definedName>
    <definedName name="BACK" localSheetId="4" hidden="1">{#N/A,#N/A,FALSE,"AFR-ELC"}</definedName>
    <definedName name="BACK" hidden="1">{#N/A,#N/A,FALSE,"AFR-ELC"}</definedName>
    <definedName name="BALL" localSheetId="6">{#N/A,#N/A,FALSE,"AFR-ELC"}</definedName>
    <definedName name="BALL" localSheetId="1">{#N/A,#N/A,FALSE,"AFR-ELC"}</definedName>
    <definedName name="BALL" localSheetId="3">{#N/A,#N/A,FALSE,"AFR-ELC"}</definedName>
    <definedName name="BALL" localSheetId="7">{#N/A,#N/A,FALSE,"AFR-ELC"}</definedName>
    <definedName name="BALL" localSheetId="5">{#N/A,#N/A,FALSE,"AFR-ELC"}</definedName>
    <definedName name="BALL" localSheetId="9">{#N/A,#N/A,FALSE,"AFR-ELC"}</definedName>
    <definedName name="BALL" localSheetId="11">{#N/A,#N/A,FALSE,"AFR-ELC"}</definedName>
    <definedName name="BALL" localSheetId="13">{#N/A,#N/A,FALSE,"AFR-ELC"}</definedName>
    <definedName name="BALL" localSheetId="8">{#N/A,#N/A,FALSE,"AFR-ELC"}</definedName>
    <definedName name="BALL" localSheetId="10">{#N/A,#N/A,FALSE,"AFR-ELC"}</definedName>
    <definedName name="BALL" localSheetId="12">{#N/A,#N/A,FALSE,"AFR-ELC"}</definedName>
    <definedName name="BALL" localSheetId="4">{#N/A,#N/A,FALSE,"AFR-ELC"}</definedName>
    <definedName name="BALL">{#N/A,#N/A,FALSE,"AFR-ELC"}</definedName>
    <definedName name="bank" localSheetId="6">{#N/A,#N/A,FALSE,"AFR-ELC"}</definedName>
    <definedName name="bank" localSheetId="1">{#N/A,#N/A,FALSE,"AFR-ELC"}</definedName>
    <definedName name="bank" localSheetId="3">{#N/A,#N/A,FALSE,"AFR-ELC"}</definedName>
    <definedName name="bank" localSheetId="7">{#N/A,#N/A,FALSE,"AFR-ELC"}</definedName>
    <definedName name="bank" localSheetId="5">{#N/A,#N/A,FALSE,"AFR-ELC"}</definedName>
    <definedName name="bank" localSheetId="9">{#N/A,#N/A,FALSE,"AFR-ELC"}</definedName>
    <definedName name="bank" localSheetId="11">{#N/A,#N/A,FALSE,"AFR-ELC"}</definedName>
    <definedName name="bank" localSheetId="13">{#N/A,#N/A,FALSE,"AFR-ELC"}</definedName>
    <definedName name="bank" localSheetId="8">{#N/A,#N/A,FALSE,"AFR-ELC"}</definedName>
    <definedName name="bank" localSheetId="10">{#N/A,#N/A,FALSE,"AFR-ELC"}</definedName>
    <definedName name="bank" localSheetId="12">{#N/A,#N/A,FALSE,"AFR-ELC"}</definedName>
    <definedName name="bank" localSheetId="4">{#N/A,#N/A,FALSE,"AFR-ELC"}</definedName>
    <definedName name="bank">{#N/A,#N/A,FALSE,"AFR-ELC"}</definedName>
    <definedName name="bargroup1" hidden="1">OR([13]SCHEDULE!$J1=0,[13]SCHEDULE!$J1=99)</definedName>
    <definedName name="bargroup2" hidden="1">OR([13]SCHEDULE!$J1=11,[13]SCHEDULE!$J1=33)</definedName>
    <definedName name="bargroup3" hidden="1">OR([13]SCHEDULE!$J1=21,[13]SCHEDULE!$J1=15,[13]SCHEDULE!$J1=13,[13]SCHEDULE!$J1=51,[13]SCHEDULE!$J1=77)</definedName>
    <definedName name="bargroup4" hidden="1">OR([13]SCHEDULE!$J1=26,[13]SCHEDULE!$J1=31)</definedName>
    <definedName name="bargroup5" hidden="1">OR([13]SCHEDULE!$J1=46,[13]SCHEDULE!$J1=25,[13]SCHEDULE!$J1=44,[13]SCHEDULE!$J1=41)</definedName>
    <definedName name="bargroup6" hidden="1">[13]SCHEDULE!$J1=67</definedName>
    <definedName name="bargroup7" hidden="1">[13]SCHEDULE!$J1=12</definedName>
    <definedName name="Barracks" localSheetId="6" hidden="1">{#N/A,#N/A,FALSE,"AFR-ELC"}</definedName>
    <definedName name="Barracks" localSheetId="0" hidden="1">{#N/A,#N/A,FALSE,"AFR-ELC"}</definedName>
    <definedName name="Barracks" localSheetId="1" hidden="1">{#N/A,#N/A,FALSE,"AFR-ELC"}</definedName>
    <definedName name="Barracks" localSheetId="2" hidden="1">{#N/A,#N/A,FALSE,"AFR-ELC"}</definedName>
    <definedName name="Barracks" localSheetId="3" hidden="1">{#N/A,#N/A,FALSE,"AFR-ELC"}</definedName>
    <definedName name="Barracks" localSheetId="7" hidden="1">{#N/A,#N/A,FALSE,"AFR-ELC"}</definedName>
    <definedName name="Barracks" localSheetId="5" hidden="1">{#N/A,#N/A,FALSE,"AFR-ELC"}</definedName>
    <definedName name="Barracks" localSheetId="9" hidden="1">{#N/A,#N/A,FALSE,"AFR-ELC"}</definedName>
    <definedName name="Barracks" localSheetId="11" hidden="1">{#N/A,#N/A,FALSE,"AFR-ELC"}</definedName>
    <definedName name="Barracks" localSheetId="13" hidden="1">{#N/A,#N/A,FALSE,"AFR-ELC"}</definedName>
    <definedName name="Barracks" localSheetId="8" hidden="1">{#N/A,#N/A,FALSE,"AFR-ELC"}</definedName>
    <definedName name="Barracks" localSheetId="10" hidden="1">{#N/A,#N/A,FALSE,"AFR-ELC"}</definedName>
    <definedName name="Barracks" localSheetId="12" hidden="1">{#N/A,#N/A,FALSE,"AFR-ELC"}</definedName>
    <definedName name="Barracks" localSheetId="4" hidden="1">{#N/A,#N/A,FALSE,"AFR-ELC"}</definedName>
    <definedName name="Barracks" hidden="1">{#N/A,#N/A,FALSE,"AFR-ELC"}</definedName>
    <definedName name="bbb">#REF!</definedName>
    <definedName name="Beg_Bal" localSheetId="1">#REF!</definedName>
    <definedName name="Beg_Bal" localSheetId="3">#REF!</definedName>
    <definedName name="Beg_Bal" localSheetId="7">#REF!</definedName>
    <definedName name="Beg_Bal" localSheetId="5">#REF!</definedName>
    <definedName name="Beg_Bal" localSheetId="9">#REF!</definedName>
    <definedName name="Beg_Bal" localSheetId="11">#REF!</definedName>
    <definedName name="Beg_Bal" localSheetId="13">#REF!</definedName>
    <definedName name="Beg_Bal" localSheetId="10">#REF!</definedName>
    <definedName name="Beg_Bal" localSheetId="12">#REF!</definedName>
    <definedName name="Beg_Bal" localSheetId="4">#REF!</definedName>
    <definedName name="Beg_Bal">#REF!</definedName>
    <definedName name="BILL1" localSheetId="1">#REF!</definedName>
    <definedName name="BILL1" localSheetId="3">#REF!</definedName>
    <definedName name="BILL1" localSheetId="7">#REF!</definedName>
    <definedName name="BILL1" localSheetId="5">#REF!</definedName>
    <definedName name="BILL1" localSheetId="9">#REF!</definedName>
    <definedName name="BILL1" localSheetId="11">#REF!</definedName>
    <definedName name="BILL1" localSheetId="13">#REF!</definedName>
    <definedName name="BILL1" localSheetId="10">#REF!</definedName>
    <definedName name="BILL1" localSheetId="12">#REF!</definedName>
    <definedName name="BILL1" localSheetId="4">#REF!</definedName>
    <definedName name="BILL1">#REF!</definedName>
    <definedName name="Block_100">[11]Prices!$B$99</definedName>
    <definedName name="Block_150">[11]Prices!$B$100</definedName>
    <definedName name="Block_230">[11]Prices!$B$101</definedName>
    <definedName name="Blockwork_100">[11]Rates!$A$118</definedName>
    <definedName name="Blockwork_150">[11]Rates!$A$119</definedName>
    <definedName name="Blockwork_230">[11]Rates!$A$120</definedName>
    <definedName name="BOQ" localSheetId="1">#REF!</definedName>
    <definedName name="BOQ" localSheetId="2">#REF!</definedName>
    <definedName name="BOQ" localSheetId="3">#REF!</definedName>
    <definedName name="BOQ" localSheetId="7">#REF!</definedName>
    <definedName name="BOQ" localSheetId="5">#REF!</definedName>
    <definedName name="BOQ" localSheetId="9">#REF!</definedName>
    <definedName name="BOQ" localSheetId="11">#REF!</definedName>
    <definedName name="BOQ" localSheetId="13">#REF!</definedName>
    <definedName name="BOQ" localSheetId="10">#REF!</definedName>
    <definedName name="BOQ" localSheetId="12">#REF!</definedName>
    <definedName name="BOQ" localSheetId="4">#REF!</definedName>
    <definedName name="BOQ">#REF!</definedName>
    <definedName name="Brick_floor_pot_200x400x250">[11]Prices!$B$114</definedName>
    <definedName name="Brick_roofing">[11]Prices!$B$115</definedName>
    <definedName name="Brick_tiles">[11]Prices!$B$109</definedName>
    <definedName name="Bricks_100mm">[11]Prices!$B$104</definedName>
    <definedName name="Bricks_150mm">[11]Prices!$B$105</definedName>
    <definedName name="Bricks_230mm">[11]Prices!$B$106</definedName>
    <definedName name="builder" localSheetId="1" hidden="1">{#N/A,#N/A,FALSE,"el.det";#N/A,#N/A,FALSE,"mu.det";#N/A,#N/A,FALSE,"ug.det";#N/A,#N/A,FALSE,"ex.det";#N/A,#N/A,FALSE,"lux.det";#N/A,#N/A,FALSE,"custom.lot";#N/A,#N/A,FALSE,"condo.att";#N/A,#N/A,FALSE,"el.att";#N/A,#N/A,FALSE,"mu.att";#N/A,#N/A,FALSE,"ex.att";#N/A,#N/A,FALSE,"lux.att";#N/A,#N/A,FALSE,"all.by.village"}</definedName>
    <definedName name="builder" localSheetId="3" hidden="1">{#N/A,#N/A,FALSE,"el.det";#N/A,#N/A,FALSE,"mu.det";#N/A,#N/A,FALSE,"ug.det";#N/A,#N/A,FALSE,"ex.det";#N/A,#N/A,FALSE,"lux.det";#N/A,#N/A,FALSE,"custom.lot";#N/A,#N/A,FALSE,"condo.att";#N/A,#N/A,FALSE,"el.att";#N/A,#N/A,FALSE,"mu.att";#N/A,#N/A,FALSE,"ex.att";#N/A,#N/A,FALSE,"lux.att";#N/A,#N/A,FALSE,"all.by.village"}</definedName>
    <definedName name="builder" localSheetId="7" hidden="1">{#N/A,#N/A,FALSE,"el.det";#N/A,#N/A,FALSE,"mu.det";#N/A,#N/A,FALSE,"ug.det";#N/A,#N/A,FALSE,"ex.det";#N/A,#N/A,FALSE,"lux.det";#N/A,#N/A,FALSE,"custom.lot";#N/A,#N/A,FALSE,"condo.att";#N/A,#N/A,FALSE,"el.att";#N/A,#N/A,FALSE,"mu.att";#N/A,#N/A,FALSE,"ex.att";#N/A,#N/A,FALSE,"lux.att";#N/A,#N/A,FALSE,"all.by.village"}</definedName>
    <definedName name="builder" localSheetId="5" hidden="1">{#N/A,#N/A,FALSE,"el.det";#N/A,#N/A,FALSE,"mu.det";#N/A,#N/A,FALSE,"ug.det";#N/A,#N/A,FALSE,"ex.det";#N/A,#N/A,FALSE,"lux.det";#N/A,#N/A,FALSE,"custom.lot";#N/A,#N/A,FALSE,"condo.att";#N/A,#N/A,FALSE,"el.att";#N/A,#N/A,FALSE,"mu.att";#N/A,#N/A,FALSE,"ex.att";#N/A,#N/A,FALSE,"lux.att";#N/A,#N/A,FALSE,"all.by.village"}</definedName>
    <definedName name="builder" localSheetId="9" hidden="1">{#N/A,#N/A,FALSE,"el.det";#N/A,#N/A,FALSE,"mu.det";#N/A,#N/A,FALSE,"ug.det";#N/A,#N/A,FALSE,"ex.det";#N/A,#N/A,FALSE,"lux.det";#N/A,#N/A,FALSE,"custom.lot";#N/A,#N/A,FALSE,"condo.att";#N/A,#N/A,FALSE,"el.att";#N/A,#N/A,FALSE,"mu.att";#N/A,#N/A,FALSE,"ex.att";#N/A,#N/A,FALSE,"lux.att";#N/A,#N/A,FALSE,"all.by.village"}</definedName>
    <definedName name="builder" localSheetId="11" hidden="1">{#N/A,#N/A,FALSE,"el.det";#N/A,#N/A,FALSE,"mu.det";#N/A,#N/A,FALSE,"ug.det";#N/A,#N/A,FALSE,"ex.det";#N/A,#N/A,FALSE,"lux.det";#N/A,#N/A,FALSE,"custom.lot";#N/A,#N/A,FALSE,"condo.att";#N/A,#N/A,FALSE,"el.att";#N/A,#N/A,FALSE,"mu.att";#N/A,#N/A,FALSE,"ex.att";#N/A,#N/A,FALSE,"lux.att";#N/A,#N/A,FALSE,"all.by.village"}</definedName>
    <definedName name="builder" localSheetId="13" hidden="1">{#N/A,#N/A,FALSE,"el.det";#N/A,#N/A,FALSE,"mu.det";#N/A,#N/A,FALSE,"ug.det";#N/A,#N/A,FALSE,"ex.det";#N/A,#N/A,FALSE,"lux.det";#N/A,#N/A,FALSE,"custom.lot";#N/A,#N/A,FALSE,"condo.att";#N/A,#N/A,FALSE,"el.att";#N/A,#N/A,FALSE,"mu.att";#N/A,#N/A,FALSE,"ex.att";#N/A,#N/A,FALSE,"lux.att";#N/A,#N/A,FALSE,"all.by.village"}</definedName>
    <definedName name="builder" localSheetId="8" hidden="1">{#N/A,#N/A,FALSE,"el.det";#N/A,#N/A,FALSE,"mu.det";#N/A,#N/A,FALSE,"ug.det";#N/A,#N/A,FALSE,"ex.det";#N/A,#N/A,FALSE,"lux.det";#N/A,#N/A,FALSE,"custom.lot";#N/A,#N/A,FALSE,"condo.att";#N/A,#N/A,FALSE,"el.att";#N/A,#N/A,FALSE,"mu.att";#N/A,#N/A,FALSE,"ex.att";#N/A,#N/A,FALSE,"lux.att";#N/A,#N/A,FALSE,"all.by.village"}</definedName>
    <definedName name="builder" localSheetId="10" hidden="1">{#N/A,#N/A,FALSE,"el.det";#N/A,#N/A,FALSE,"mu.det";#N/A,#N/A,FALSE,"ug.det";#N/A,#N/A,FALSE,"ex.det";#N/A,#N/A,FALSE,"lux.det";#N/A,#N/A,FALSE,"custom.lot";#N/A,#N/A,FALSE,"condo.att";#N/A,#N/A,FALSE,"el.att";#N/A,#N/A,FALSE,"mu.att";#N/A,#N/A,FALSE,"ex.att";#N/A,#N/A,FALSE,"lux.att";#N/A,#N/A,FALSE,"all.by.village"}</definedName>
    <definedName name="builder" localSheetId="12" hidden="1">{#N/A,#N/A,FALSE,"el.det";#N/A,#N/A,FALSE,"mu.det";#N/A,#N/A,FALSE,"ug.det";#N/A,#N/A,FALSE,"ex.det";#N/A,#N/A,FALSE,"lux.det";#N/A,#N/A,FALSE,"custom.lot";#N/A,#N/A,FALSE,"condo.att";#N/A,#N/A,FALSE,"el.att";#N/A,#N/A,FALSE,"mu.att";#N/A,#N/A,FALSE,"ex.att";#N/A,#N/A,FALSE,"lux.att";#N/A,#N/A,FALSE,"all.by.village"}</definedName>
    <definedName name="builder" localSheetId="4" hidden="1">{#N/A,#N/A,FALSE,"el.det";#N/A,#N/A,FALSE,"mu.det";#N/A,#N/A,FALSE,"ug.det";#N/A,#N/A,FALSE,"ex.det";#N/A,#N/A,FALSE,"lux.det";#N/A,#N/A,FALSE,"custom.lot";#N/A,#N/A,FALSE,"condo.att";#N/A,#N/A,FALSE,"el.att";#N/A,#N/A,FALSE,"mu.att";#N/A,#N/A,FALSE,"ex.att";#N/A,#N/A,FALSE,"lux.att";#N/A,#N/A,FALSE,"all.by.village"}</definedName>
    <definedName name="builder" hidden="1">{#N/A,#N/A,FALSE,"el.det";#N/A,#N/A,FALSE,"mu.det";#N/A,#N/A,FALSE,"ug.det";#N/A,#N/A,FALSE,"ex.det";#N/A,#N/A,FALSE,"lux.det";#N/A,#N/A,FALSE,"custom.lot";#N/A,#N/A,FALSE,"condo.att";#N/A,#N/A,FALSE,"el.att";#N/A,#N/A,FALSE,"mu.att";#N/A,#N/A,FALSE,"ex.att";#N/A,#N/A,FALSE,"lux.att";#N/A,#N/A,FALSE,"all.by.village"}</definedName>
    <definedName name="building" localSheetId="6">'[14]Materials on site'!#REF!</definedName>
    <definedName name="building" localSheetId="1">'[14]Materials on site'!#REF!</definedName>
    <definedName name="building" localSheetId="4">'[14]Materials on site'!#REF!</definedName>
    <definedName name="building">'[14]Materials on site'!#REF!</definedName>
    <definedName name="C_" localSheetId="1">#REF!</definedName>
    <definedName name="C_" localSheetId="2">#REF!</definedName>
    <definedName name="C_" localSheetId="3">#REF!</definedName>
    <definedName name="C_" localSheetId="7">#REF!</definedName>
    <definedName name="C_" localSheetId="5">#REF!</definedName>
    <definedName name="C_" localSheetId="9">#REF!</definedName>
    <definedName name="C_" localSheetId="11">#REF!</definedName>
    <definedName name="C_" localSheetId="13">#REF!</definedName>
    <definedName name="C_" localSheetId="10">#REF!</definedName>
    <definedName name="C_" localSheetId="12">#REF!</definedName>
    <definedName name="C_" localSheetId="4">#REF!</definedName>
    <definedName name="C_">#REF!</definedName>
    <definedName name="C_s_trowelled_bed_50mm">[15]Rates!$A$200</definedName>
    <definedName name="CA" localSheetId="1">#REF!</definedName>
    <definedName name="CA" localSheetId="2">#REF!</definedName>
    <definedName name="CA" localSheetId="3">#REF!</definedName>
    <definedName name="CA" localSheetId="7">#REF!</definedName>
    <definedName name="CA" localSheetId="5">#REF!</definedName>
    <definedName name="CA" localSheetId="9">#REF!</definedName>
    <definedName name="CA" localSheetId="11">#REF!</definedName>
    <definedName name="CA" localSheetId="13">#REF!</definedName>
    <definedName name="CA" localSheetId="10">#REF!</definedName>
    <definedName name="CA" localSheetId="12">#REF!</definedName>
    <definedName name="CA" localSheetId="4">#REF!</definedName>
    <definedName name="CA">#REF!</definedName>
    <definedName name="CA0" localSheetId="1">#REF!</definedName>
    <definedName name="CA0" localSheetId="3">#REF!</definedName>
    <definedName name="CA0" localSheetId="7">#REF!</definedName>
    <definedName name="CA0" localSheetId="5">#REF!</definedName>
    <definedName name="CA0" localSheetId="9">#REF!</definedName>
    <definedName name="CA0" localSheetId="11">#REF!</definedName>
    <definedName name="CA0" localSheetId="13">#REF!</definedName>
    <definedName name="CA0" localSheetId="10">#REF!</definedName>
    <definedName name="CA0" localSheetId="12">#REF!</definedName>
    <definedName name="CA0" localSheetId="4">#REF!</definedName>
    <definedName name="CA0">#REF!</definedName>
    <definedName name="Carpet">[11]Prices!$B$116</definedName>
    <definedName name="CBBD1" localSheetId="8">#REF!</definedName>
    <definedName name="CBBD1" localSheetId="4">#REF!</definedName>
    <definedName name="CBBD1">#REF!</definedName>
    <definedName name="ccc" localSheetId="4">#REF!</definedName>
    <definedName name="ccc">#REF!</definedName>
    <definedName name="Cement">[11]Prices!$B$130</definedName>
    <definedName name="Ceramic_floor_tiles_HQ">[11]Prices!$B$132</definedName>
    <definedName name="Ceramic_flooring">[15]Rates!$A$209</definedName>
    <definedName name="Ceramic_wall_tiling_white">[15]Rates!$A$227</definedName>
    <definedName name="Ceramic_wall_white">[11]Prices!$B$140</definedName>
    <definedName name="cf" localSheetId="6">{#N/A,#N/A,FALSE,"AFR-ELC"}</definedName>
    <definedName name="cf" localSheetId="1">{#N/A,#N/A,FALSE,"AFR-ELC"}</definedName>
    <definedName name="cf" localSheetId="2">#REF!</definedName>
    <definedName name="cf" localSheetId="3">{#N/A,#N/A,FALSE,"AFR-ELC"}</definedName>
    <definedName name="cf" localSheetId="7">{#N/A,#N/A,FALSE,"AFR-ELC"}</definedName>
    <definedName name="cf" localSheetId="5">{#N/A,#N/A,FALSE,"AFR-ELC"}</definedName>
    <definedName name="cf" localSheetId="9">{#N/A,#N/A,FALSE,"AFR-ELC"}</definedName>
    <definedName name="cf" localSheetId="11">{#N/A,#N/A,FALSE,"AFR-ELC"}</definedName>
    <definedName name="cf" localSheetId="13">{#N/A,#N/A,FALSE,"AFR-ELC"}</definedName>
    <definedName name="cf" localSheetId="8">{#N/A,#N/A,FALSE,"AFR-ELC"}</definedName>
    <definedName name="cf" localSheetId="10">{#N/A,#N/A,FALSE,"AFR-ELC"}</definedName>
    <definedName name="cf" localSheetId="12">{#N/A,#N/A,FALSE,"AFR-ELC"}</definedName>
    <definedName name="cf" localSheetId="4">{#N/A,#N/A,FALSE,"AFR-ELC"}</definedName>
    <definedName name="cf">{#N/A,#N/A,FALSE,"AFR-ELC"}</definedName>
    <definedName name="cfin">#REF!</definedName>
    <definedName name="CI" localSheetId="1">#REF!</definedName>
    <definedName name="CI" localSheetId="2">#REF!</definedName>
    <definedName name="CI" localSheetId="3">#REF!</definedName>
    <definedName name="CI" localSheetId="7">#REF!</definedName>
    <definedName name="CI" localSheetId="5">#REF!</definedName>
    <definedName name="CI" localSheetId="9">#REF!</definedName>
    <definedName name="CI" localSheetId="11">#REF!</definedName>
    <definedName name="CI" localSheetId="13">#REF!</definedName>
    <definedName name="CI" localSheetId="10">#REF!</definedName>
    <definedName name="CI" localSheetId="12">#REF!</definedName>
    <definedName name="CI" localSheetId="4">#REF!</definedName>
    <definedName name="CI">#REF!</definedName>
    <definedName name="CI0" localSheetId="1">#REF!</definedName>
    <definedName name="CI0" localSheetId="3">#REF!</definedName>
    <definedName name="CI0" localSheetId="7">#REF!</definedName>
    <definedName name="CI0" localSheetId="5">#REF!</definedName>
    <definedName name="CI0" localSheetId="9">#REF!</definedName>
    <definedName name="CI0" localSheetId="11">#REF!</definedName>
    <definedName name="CI0" localSheetId="13">#REF!</definedName>
    <definedName name="CI0" localSheetId="10">#REF!</definedName>
    <definedName name="CI0" localSheetId="12">#REF!</definedName>
    <definedName name="CI0" localSheetId="4">#REF!</definedName>
    <definedName name="CI0">#REF!</definedName>
    <definedName name="Circular_Columns" localSheetId="4">#REF!</definedName>
    <definedName name="Circular_Columns">#REF!</definedName>
    <definedName name="Circular_Columns_14" localSheetId="4">#REF!</definedName>
    <definedName name="Circular_Columns_14">#REF!</definedName>
    <definedName name="Circular_Columns_16" localSheetId="4">#REF!</definedName>
    <definedName name="Circular_Columns_16">#REF!</definedName>
    <definedName name="Circular_Columns_17" localSheetId="4">#REF!</definedName>
    <definedName name="Circular_Columns_17">#REF!</definedName>
    <definedName name="Claustra_block">[11]Prices!$B$147</definedName>
    <definedName name="Clearing">[11]Rates!$A$52</definedName>
    <definedName name="CLIENT" localSheetId="1">#REF!</definedName>
    <definedName name="CLIENT" localSheetId="2">#REF!</definedName>
    <definedName name="CLIENT" localSheetId="3">#REF!</definedName>
    <definedName name="CLIENT" localSheetId="7">#REF!</definedName>
    <definedName name="CLIENT" localSheetId="5">#REF!</definedName>
    <definedName name="CLIENT" localSheetId="9">#REF!</definedName>
    <definedName name="CLIENT" localSheetId="11">#REF!</definedName>
    <definedName name="CLIENT" localSheetId="13">#REF!</definedName>
    <definedName name="CLIENT" localSheetId="10">#REF!</definedName>
    <definedName name="CLIENT" localSheetId="12">#REF!</definedName>
    <definedName name="CLIENT" localSheetId="4">#REF!</definedName>
    <definedName name="CLIENT">#REF!</definedName>
    <definedName name="CLTV">'[10]Base case - condos'!$H$7</definedName>
    <definedName name="Coffered_slab_formwork">[11]Prices!$B$148</definedName>
    <definedName name="cogtaz_Query_from_wizard" localSheetId="1">#REF!</definedName>
    <definedName name="cogtaz_Query_from_wizard" localSheetId="3">#REF!</definedName>
    <definedName name="cogtaz_Query_from_wizard" localSheetId="7">#REF!</definedName>
    <definedName name="cogtaz_Query_from_wizard" localSheetId="5">#REF!</definedName>
    <definedName name="cogtaz_Query_from_wizard" localSheetId="9">#REF!</definedName>
    <definedName name="cogtaz_Query_from_wizard" localSheetId="11">#REF!</definedName>
    <definedName name="cogtaz_Query_from_wizard" localSheetId="13">#REF!</definedName>
    <definedName name="cogtaz_Query_from_wizard" localSheetId="10">#REF!</definedName>
    <definedName name="cogtaz_Query_from_wizard" localSheetId="12">#REF!</definedName>
    <definedName name="cogtaz_Query_from_wizard" localSheetId="4">#REF!</definedName>
    <definedName name="cogtaz_Query_from_wizard">#REF!</definedName>
    <definedName name="COLDWATER_TOTAL" localSheetId="4">#REF!</definedName>
    <definedName name="COLDWATER_TOTAL">#REF!</definedName>
    <definedName name="COLDWATERTOTAL" localSheetId="4">#REF!</definedName>
    <definedName name="COLDWATERTOTAL">#REF!</definedName>
    <definedName name="Compressor">[11]Prices!$B$150</definedName>
    <definedName name="CON" localSheetId="1">#REF!</definedName>
    <definedName name="CON" localSheetId="2">#REF!</definedName>
    <definedName name="CON" localSheetId="3">#REF!</definedName>
    <definedName name="CON" localSheetId="7">#REF!</definedName>
    <definedName name="CON" localSheetId="5">#REF!</definedName>
    <definedName name="CON" localSheetId="9">#REF!</definedName>
    <definedName name="CON" localSheetId="11">#REF!</definedName>
    <definedName name="CON" localSheetId="13">#REF!</definedName>
    <definedName name="CON" localSheetId="10">#REF!</definedName>
    <definedName name="CON" localSheetId="12">#REF!</definedName>
    <definedName name="CON" localSheetId="4">#REF!</definedName>
    <definedName name="CON">#REF!</definedName>
    <definedName name="Concrete_N11">[11]Rates!$A$66</definedName>
    <definedName name="Concrete_N21_in_column_bases">[11]Rates!$A$71</definedName>
    <definedName name="Concrete_N21_in_ground_beams">[11]Rates!$A$70</definedName>
    <definedName name="Concrete_N25_in_slab_on_grade">[15]Rates!$A$78</definedName>
    <definedName name="contract">'[16]Val Details'!$C$50</definedName>
    <definedName name="ContractName">'[16]Val Details'!$C$51</definedName>
    <definedName name="conv">[17]Assumptions!$C$9</definedName>
    <definedName name="Cover" localSheetId="1" hidden="1">{#N/A,#N/A,FALSE,"Aging Summary";#N/A,#N/A,FALSE,"Ratio Analysis";#N/A,#N/A,FALSE,"Test 120 Day Accts";#N/A,#N/A,FALSE,"Tickmarks"}</definedName>
    <definedName name="Cover" localSheetId="3" hidden="1">{#N/A,#N/A,FALSE,"Aging Summary";#N/A,#N/A,FALSE,"Ratio Analysis";#N/A,#N/A,FALSE,"Test 120 Day Accts";#N/A,#N/A,FALSE,"Tickmarks"}</definedName>
    <definedName name="Cover" localSheetId="7" hidden="1">{#N/A,#N/A,FALSE,"Aging Summary";#N/A,#N/A,FALSE,"Ratio Analysis";#N/A,#N/A,FALSE,"Test 120 Day Accts";#N/A,#N/A,FALSE,"Tickmarks"}</definedName>
    <definedName name="Cover" localSheetId="5" hidden="1">{#N/A,#N/A,FALSE,"Aging Summary";#N/A,#N/A,FALSE,"Ratio Analysis";#N/A,#N/A,FALSE,"Test 120 Day Accts";#N/A,#N/A,FALSE,"Tickmarks"}</definedName>
    <definedName name="Cover" localSheetId="9" hidden="1">{#N/A,#N/A,FALSE,"Aging Summary";#N/A,#N/A,FALSE,"Ratio Analysis";#N/A,#N/A,FALSE,"Test 120 Day Accts";#N/A,#N/A,FALSE,"Tickmarks"}</definedName>
    <definedName name="Cover" localSheetId="11" hidden="1">{#N/A,#N/A,FALSE,"Aging Summary";#N/A,#N/A,FALSE,"Ratio Analysis";#N/A,#N/A,FALSE,"Test 120 Day Accts";#N/A,#N/A,FALSE,"Tickmarks"}</definedName>
    <definedName name="Cover" localSheetId="13" hidden="1">{#N/A,#N/A,FALSE,"Aging Summary";#N/A,#N/A,FALSE,"Ratio Analysis";#N/A,#N/A,FALSE,"Test 120 Day Accts";#N/A,#N/A,FALSE,"Tickmarks"}</definedName>
    <definedName name="Cover" localSheetId="8" hidden="1">{#N/A,#N/A,FALSE,"Aging Summary";#N/A,#N/A,FALSE,"Ratio Analysis";#N/A,#N/A,FALSE,"Test 120 Day Accts";#N/A,#N/A,FALSE,"Tickmarks"}</definedName>
    <definedName name="Cover" localSheetId="10" hidden="1">{#N/A,#N/A,FALSE,"Aging Summary";#N/A,#N/A,FALSE,"Ratio Analysis";#N/A,#N/A,FALSE,"Test 120 Day Accts";#N/A,#N/A,FALSE,"Tickmarks"}</definedName>
    <definedName name="Cover" localSheetId="12" hidden="1">{#N/A,#N/A,FALSE,"Aging Summary";#N/A,#N/A,FALSE,"Ratio Analysis";#N/A,#N/A,FALSE,"Test 120 Day Accts";#N/A,#N/A,FALSE,"Tickmarks"}</definedName>
    <definedName name="Cover" localSheetId="4" hidden="1">{#N/A,#N/A,FALSE,"Aging Summary";#N/A,#N/A,FALSE,"Ratio Analysis";#N/A,#N/A,FALSE,"Test 120 Day Accts";#N/A,#N/A,FALSE,"Tickmarks"}</definedName>
    <definedName name="Cover" hidden="1">{#N/A,#N/A,FALSE,"Aging Summary";#N/A,#N/A,FALSE,"Ratio Analysis";#N/A,#N/A,FALSE,"Test 120 Day Accts";#N/A,#N/A,FALSE,"Tickmarks"}</definedName>
    <definedName name="CTO">#REF!</definedName>
    <definedName name="CTY" localSheetId="8">#REF!</definedName>
    <definedName name="CTY" localSheetId="4">#REF!</definedName>
    <definedName name="CTY">#REF!</definedName>
    <definedName name="Cum_Int" localSheetId="1">#REF!</definedName>
    <definedName name="Cum_Int" localSheetId="3">#REF!</definedName>
    <definedName name="Cum_Int" localSheetId="7">#REF!</definedName>
    <definedName name="Cum_Int" localSheetId="5">#REF!</definedName>
    <definedName name="Cum_Int" localSheetId="9">#REF!</definedName>
    <definedName name="Cum_Int" localSheetId="11">#REF!</definedName>
    <definedName name="Cum_Int" localSheetId="13">#REF!</definedName>
    <definedName name="Cum_Int" localSheetId="10">#REF!</definedName>
    <definedName name="Cum_Int" localSheetId="12">#REF!</definedName>
    <definedName name="Cum_Int" localSheetId="4">#REF!</definedName>
    <definedName name="Cum_Int">#REF!</definedName>
    <definedName name="CUSTOMER" localSheetId="1">#REF!</definedName>
    <definedName name="CUSTOMER" localSheetId="3">#REF!</definedName>
    <definedName name="CUSTOMER" localSheetId="7">#REF!</definedName>
    <definedName name="CUSTOMER" localSheetId="5">#REF!</definedName>
    <definedName name="CUSTOMER" localSheetId="9">#REF!</definedName>
    <definedName name="CUSTOMER" localSheetId="11">#REF!</definedName>
    <definedName name="CUSTOMER" localSheetId="13">#REF!</definedName>
    <definedName name="CUSTOMER" localSheetId="10">#REF!</definedName>
    <definedName name="CUSTOMER" localSheetId="12">#REF!</definedName>
    <definedName name="CUSTOMER" localSheetId="4">#REF!</definedName>
    <definedName name="CUSTOMER">#REF!</definedName>
    <definedName name="D" localSheetId="1">#REF!</definedName>
    <definedName name="D" localSheetId="3">#REF!</definedName>
    <definedName name="D" localSheetId="7">#REF!</definedName>
    <definedName name="D" localSheetId="5">#REF!</definedName>
    <definedName name="D" localSheetId="9">#REF!</definedName>
    <definedName name="D" localSheetId="11">#REF!</definedName>
    <definedName name="D" localSheetId="13">#REF!</definedName>
    <definedName name="D" localSheetId="10">#REF!</definedName>
    <definedName name="D" localSheetId="12">#REF!</definedName>
    <definedName name="D" localSheetId="4">#REF!</definedName>
    <definedName name="D">#REF!</definedName>
    <definedName name="Data" localSheetId="4">#REF!</definedName>
    <definedName name="Data">#REF!</definedName>
    <definedName name="_xlnm.Database" localSheetId="4">#REF!</definedName>
    <definedName name="_xlnm.Database">#REF!</definedName>
    <definedName name="DATE" localSheetId="4">#REF!</definedName>
    <definedName name="DATE">#REF!</definedName>
    <definedName name="ddd" localSheetId="4">#REF!</definedName>
    <definedName name="ddd">#REF!</definedName>
    <definedName name="demolition" localSheetId="4">#REF!</definedName>
    <definedName name="demolition">#REF!</definedName>
    <definedName name="des" localSheetId="4">#REF!</definedName>
    <definedName name="des">#REF!</definedName>
    <definedName name="Description">"B1"</definedName>
    <definedName name="dfr" localSheetId="6">'[8]MAIN BLD TAKE OFF'!#REF!</definedName>
    <definedName name="dfr" localSheetId="1">'[8]MAIN BLD TAKE OFF'!#REF!</definedName>
    <definedName name="dfr" localSheetId="4">'[8]MAIN BLD TAKE OFF'!#REF!</definedName>
    <definedName name="dfr">'[8]MAIN BLD TAKE OFF'!#REF!</definedName>
    <definedName name="Disposal_excavated_material">[11]Rates!$A$61</definedName>
    <definedName name="Division" localSheetId="1">#REF!</definedName>
    <definedName name="Division" localSheetId="3">#REF!</definedName>
    <definedName name="Division" localSheetId="7">#REF!</definedName>
    <definedName name="Division" localSheetId="5">#REF!</definedName>
    <definedName name="Division" localSheetId="9">#REF!</definedName>
    <definedName name="Division" localSheetId="11">#REF!</definedName>
    <definedName name="Division" localSheetId="13">#REF!</definedName>
    <definedName name="Division" localSheetId="10">#REF!</definedName>
    <definedName name="Division" localSheetId="12">#REF!</definedName>
    <definedName name="Division" localSheetId="4">#REF!</definedName>
    <definedName name="Division">#REF!</definedName>
    <definedName name="don" localSheetId="6">{#N/A,#N/A,FALSE,"AFR-ELC"}</definedName>
    <definedName name="don" localSheetId="1">{#N/A,#N/A,FALSE,"AFR-ELC"}</definedName>
    <definedName name="don" localSheetId="3">{#N/A,#N/A,FALSE,"AFR-ELC"}</definedName>
    <definedName name="don" localSheetId="7">{#N/A,#N/A,FALSE,"AFR-ELC"}</definedName>
    <definedName name="don" localSheetId="5">{#N/A,#N/A,FALSE,"AFR-ELC"}</definedName>
    <definedName name="don" localSheetId="9">{#N/A,#N/A,FALSE,"AFR-ELC"}</definedName>
    <definedName name="don" localSheetId="11">{#N/A,#N/A,FALSE,"AFR-ELC"}</definedName>
    <definedName name="don" localSheetId="13">{#N/A,#N/A,FALSE,"AFR-ELC"}</definedName>
    <definedName name="don" localSheetId="8">{#N/A,#N/A,FALSE,"AFR-ELC"}</definedName>
    <definedName name="don" localSheetId="10">{#N/A,#N/A,FALSE,"AFR-ELC"}</definedName>
    <definedName name="don" localSheetId="12">{#N/A,#N/A,FALSE,"AFR-ELC"}</definedName>
    <definedName name="don" localSheetId="4">{#N/A,#N/A,FALSE,"AFR-ELC"}</definedName>
    <definedName name="don">{#N/A,#N/A,FALSE,"AFR-ELC"}</definedName>
    <definedName name="dor">#REF!</definedName>
    <definedName name="Dozer_hire">[11]Prices!$B$174</definedName>
    <definedName name="dr" localSheetId="8">#REF!</definedName>
    <definedName name="dr" localSheetId="4">#REF!</definedName>
    <definedName name="dr">#REF!</definedName>
    <definedName name="drainage" localSheetId="8">#REF!</definedName>
    <definedName name="drainage" localSheetId="4">#REF!</definedName>
    <definedName name="drainage">#REF!</definedName>
    <definedName name="drg" localSheetId="8">#REF!</definedName>
    <definedName name="drg" localSheetId="4">#REF!</definedName>
    <definedName name="drg">#REF!</definedName>
    <definedName name="drgex" localSheetId="4">#REF!</definedName>
    <definedName name="drgex">#REF!</definedName>
    <definedName name="dsa" localSheetId="6" hidden="1">{#N/A,#N/A,FALSE,"AFR-ELC"}</definedName>
    <definedName name="dsa" localSheetId="1" hidden="1">{#N/A,#N/A,FALSE,"AFR-ELC"}</definedName>
    <definedName name="dsa" localSheetId="3" hidden="1">{#N/A,#N/A,FALSE,"AFR-ELC"}</definedName>
    <definedName name="dsa" localSheetId="7" hidden="1">{#N/A,#N/A,FALSE,"AFR-ELC"}</definedName>
    <definedName name="dsa" localSheetId="5" hidden="1">{#N/A,#N/A,FALSE,"AFR-ELC"}</definedName>
    <definedName name="dsa" localSheetId="9" hidden="1">{#N/A,#N/A,FALSE,"AFR-ELC"}</definedName>
    <definedName name="dsa" localSheetId="11" hidden="1">{#N/A,#N/A,FALSE,"AFR-ELC"}</definedName>
    <definedName name="dsa" localSheetId="13" hidden="1">{#N/A,#N/A,FALSE,"AFR-ELC"}</definedName>
    <definedName name="dsa" localSheetId="8" hidden="1">{#N/A,#N/A,FALSE,"AFR-ELC"}</definedName>
    <definedName name="dsa" localSheetId="10" hidden="1">{#N/A,#N/A,FALSE,"AFR-ELC"}</definedName>
    <definedName name="dsa" localSheetId="12" hidden="1">{#N/A,#N/A,FALSE,"AFR-ELC"}</definedName>
    <definedName name="dsa" localSheetId="4" hidden="1">{#N/A,#N/A,FALSE,"AFR-ELC"}</definedName>
    <definedName name="dsa" hidden="1">{#N/A,#N/A,FALSE,"AFR-ELC"}</definedName>
    <definedName name="dwq">#REF!</definedName>
    <definedName name="E" localSheetId="1">#REF!</definedName>
    <definedName name="E" localSheetId="2">#REF!</definedName>
    <definedName name="E" localSheetId="3">#REF!</definedName>
    <definedName name="E" localSheetId="7">#REF!</definedName>
    <definedName name="E" localSheetId="5">#REF!</definedName>
    <definedName name="E" localSheetId="9">#REF!</definedName>
    <definedName name="E" localSheetId="11">#REF!</definedName>
    <definedName name="E" localSheetId="13">#REF!</definedName>
    <definedName name="E" localSheetId="10">#REF!</definedName>
    <definedName name="E" localSheetId="12">#REF!</definedName>
    <definedName name="E" localSheetId="4">#REF!</definedName>
    <definedName name="E">#REF!</definedName>
    <definedName name="eee" localSheetId="4">#REF!</definedName>
    <definedName name="eee">#REF!</definedName>
    <definedName name="EFFIONG" localSheetId="6" hidden="1">{#N/A,#N/A,FALSE,"AFR-ELC"}</definedName>
    <definedName name="EFFIONG" localSheetId="0" hidden="1">{#N/A,#N/A,FALSE,"AFR-ELC"}</definedName>
    <definedName name="EFFIONG" localSheetId="1" hidden="1">{#N/A,#N/A,FALSE,"AFR-ELC"}</definedName>
    <definedName name="EFFIONG" localSheetId="2" hidden="1">{#N/A,#N/A,FALSE,"AFR-ELC"}</definedName>
    <definedName name="EFFIONG" localSheetId="3" hidden="1">{#N/A,#N/A,FALSE,"AFR-ELC"}</definedName>
    <definedName name="EFFIONG" localSheetId="7" hidden="1">{#N/A,#N/A,FALSE,"AFR-ELC"}</definedName>
    <definedName name="EFFIONG" localSheetId="5" hidden="1">{#N/A,#N/A,FALSE,"AFR-ELC"}</definedName>
    <definedName name="EFFIONG" localSheetId="9" hidden="1">{#N/A,#N/A,FALSE,"AFR-ELC"}</definedName>
    <definedName name="EFFIONG" localSheetId="11" hidden="1">{#N/A,#N/A,FALSE,"AFR-ELC"}</definedName>
    <definedName name="EFFIONG" localSheetId="13" hidden="1">{#N/A,#N/A,FALSE,"AFR-ELC"}</definedName>
    <definedName name="EFFIONG" localSheetId="8" hidden="1">{#N/A,#N/A,FALSE,"AFR-ELC"}</definedName>
    <definedName name="EFFIONG" localSheetId="10" hidden="1">{#N/A,#N/A,FALSE,"AFR-ELC"}</definedName>
    <definedName name="EFFIONG" localSheetId="12" hidden="1">{#N/A,#N/A,FALSE,"AFR-ELC"}</definedName>
    <definedName name="EFFIONG" localSheetId="4" hidden="1">{#N/A,#N/A,FALSE,"AFR-ELC"}</definedName>
    <definedName name="EFFIONG" hidden="1">{#N/A,#N/A,FALSE,"AFR-ELC"}</definedName>
    <definedName name="Ele.3">#REF!</definedName>
    <definedName name="elect" localSheetId="8">#REF!</definedName>
    <definedName name="elect" localSheetId="4">#REF!</definedName>
    <definedName name="elect">#REF!</definedName>
    <definedName name="elect1" localSheetId="8">#REF!</definedName>
    <definedName name="elect1" localSheetId="4">#REF!</definedName>
    <definedName name="elect1">#REF!</definedName>
    <definedName name="elect2" localSheetId="4">#REF!</definedName>
    <definedName name="elect2">#REF!</definedName>
    <definedName name="elect3" localSheetId="4">#REF!</definedName>
    <definedName name="elect3">#REF!</definedName>
    <definedName name="electrical" localSheetId="4">#REF!</definedName>
    <definedName name="electrical">#REF!</definedName>
    <definedName name="Elem.1" localSheetId="4">#REF!</definedName>
    <definedName name="Elem.1">#REF!</definedName>
    <definedName name="Elem.10" localSheetId="4">#REF!</definedName>
    <definedName name="Elem.10">#REF!</definedName>
    <definedName name="Elem.11" localSheetId="4">#REF!</definedName>
    <definedName name="Elem.11">#REF!</definedName>
    <definedName name="Elem.12" localSheetId="4">#REF!</definedName>
    <definedName name="Elem.12">#REF!</definedName>
    <definedName name="Elem.13" localSheetId="4">#REF!</definedName>
    <definedName name="Elem.13">#REF!</definedName>
    <definedName name="Elem.2" localSheetId="4">#REF!</definedName>
    <definedName name="Elem.2">#REF!</definedName>
    <definedName name="Elem.4" localSheetId="4">#REF!</definedName>
    <definedName name="Elem.4">#REF!</definedName>
    <definedName name="Elem.5" localSheetId="4">#REF!</definedName>
    <definedName name="Elem.5">#REF!</definedName>
    <definedName name="Elem.6" localSheetId="4">#REF!</definedName>
    <definedName name="Elem.6">#REF!</definedName>
    <definedName name="Elem.7" localSheetId="4">#REF!</definedName>
    <definedName name="Elem.7">#REF!</definedName>
    <definedName name="Elem.8" localSheetId="4">#REF!</definedName>
    <definedName name="Elem.8">#REF!</definedName>
    <definedName name="Elem.9" localSheetId="4">#REF!</definedName>
    <definedName name="Elem.9">#REF!</definedName>
    <definedName name="Emulsion_paint">[11]Prices!$B$178</definedName>
    <definedName name="Emulsion_paint_contractors">[11]Prices!$B$179</definedName>
    <definedName name="Emulsion_painting">[11]Rates!$A$237</definedName>
    <definedName name="End_Bal" localSheetId="1">#REF!</definedName>
    <definedName name="End_Bal" localSheetId="3">#REF!</definedName>
    <definedName name="End_Bal" localSheetId="7">#REF!</definedName>
    <definedName name="End_Bal" localSheetId="5">#REF!</definedName>
    <definedName name="End_Bal" localSheetId="9">#REF!</definedName>
    <definedName name="End_Bal" localSheetId="11">#REF!</definedName>
    <definedName name="End_Bal" localSheetId="13">#REF!</definedName>
    <definedName name="End_Bal" localSheetId="10">#REF!</definedName>
    <definedName name="End_Bal" localSheetId="12">#REF!</definedName>
    <definedName name="End_Bal" localSheetId="4">#REF!</definedName>
    <definedName name="End_Bal">#REF!</definedName>
    <definedName name="ENGINEER" localSheetId="1">#REF!</definedName>
    <definedName name="ENGINEER" localSheetId="2">#REF!</definedName>
    <definedName name="ENGINEER" localSheetId="3">#REF!</definedName>
    <definedName name="ENGINEER" localSheetId="7">#REF!</definedName>
    <definedName name="ENGINEER" localSheetId="5">#REF!</definedName>
    <definedName name="ENGINEER" localSheetId="9">#REF!</definedName>
    <definedName name="ENGINEER" localSheetId="11">#REF!</definedName>
    <definedName name="ENGINEER" localSheetId="13">#REF!</definedName>
    <definedName name="ENGINEER" localSheetId="10">#REF!</definedName>
    <definedName name="ENGINEER" localSheetId="12">#REF!</definedName>
    <definedName name="ENGINEER" localSheetId="4">#REF!</definedName>
    <definedName name="ENGINEER">#REF!</definedName>
    <definedName name="Entrance" localSheetId="1" hidden="1">{#N/A,#N/A,FALSE,"AFR-ELC"}</definedName>
    <definedName name="Entrance" localSheetId="3" hidden="1">{#N/A,#N/A,FALSE,"AFR-ELC"}</definedName>
    <definedName name="Entrance" localSheetId="7" hidden="1">{#N/A,#N/A,FALSE,"AFR-ELC"}</definedName>
    <definedName name="Entrance" localSheetId="5" hidden="1">{#N/A,#N/A,FALSE,"AFR-ELC"}</definedName>
    <definedName name="Entrance" localSheetId="9" hidden="1">{#N/A,#N/A,FALSE,"AFR-ELC"}</definedName>
    <definedName name="Entrance" localSheetId="11" hidden="1">{#N/A,#N/A,FALSE,"AFR-ELC"}</definedName>
    <definedName name="Entrance" localSheetId="13" hidden="1">{#N/A,#N/A,FALSE,"AFR-ELC"}</definedName>
    <definedName name="Entrance" localSheetId="8" hidden="1">{#N/A,#N/A,FALSE,"AFR-ELC"}</definedName>
    <definedName name="Entrance" localSheetId="10" hidden="1">{#N/A,#N/A,FALSE,"AFR-ELC"}</definedName>
    <definedName name="Entrance" localSheetId="12" hidden="1">{#N/A,#N/A,FALSE,"AFR-ELC"}</definedName>
    <definedName name="Entrance" localSheetId="4" hidden="1">{#N/A,#N/A,FALSE,"AFR-ELC"}</definedName>
    <definedName name="Entrance" hidden="1">{#N/A,#N/A,FALSE,"AFR-ELC"}</definedName>
    <definedName name="Epoxy_floor_finish">[11]Prices!$B$177</definedName>
    <definedName name="es" localSheetId="8">#REF!</definedName>
    <definedName name="es" localSheetId="4">#REF!</definedName>
    <definedName name="es">#REF!</definedName>
    <definedName name="EW.1" localSheetId="8">#REF!</definedName>
    <definedName name="EW.1" localSheetId="4">#REF!</definedName>
    <definedName name="EW.1">#REF!</definedName>
    <definedName name="EW.2" localSheetId="8">#REF!</definedName>
    <definedName name="EW.2" localSheetId="4">#REF!</definedName>
    <definedName name="EW.2">#REF!</definedName>
    <definedName name="EW.3" localSheetId="4">#REF!</definedName>
    <definedName name="EW.3">#REF!</definedName>
    <definedName name="EW.4" localSheetId="4">#REF!</definedName>
    <definedName name="EW.4">#REF!</definedName>
    <definedName name="Excavator_hire">[11]Prices!$B$182</definedName>
    <definedName name="Excel_BuiltIn_Print_Area_1" localSheetId="8">#REF!</definedName>
    <definedName name="Excel_BuiltIn_Print_Area_1" localSheetId="4">#REF!</definedName>
    <definedName name="Excel_BuiltIn_Print_Area_1">#REF!</definedName>
    <definedName name="Excel_BuiltIn_Print_Area_1_1" localSheetId="1">#REF!</definedName>
    <definedName name="Excel_BuiltIn_Print_Area_1_1" localSheetId="2">#REF!</definedName>
    <definedName name="Excel_BuiltIn_Print_Area_1_1" localSheetId="3">#REF!</definedName>
    <definedName name="Excel_BuiltIn_Print_Area_1_1" localSheetId="7">#REF!</definedName>
    <definedName name="Excel_BuiltIn_Print_Area_1_1" localSheetId="5">#REF!</definedName>
    <definedName name="Excel_BuiltIn_Print_Area_1_1" localSheetId="9">#REF!</definedName>
    <definedName name="Excel_BuiltIn_Print_Area_1_1" localSheetId="11">#REF!</definedName>
    <definedName name="Excel_BuiltIn_Print_Area_1_1" localSheetId="13">#REF!</definedName>
    <definedName name="Excel_BuiltIn_Print_Area_1_1" localSheetId="10">#REF!</definedName>
    <definedName name="Excel_BuiltIn_Print_Area_1_1" localSheetId="12">#REF!</definedName>
    <definedName name="Excel_BuiltIn_Print_Area_1_1" localSheetId="4">#REF!</definedName>
    <definedName name="Excel_BuiltIn_Print_Area_1_1">#REF!</definedName>
    <definedName name="Excel_BuiltIn_Print_Area_1_1_1" localSheetId="3">#REF!</definedName>
    <definedName name="Excel_BuiltIn_Print_Area_1_1_1" localSheetId="7">#REF!</definedName>
    <definedName name="Excel_BuiltIn_Print_Area_1_1_1" localSheetId="5">#REF!</definedName>
    <definedName name="Excel_BuiltIn_Print_Area_1_1_1" localSheetId="9">#REF!</definedName>
    <definedName name="Excel_BuiltIn_Print_Area_1_1_1" localSheetId="11">#REF!</definedName>
    <definedName name="Excel_BuiltIn_Print_Area_1_1_1" localSheetId="13">#REF!</definedName>
    <definedName name="Excel_BuiltIn_Print_Area_1_1_1" localSheetId="10">#REF!</definedName>
    <definedName name="Excel_BuiltIn_Print_Area_1_1_1" localSheetId="12">#REF!</definedName>
    <definedName name="Excel_BuiltIn_Print_Area_1_1_1" localSheetId="4">#REF!</definedName>
    <definedName name="Excel_BuiltIn_Print_Area_1_1_1">#REF!</definedName>
    <definedName name="Excel_BuiltIn_Print_Area_1_1_1_1" localSheetId="3">#REF!</definedName>
    <definedName name="Excel_BuiltIn_Print_Area_1_1_1_1" localSheetId="7">#REF!</definedName>
    <definedName name="Excel_BuiltIn_Print_Area_1_1_1_1" localSheetId="5">#REF!</definedName>
    <definedName name="Excel_BuiltIn_Print_Area_1_1_1_1" localSheetId="9">#REF!</definedName>
    <definedName name="Excel_BuiltIn_Print_Area_1_1_1_1" localSheetId="11">#REF!</definedName>
    <definedName name="Excel_BuiltIn_Print_Area_1_1_1_1" localSheetId="13">#REF!</definedName>
    <definedName name="Excel_BuiltIn_Print_Area_1_1_1_1" localSheetId="10">#REF!</definedName>
    <definedName name="Excel_BuiltIn_Print_Area_1_1_1_1" localSheetId="12">#REF!</definedName>
    <definedName name="Excel_BuiltIn_Print_Area_1_1_1_1" localSheetId="4">#REF!</definedName>
    <definedName name="Excel_BuiltIn_Print_Area_1_1_1_1">#REF!</definedName>
    <definedName name="Excel_BuiltIn_Print_Area_1_1_1_1_1" localSheetId="4">#REF!</definedName>
    <definedName name="Excel_BuiltIn_Print_Area_1_1_1_1_1">#REF!</definedName>
    <definedName name="Excel_BuiltIn_Print_Area_1_1_1_1_1_1" localSheetId="4">#REF!</definedName>
    <definedName name="Excel_BuiltIn_Print_Area_1_1_1_1_1_1">#REF!</definedName>
    <definedName name="EXHIBIT" localSheetId="4">#REF!</definedName>
    <definedName name="EXHIBIT">#REF!</definedName>
    <definedName name="EXIT" localSheetId="4">#REF!</definedName>
    <definedName name="EXIT">#REF!</definedName>
    <definedName name="Expansion_joint">[11]Rates!$A$86</definedName>
    <definedName name="Exrate">[11]Prices!$B$183</definedName>
    <definedName name="exserv" localSheetId="8">#REF!</definedName>
    <definedName name="exserv" localSheetId="4">#REF!</definedName>
    <definedName name="exserv">#REF!</definedName>
    <definedName name="exserv1" localSheetId="8">#REF!</definedName>
    <definedName name="exserv1" localSheetId="4">#REF!</definedName>
    <definedName name="exserv1">#REF!</definedName>
    <definedName name="exserv2" localSheetId="8">#REF!</definedName>
    <definedName name="exserv2" localSheetId="4">#REF!</definedName>
    <definedName name="exserv2">#REF!</definedName>
    <definedName name="EXTERNALWORKS" localSheetId="4">#REF!</definedName>
    <definedName name="EXTERNALWORKS">#REF!</definedName>
    <definedName name="Extra_Pay" localSheetId="4">#REF!</definedName>
    <definedName name="Extra_Pay">#REF!</definedName>
    <definedName name="F" localSheetId="4">#REF!</definedName>
    <definedName name="F">#REF!</definedName>
    <definedName name="fac" localSheetId="4">#REF!</definedName>
    <definedName name="fac">#REF!</definedName>
    <definedName name="FACELIFT" localSheetId="1" hidden="1">{#N/A,#N/A,FALSE,"AFR-ELC"}</definedName>
    <definedName name="FACELIFT" localSheetId="2" hidden="1">{#N/A,#N/A,FALSE,"AFR-ELC"}</definedName>
    <definedName name="FACELIFT" localSheetId="3" hidden="1">{#N/A,#N/A,FALSE,"AFR-ELC"}</definedName>
    <definedName name="FACELIFT" localSheetId="7" hidden="1">{#N/A,#N/A,FALSE,"AFR-ELC"}</definedName>
    <definedName name="FACELIFT" localSheetId="5" hidden="1">{#N/A,#N/A,FALSE,"AFR-ELC"}</definedName>
    <definedName name="FACELIFT" localSheetId="9" hidden="1">{#N/A,#N/A,FALSE,"AFR-ELC"}</definedName>
    <definedName name="FACELIFT" localSheetId="11" hidden="1">{#N/A,#N/A,FALSE,"AFR-ELC"}</definedName>
    <definedName name="FACELIFT" localSheetId="13" hidden="1">{#N/A,#N/A,FALSE,"AFR-ELC"}</definedName>
    <definedName name="FACELIFT" localSheetId="8" hidden="1">{#N/A,#N/A,FALSE,"AFR-ELC"}</definedName>
    <definedName name="FACELIFT" localSheetId="10" hidden="1">{#N/A,#N/A,FALSE,"AFR-ELC"}</definedName>
    <definedName name="FACELIFT" localSheetId="12" hidden="1">{#N/A,#N/A,FALSE,"AFR-ELC"}</definedName>
    <definedName name="FACELIFT" localSheetId="4" hidden="1">{#N/A,#N/A,FALSE,"AFR-ELC"}</definedName>
    <definedName name="FACELIFT" hidden="1">{#N/A,#N/A,FALSE,"AFR-ELC"}</definedName>
    <definedName name="faf">#REF!</definedName>
    <definedName name="fenchuck" localSheetId="1" hidden="1">{#N/A,#N/A,FALSE,"el.det";#N/A,#N/A,FALSE,"mu.det";#N/A,#N/A,FALSE,"ug.det";#N/A,#N/A,FALSE,"ex.det";#N/A,#N/A,FALSE,"lux.det";#N/A,#N/A,FALSE,"custom.lot";#N/A,#N/A,FALSE,"condo.att";#N/A,#N/A,FALSE,"el.att";#N/A,#N/A,FALSE,"mu.att";#N/A,#N/A,FALSE,"ex.att";#N/A,#N/A,FALSE,"lux.att";#N/A,#N/A,FALSE,"all.by.village"}</definedName>
    <definedName name="fenchuck" localSheetId="3" hidden="1">{#N/A,#N/A,FALSE,"el.det";#N/A,#N/A,FALSE,"mu.det";#N/A,#N/A,FALSE,"ug.det";#N/A,#N/A,FALSE,"ex.det";#N/A,#N/A,FALSE,"lux.det";#N/A,#N/A,FALSE,"custom.lot";#N/A,#N/A,FALSE,"condo.att";#N/A,#N/A,FALSE,"el.att";#N/A,#N/A,FALSE,"mu.att";#N/A,#N/A,FALSE,"ex.att";#N/A,#N/A,FALSE,"lux.att";#N/A,#N/A,FALSE,"all.by.village"}</definedName>
    <definedName name="fenchuck" localSheetId="7" hidden="1">{#N/A,#N/A,FALSE,"el.det";#N/A,#N/A,FALSE,"mu.det";#N/A,#N/A,FALSE,"ug.det";#N/A,#N/A,FALSE,"ex.det";#N/A,#N/A,FALSE,"lux.det";#N/A,#N/A,FALSE,"custom.lot";#N/A,#N/A,FALSE,"condo.att";#N/A,#N/A,FALSE,"el.att";#N/A,#N/A,FALSE,"mu.att";#N/A,#N/A,FALSE,"ex.att";#N/A,#N/A,FALSE,"lux.att";#N/A,#N/A,FALSE,"all.by.village"}</definedName>
    <definedName name="fenchuck" localSheetId="5" hidden="1">{#N/A,#N/A,FALSE,"el.det";#N/A,#N/A,FALSE,"mu.det";#N/A,#N/A,FALSE,"ug.det";#N/A,#N/A,FALSE,"ex.det";#N/A,#N/A,FALSE,"lux.det";#N/A,#N/A,FALSE,"custom.lot";#N/A,#N/A,FALSE,"condo.att";#N/A,#N/A,FALSE,"el.att";#N/A,#N/A,FALSE,"mu.att";#N/A,#N/A,FALSE,"ex.att";#N/A,#N/A,FALSE,"lux.att";#N/A,#N/A,FALSE,"all.by.village"}</definedName>
    <definedName name="fenchuck" localSheetId="9" hidden="1">{#N/A,#N/A,FALSE,"el.det";#N/A,#N/A,FALSE,"mu.det";#N/A,#N/A,FALSE,"ug.det";#N/A,#N/A,FALSE,"ex.det";#N/A,#N/A,FALSE,"lux.det";#N/A,#N/A,FALSE,"custom.lot";#N/A,#N/A,FALSE,"condo.att";#N/A,#N/A,FALSE,"el.att";#N/A,#N/A,FALSE,"mu.att";#N/A,#N/A,FALSE,"ex.att";#N/A,#N/A,FALSE,"lux.att";#N/A,#N/A,FALSE,"all.by.village"}</definedName>
    <definedName name="fenchuck" localSheetId="11" hidden="1">{#N/A,#N/A,FALSE,"el.det";#N/A,#N/A,FALSE,"mu.det";#N/A,#N/A,FALSE,"ug.det";#N/A,#N/A,FALSE,"ex.det";#N/A,#N/A,FALSE,"lux.det";#N/A,#N/A,FALSE,"custom.lot";#N/A,#N/A,FALSE,"condo.att";#N/A,#N/A,FALSE,"el.att";#N/A,#N/A,FALSE,"mu.att";#N/A,#N/A,FALSE,"ex.att";#N/A,#N/A,FALSE,"lux.att";#N/A,#N/A,FALSE,"all.by.village"}</definedName>
    <definedName name="fenchuck" localSheetId="13" hidden="1">{#N/A,#N/A,FALSE,"el.det";#N/A,#N/A,FALSE,"mu.det";#N/A,#N/A,FALSE,"ug.det";#N/A,#N/A,FALSE,"ex.det";#N/A,#N/A,FALSE,"lux.det";#N/A,#N/A,FALSE,"custom.lot";#N/A,#N/A,FALSE,"condo.att";#N/A,#N/A,FALSE,"el.att";#N/A,#N/A,FALSE,"mu.att";#N/A,#N/A,FALSE,"ex.att";#N/A,#N/A,FALSE,"lux.att";#N/A,#N/A,FALSE,"all.by.village"}</definedName>
    <definedName name="fenchuck" localSheetId="8" hidden="1">{#N/A,#N/A,FALSE,"el.det";#N/A,#N/A,FALSE,"mu.det";#N/A,#N/A,FALSE,"ug.det";#N/A,#N/A,FALSE,"ex.det";#N/A,#N/A,FALSE,"lux.det";#N/A,#N/A,FALSE,"custom.lot";#N/A,#N/A,FALSE,"condo.att";#N/A,#N/A,FALSE,"el.att";#N/A,#N/A,FALSE,"mu.att";#N/A,#N/A,FALSE,"ex.att";#N/A,#N/A,FALSE,"lux.att";#N/A,#N/A,FALSE,"all.by.village"}</definedName>
    <definedName name="fenchuck" localSheetId="10" hidden="1">{#N/A,#N/A,FALSE,"el.det";#N/A,#N/A,FALSE,"mu.det";#N/A,#N/A,FALSE,"ug.det";#N/A,#N/A,FALSE,"ex.det";#N/A,#N/A,FALSE,"lux.det";#N/A,#N/A,FALSE,"custom.lot";#N/A,#N/A,FALSE,"condo.att";#N/A,#N/A,FALSE,"el.att";#N/A,#N/A,FALSE,"mu.att";#N/A,#N/A,FALSE,"ex.att";#N/A,#N/A,FALSE,"lux.att";#N/A,#N/A,FALSE,"all.by.village"}</definedName>
    <definedName name="fenchuck" localSheetId="12" hidden="1">{#N/A,#N/A,FALSE,"el.det";#N/A,#N/A,FALSE,"mu.det";#N/A,#N/A,FALSE,"ug.det";#N/A,#N/A,FALSE,"ex.det";#N/A,#N/A,FALSE,"lux.det";#N/A,#N/A,FALSE,"custom.lot";#N/A,#N/A,FALSE,"condo.att";#N/A,#N/A,FALSE,"el.att";#N/A,#N/A,FALSE,"mu.att";#N/A,#N/A,FALSE,"ex.att";#N/A,#N/A,FALSE,"lux.att";#N/A,#N/A,FALSE,"all.by.village"}</definedName>
    <definedName name="fenchuck" localSheetId="4" hidden="1">{#N/A,#N/A,FALSE,"el.det";#N/A,#N/A,FALSE,"mu.det";#N/A,#N/A,FALSE,"ug.det";#N/A,#N/A,FALSE,"ex.det";#N/A,#N/A,FALSE,"lux.det";#N/A,#N/A,FALSE,"custom.lot";#N/A,#N/A,FALSE,"condo.att";#N/A,#N/A,FALSE,"el.att";#N/A,#N/A,FALSE,"mu.att";#N/A,#N/A,FALSE,"ex.att";#N/A,#N/A,FALSE,"lux.att";#N/A,#N/A,FALSE,"all.by.village"}</definedName>
    <definedName name="fenchuck" hidden="1">{#N/A,#N/A,FALSE,"el.det";#N/A,#N/A,FALSE,"mu.det";#N/A,#N/A,FALSE,"ug.det";#N/A,#N/A,FALSE,"ex.det";#N/A,#N/A,FALSE,"lux.det";#N/A,#N/A,FALSE,"custom.lot";#N/A,#N/A,FALSE,"condo.att";#N/A,#N/A,FALSE,"el.att";#N/A,#N/A,FALSE,"mu.att";#N/A,#N/A,FALSE,"ex.att";#N/A,#N/A,FALSE,"lux.att";#N/A,#N/A,FALSE,"all.by.village"}</definedName>
    <definedName name="ff">#REF!</definedName>
    <definedName name="fff" localSheetId="8">#REF!</definedName>
    <definedName name="fff" localSheetId="4">#REF!</definedName>
    <definedName name="fff">#REF!</definedName>
    <definedName name="ffin" localSheetId="8">#REF!</definedName>
    <definedName name="ffin" localSheetId="4">#REF!</definedName>
    <definedName name="ffin">#REF!</definedName>
    <definedName name="Fill" localSheetId="1" hidden="1">#REF!</definedName>
    <definedName name="Fill" localSheetId="3" hidden="1">#REF!</definedName>
    <definedName name="Fill" localSheetId="7" hidden="1">#REF!</definedName>
    <definedName name="Fill" localSheetId="5" hidden="1">#REF!</definedName>
    <definedName name="Fill" localSheetId="9" hidden="1">#REF!</definedName>
    <definedName name="Fill" localSheetId="11" hidden="1">#REF!</definedName>
    <definedName name="Fill" localSheetId="13" hidden="1">#REF!</definedName>
    <definedName name="Fill" localSheetId="10" hidden="1">#REF!</definedName>
    <definedName name="Fill" localSheetId="12" hidden="1">#REF!</definedName>
    <definedName name="Fill" localSheetId="4" hidden="1">#REF!</definedName>
    <definedName name="Fill" hidden="1">#REF!</definedName>
    <definedName name="Filling_sand">[11]Prices!$B$188</definedName>
    <definedName name="fin" localSheetId="8">#REF!</definedName>
    <definedName name="fin" localSheetId="4">#REF!</definedName>
    <definedName name="fin">#REF!</definedName>
    <definedName name="finishings" localSheetId="8">#REF!</definedName>
    <definedName name="finishings" localSheetId="4">#REF!</definedName>
    <definedName name="finishings">#REF!</definedName>
    <definedName name="FIRE_TOTAL" localSheetId="8">#REF!</definedName>
    <definedName name="FIRE_TOTAL" localSheetId="4">#REF!</definedName>
    <definedName name="FIRE_TOTAL">#REF!</definedName>
    <definedName name="FIRETOTAL" localSheetId="4">#REF!</definedName>
    <definedName name="FIRETOTAL">#REF!</definedName>
    <definedName name="Fixed_Costs">[18]BEP!$C$8</definedName>
    <definedName name="fl" localSheetId="1">{#N/A,#N/A,FALSE,"Variables";#N/A,#N/A,FALSE,"NPV Cashflows NZ$";#N/A,#N/A,FALSE,"Cashflows NZ$"}</definedName>
    <definedName name="fl" localSheetId="3">{#N/A,#N/A,FALSE,"Variables";#N/A,#N/A,FALSE,"NPV Cashflows NZ$";#N/A,#N/A,FALSE,"Cashflows NZ$"}</definedName>
    <definedName name="fl" localSheetId="7">{#N/A,#N/A,FALSE,"Variables";#N/A,#N/A,FALSE,"NPV Cashflows NZ$";#N/A,#N/A,FALSE,"Cashflows NZ$"}</definedName>
    <definedName name="fl" localSheetId="5">{#N/A,#N/A,FALSE,"Variables";#N/A,#N/A,FALSE,"NPV Cashflows NZ$";#N/A,#N/A,FALSE,"Cashflows NZ$"}</definedName>
    <definedName name="fl" localSheetId="9">{#N/A,#N/A,FALSE,"Variables";#N/A,#N/A,FALSE,"NPV Cashflows NZ$";#N/A,#N/A,FALSE,"Cashflows NZ$"}</definedName>
    <definedName name="fl" localSheetId="11">{#N/A,#N/A,FALSE,"Variables";#N/A,#N/A,FALSE,"NPV Cashflows NZ$";#N/A,#N/A,FALSE,"Cashflows NZ$"}</definedName>
    <definedName name="fl" localSheetId="13">{#N/A,#N/A,FALSE,"Variables";#N/A,#N/A,FALSE,"NPV Cashflows NZ$";#N/A,#N/A,FALSE,"Cashflows NZ$"}</definedName>
    <definedName name="fl" localSheetId="8">{#N/A,#N/A,FALSE,"Variables";#N/A,#N/A,FALSE,"NPV Cashflows NZ$";#N/A,#N/A,FALSE,"Cashflows NZ$"}</definedName>
    <definedName name="fl" localSheetId="10">{#N/A,#N/A,FALSE,"Variables";#N/A,#N/A,FALSE,"NPV Cashflows NZ$";#N/A,#N/A,FALSE,"Cashflows NZ$"}</definedName>
    <definedName name="fl" localSheetId="12">{#N/A,#N/A,FALSE,"Variables";#N/A,#N/A,FALSE,"NPV Cashflows NZ$";#N/A,#N/A,FALSE,"Cashflows NZ$"}</definedName>
    <definedName name="fl" localSheetId="4">{#N/A,#N/A,FALSE,"Variables";#N/A,#N/A,FALSE,"NPV Cashflows NZ$";#N/A,#N/A,FALSE,"Cashflows NZ$"}</definedName>
    <definedName name="fl">{#N/A,#N/A,FALSE,"Variables";#N/A,#N/A,FALSE,"NPV Cashflows NZ$";#N/A,#N/A,FALSE,"Cashflows NZ$"}</definedName>
    <definedName name="Flush_door_paint">[11]Prices!$B$196</definedName>
    <definedName name="FMICSubCost">'[16]Sub Contractors'!$N$21</definedName>
    <definedName name="FOIL" localSheetId="6">{#N/A,#N/A,FALSE,"AFR-ELC"}</definedName>
    <definedName name="FOIL" localSheetId="1">{#N/A,#N/A,FALSE,"AFR-ELC"}</definedName>
    <definedName name="FOIL" localSheetId="3">{#N/A,#N/A,FALSE,"AFR-ELC"}</definedName>
    <definedName name="FOIL" localSheetId="7">{#N/A,#N/A,FALSE,"AFR-ELC"}</definedName>
    <definedName name="FOIL" localSheetId="5">{#N/A,#N/A,FALSE,"AFR-ELC"}</definedName>
    <definedName name="FOIL" localSheetId="9">{#N/A,#N/A,FALSE,"AFR-ELC"}</definedName>
    <definedName name="FOIL" localSheetId="11">{#N/A,#N/A,FALSE,"AFR-ELC"}</definedName>
    <definedName name="FOIL" localSheetId="13">{#N/A,#N/A,FALSE,"AFR-ELC"}</definedName>
    <definedName name="FOIL" localSheetId="8">{#N/A,#N/A,FALSE,"AFR-ELC"}</definedName>
    <definedName name="FOIL" localSheetId="10">{#N/A,#N/A,FALSE,"AFR-ELC"}</definedName>
    <definedName name="FOIL" localSheetId="12">{#N/A,#N/A,FALSE,"AFR-ELC"}</definedName>
    <definedName name="FOIL" localSheetId="4">{#N/A,#N/A,FALSE,"AFR-ELC"}</definedName>
    <definedName name="FOIL">{#N/A,#N/A,FALSE,"AFR-ELC"}</definedName>
    <definedName name="Formwork_cycle">[11]Prices!$B$198</definedName>
    <definedName name="Formwork_edge_slab_150">[11]Rates!$A$105</definedName>
    <definedName name="Formwork_sides_columns">[11]Rates!$A$106</definedName>
    <definedName name="Formwork_sides_gound_beams">[15]Rates!$A$102</definedName>
    <definedName name="Formwork_sides_walls_2_5">[11]Rates!$A$108</definedName>
    <definedName name="Formwork_soffit_high_beams">[11]Rates!$A$113</definedName>
    <definedName name="Formwork_soffit_slab">[11]Rates!$A$114</definedName>
    <definedName name="frame1" localSheetId="8">#REF!</definedName>
    <definedName name="frame1" localSheetId="4">#REF!</definedName>
    <definedName name="frame1">#REF!</definedName>
    <definedName name="ft" localSheetId="8">#REF!</definedName>
    <definedName name="ft" localSheetId="4">#REF!</definedName>
    <definedName name="ft">#REF!</definedName>
    <definedName name="Full_Print" localSheetId="1">#REF!</definedName>
    <definedName name="Full_Print" localSheetId="3">#REF!</definedName>
    <definedName name="Full_Print" localSheetId="7">#REF!</definedName>
    <definedName name="Full_Print" localSheetId="5">#REF!</definedName>
    <definedName name="Full_Print" localSheetId="9">#REF!</definedName>
    <definedName name="Full_Print" localSheetId="11">#REF!</definedName>
    <definedName name="Full_Print" localSheetId="13">#REF!</definedName>
    <definedName name="Full_Print" localSheetId="10">#REF!</definedName>
    <definedName name="Full_Print" localSheetId="12">#REF!</definedName>
    <definedName name="Full_Print" localSheetId="4">#REF!</definedName>
    <definedName name="Full_Print">#REF!</definedName>
    <definedName name="G" localSheetId="1">#REF!</definedName>
    <definedName name="G" localSheetId="3">#REF!</definedName>
    <definedName name="G" localSheetId="7">#REF!</definedName>
    <definedName name="G" localSheetId="5">#REF!</definedName>
    <definedName name="G" localSheetId="9">#REF!</definedName>
    <definedName name="G" localSheetId="11">#REF!</definedName>
    <definedName name="G" localSheetId="13">#REF!</definedName>
    <definedName name="G" localSheetId="10">#REF!</definedName>
    <definedName name="G" localSheetId="12">#REF!</definedName>
    <definedName name="G" localSheetId="4">#REF!</definedName>
    <definedName name="G">#REF!</definedName>
    <definedName name="GAME" localSheetId="6">{#N/A,#N/A,FALSE,"AFR-ELC"}</definedName>
    <definedName name="GAME" localSheetId="1">{#N/A,#N/A,FALSE,"AFR-ELC"}</definedName>
    <definedName name="GAME" localSheetId="3">{#N/A,#N/A,FALSE,"AFR-ELC"}</definedName>
    <definedName name="GAME" localSheetId="7">{#N/A,#N/A,FALSE,"AFR-ELC"}</definedName>
    <definedName name="GAME" localSheetId="5">{#N/A,#N/A,FALSE,"AFR-ELC"}</definedName>
    <definedName name="GAME" localSheetId="9">{#N/A,#N/A,FALSE,"AFR-ELC"}</definedName>
    <definedName name="GAME" localSheetId="11">{#N/A,#N/A,FALSE,"AFR-ELC"}</definedName>
    <definedName name="GAME" localSheetId="13">{#N/A,#N/A,FALSE,"AFR-ELC"}</definedName>
    <definedName name="GAME" localSheetId="8">{#N/A,#N/A,FALSE,"AFR-ELC"}</definedName>
    <definedName name="GAME" localSheetId="10">{#N/A,#N/A,FALSE,"AFR-ELC"}</definedName>
    <definedName name="GAME" localSheetId="12">{#N/A,#N/A,FALSE,"AFR-ELC"}</definedName>
    <definedName name="GAME" localSheetId="4">{#N/A,#N/A,FALSE,"AFR-ELC"}</definedName>
    <definedName name="GAME">{#N/A,#N/A,FALSE,"AFR-ELC"}</definedName>
    <definedName name="gas" localSheetId="6">{#N/A,#N/A,FALSE,"AFR-ELC"}</definedName>
    <definedName name="gas" localSheetId="1">{#N/A,#N/A,FALSE,"AFR-ELC"}</definedName>
    <definedName name="gas" localSheetId="3">{#N/A,#N/A,FALSE,"AFR-ELC"}</definedName>
    <definedName name="gas" localSheetId="7">{#N/A,#N/A,FALSE,"AFR-ELC"}</definedName>
    <definedName name="gas" localSheetId="5">{#N/A,#N/A,FALSE,"AFR-ELC"}</definedName>
    <definedName name="gas" localSheetId="9">{#N/A,#N/A,FALSE,"AFR-ELC"}</definedName>
    <definedName name="gas" localSheetId="11">{#N/A,#N/A,FALSE,"AFR-ELC"}</definedName>
    <definedName name="gas" localSheetId="13">{#N/A,#N/A,FALSE,"AFR-ELC"}</definedName>
    <definedName name="gas" localSheetId="8">{#N/A,#N/A,FALSE,"AFR-ELC"}</definedName>
    <definedName name="gas" localSheetId="10">{#N/A,#N/A,FALSE,"AFR-ELC"}</definedName>
    <definedName name="gas" localSheetId="12">{#N/A,#N/A,FALSE,"AFR-ELC"}</definedName>
    <definedName name="gas" localSheetId="4">{#N/A,#N/A,FALSE,"AFR-ELC"}</definedName>
    <definedName name="gas">{#N/A,#N/A,FALSE,"AFR-ELC"}</definedName>
    <definedName name="ggg">#REF!</definedName>
    <definedName name="Gi_13">[11]Prices!$B$207</definedName>
    <definedName name="Gi_19">[11]Prices!$B$208</definedName>
    <definedName name="Gi_25">[11]Prices!$B$209</definedName>
    <definedName name="Gi_38">[11]Prices!$B$211</definedName>
    <definedName name="Gi_50">[11]Prices!$B$212</definedName>
    <definedName name="GJ" localSheetId="8">{#N/A,#N/A,FALSE,"AFR-ELC"}</definedName>
    <definedName name="GJ" localSheetId="4">{#N/A,#N/A,FALSE,"AFR-ELC"}</definedName>
    <definedName name="GJ">{#N/A,#N/A,FALSE,"AFR-ELC"}</definedName>
    <definedName name="GJG" localSheetId="8" hidden="1">{#N/A,#N/A,FALSE,"el.det";#N/A,#N/A,FALSE,"mu.det";#N/A,#N/A,FALSE,"ug.det";#N/A,#N/A,FALSE,"ex.det";#N/A,#N/A,FALSE,"lux.det";#N/A,#N/A,FALSE,"custom.lot";#N/A,#N/A,FALSE,"condo.att";#N/A,#N/A,FALSE,"el.att";#N/A,#N/A,FALSE,"mu.att";#N/A,#N/A,FALSE,"ex.att";#N/A,#N/A,FALSE,"lux.att";#N/A,#N/A,FALSE,"all.by.village"}</definedName>
    <definedName name="GJG" localSheetId="4" hidden="1">{#N/A,#N/A,FALSE,"el.det";#N/A,#N/A,FALSE,"mu.det";#N/A,#N/A,FALSE,"ug.det";#N/A,#N/A,FALSE,"ex.det";#N/A,#N/A,FALSE,"lux.det";#N/A,#N/A,FALSE,"custom.lot";#N/A,#N/A,FALSE,"condo.att";#N/A,#N/A,FALSE,"el.att";#N/A,#N/A,FALSE,"mu.att";#N/A,#N/A,FALSE,"ex.att";#N/A,#N/A,FALSE,"lux.att";#N/A,#N/A,FALSE,"all.by.village"}</definedName>
    <definedName name="GJG" hidden="1">{#N/A,#N/A,FALSE,"el.det";#N/A,#N/A,FALSE,"mu.det";#N/A,#N/A,FALSE,"ug.det";#N/A,#N/A,FALSE,"ex.det";#N/A,#N/A,FALSE,"lux.det";#N/A,#N/A,FALSE,"custom.lot";#N/A,#N/A,FALSE,"condo.att";#N/A,#N/A,FALSE,"el.att";#N/A,#N/A,FALSE,"mu.att";#N/A,#N/A,FALSE,"ex.att";#N/A,#N/A,FALSE,"lux.att";#N/A,#N/A,FALSE,"all.by.village"}</definedName>
    <definedName name="globref">INDIRECT("rc",FALSE)</definedName>
    <definedName name="Gloss_paint">[11]Prices!$B$245</definedName>
    <definedName name="Gloss_painting">[11]Rates!$A$238</definedName>
    <definedName name="Gloss_undercoat">[11]Prices!$B$246</definedName>
    <definedName name="Glue">[11]Prices!$B$247</definedName>
    <definedName name="Grader">[11]Prices!$B$248</definedName>
    <definedName name="GRANDTOTAL" localSheetId="1">#REF!</definedName>
    <definedName name="GRANDTOTAL" localSheetId="2">#REF!</definedName>
    <definedName name="GRANDTOTAL" localSheetId="3">#REF!</definedName>
    <definedName name="GRANDTOTAL" localSheetId="7">#REF!</definedName>
    <definedName name="GRANDTOTAL" localSheetId="5">#REF!</definedName>
    <definedName name="GRANDTOTAL" localSheetId="9">#REF!</definedName>
    <definedName name="GRANDTOTAL" localSheetId="11">#REF!</definedName>
    <definedName name="GRANDTOTAL" localSheetId="13">#REF!</definedName>
    <definedName name="GRANDTOTAL" localSheetId="10">#REF!</definedName>
    <definedName name="GRANDTOTAL" localSheetId="12">#REF!</definedName>
    <definedName name="GRANDTOTAL" localSheetId="4">#REF!</definedName>
    <definedName name="GRANDTOTAL">#REF!</definedName>
    <definedName name="Granite">[11]Prices!$B$249</definedName>
    <definedName name="Granite_6mm">[11]Prices!$B$250</definedName>
    <definedName name="Granite_tiles">[11]Prices!$B$252</definedName>
    <definedName name="Grano_flooring">[15]Rates!$A$202</definedName>
    <definedName name="Gross_Margin">[18]BEP!$C$11</definedName>
    <definedName name="GS.1" localSheetId="8">#REF!</definedName>
    <definedName name="GS.1" localSheetId="4">#REF!</definedName>
    <definedName name="GS.1">#REF!</definedName>
    <definedName name="GS.2" localSheetId="8">#REF!</definedName>
    <definedName name="GS.2" localSheetId="4">#REF!</definedName>
    <definedName name="GS.2">#REF!</definedName>
    <definedName name="GSUB1" localSheetId="8">#REF!</definedName>
    <definedName name="GSUB1" localSheetId="4">#REF!</definedName>
    <definedName name="GSUB1">#REF!</definedName>
    <definedName name="GSUB2" localSheetId="4">#REF!</definedName>
    <definedName name="GSUB2">#REF!</definedName>
    <definedName name="GSUB3" localSheetId="4">#REF!</definedName>
    <definedName name="GSUB3">#REF!</definedName>
    <definedName name="GSUB4" localSheetId="4">#REF!</definedName>
    <definedName name="GSUB4">#REF!</definedName>
    <definedName name="GSUB5" localSheetId="4">#REF!</definedName>
    <definedName name="GSUB5">#REF!</definedName>
    <definedName name="H" localSheetId="1">#REF!</definedName>
    <definedName name="H" localSheetId="2">#REF!</definedName>
    <definedName name="H" localSheetId="3">#REF!</definedName>
    <definedName name="H" localSheetId="7">#REF!</definedName>
    <definedName name="H" localSheetId="5">#REF!</definedName>
    <definedName name="H" localSheetId="9">#REF!</definedName>
    <definedName name="H" localSheetId="11">#REF!</definedName>
    <definedName name="H" localSheetId="13">#REF!</definedName>
    <definedName name="H" localSheetId="10">#REF!</definedName>
    <definedName name="H" localSheetId="12">#REF!</definedName>
    <definedName name="H" localSheetId="4">#REF!</definedName>
    <definedName name="H">#REF!</definedName>
    <definedName name="Hand_backfill">[11]Rates!$A$56</definedName>
    <definedName name="Hardcore">[11]Prices!$B$256</definedName>
    <definedName name="Hardcore_filling">[11]Rates!$A$63</definedName>
    <definedName name="Hardwood">[11]Prices!$B$257</definedName>
    <definedName name="HC" localSheetId="1">#REF!</definedName>
    <definedName name="HC" localSheetId="2">#REF!</definedName>
    <definedName name="HC" localSheetId="3">#REF!</definedName>
    <definedName name="HC" localSheetId="7">#REF!</definedName>
    <definedName name="HC" localSheetId="5">#REF!</definedName>
    <definedName name="HC" localSheetId="9">#REF!</definedName>
    <definedName name="HC" localSheetId="11">#REF!</definedName>
    <definedName name="HC" localSheetId="13">#REF!</definedName>
    <definedName name="HC" localSheetId="10">#REF!</definedName>
    <definedName name="HC" localSheetId="12">#REF!</definedName>
    <definedName name="HC" localSheetId="4">#REF!</definedName>
    <definedName name="HC">#REF!</definedName>
    <definedName name="HC0" localSheetId="1">#REF!</definedName>
    <definedName name="HC0" localSheetId="3">#REF!</definedName>
    <definedName name="HC0" localSheetId="7">#REF!</definedName>
    <definedName name="HC0" localSheetId="5">#REF!</definedName>
    <definedName name="HC0" localSheetId="9">#REF!</definedName>
    <definedName name="HC0" localSheetId="11">#REF!</definedName>
    <definedName name="HC0" localSheetId="13">#REF!</definedName>
    <definedName name="HC0" localSheetId="10">#REF!</definedName>
    <definedName name="HC0" localSheetId="12">#REF!</definedName>
    <definedName name="HC0" localSheetId="4">#REF!</definedName>
    <definedName name="HC0">#REF!</definedName>
    <definedName name="HC1_" localSheetId="4">#REF!</definedName>
    <definedName name="HC1_">#REF!</definedName>
    <definedName name="Header_Row">ROW(#REF!)</definedName>
    <definedName name="hhh" localSheetId="4">#REF!</definedName>
    <definedName name="hhh">#REF!</definedName>
    <definedName name="Hinges">[11]Prices!$B$258</definedName>
    <definedName name="HS" localSheetId="2">#REF!</definedName>
    <definedName name="HS" localSheetId="8">#REF!</definedName>
    <definedName name="HS" localSheetId="4">#REF!</definedName>
    <definedName name="HS">#REF!</definedName>
    <definedName name="HS0" localSheetId="4">#REF!</definedName>
    <definedName name="HS0">#REF!</definedName>
    <definedName name="HTML_CodePage" hidden="1">1252</definedName>
    <definedName name="HTML_Control" localSheetId="1" hidden="1">{"'Final Summary'!$A$1:$G$86"}</definedName>
    <definedName name="HTML_Control" localSheetId="3" hidden="1">{"'Final Summary'!$A$1:$G$86"}</definedName>
    <definedName name="HTML_Control" localSheetId="7" hidden="1">{"'Final Summary'!$A$1:$G$86"}</definedName>
    <definedName name="HTML_Control" localSheetId="5" hidden="1">{"'Final Summary'!$A$1:$G$86"}</definedName>
    <definedName name="HTML_Control" localSheetId="9" hidden="1">{"'Final Summary'!$A$1:$G$86"}</definedName>
    <definedName name="HTML_Control" localSheetId="11" hidden="1">{"'Final Summary'!$A$1:$G$86"}</definedName>
    <definedName name="HTML_Control" localSheetId="13" hidden="1">{"'Final Summary'!$A$1:$G$86"}</definedName>
    <definedName name="HTML_Control" localSheetId="8" hidden="1">{"'Final Summary'!$A$1:$G$86"}</definedName>
    <definedName name="HTML_Control" localSheetId="10" hidden="1">{"'Final Summary'!$A$1:$G$86"}</definedName>
    <definedName name="HTML_Control" localSheetId="12" hidden="1">{"'Final Summary'!$A$1:$G$86"}</definedName>
    <definedName name="HTML_Control" localSheetId="4" hidden="1">{"'Final Summary'!$A$1:$G$86"}</definedName>
    <definedName name="HTML_Control" hidden="1">{"'Final Summary'!$A$1:$G$86"}</definedName>
    <definedName name="HTML_Description" hidden="1">""</definedName>
    <definedName name="HTML_Email" hidden="1">""</definedName>
    <definedName name="HTML_Header" hidden="1">"Final Summary"</definedName>
    <definedName name="HTML_LastUpdate" hidden="1">"31/05/01"</definedName>
    <definedName name="HTML_LineAfter" hidden="1">FALSE</definedName>
    <definedName name="HTML_LineBefore" hidden="1">FALSE</definedName>
    <definedName name="HTML_Name" hidden="1">"Jarvis IT"</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"Draft Cost Auth"</definedName>
    <definedName name="huh" localSheetId="1" hidden="1">{#N/A,#N/A,FALSE,"el.det";#N/A,#N/A,FALSE,"mu.det";#N/A,#N/A,FALSE,"ug.det";#N/A,#N/A,FALSE,"ex.det";#N/A,#N/A,FALSE,"lux.det";#N/A,#N/A,FALSE,"custom.lot";#N/A,#N/A,FALSE,"condo.att";#N/A,#N/A,FALSE,"el.att";#N/A,#N/A,FALSE,"mu.att";#N/A,#N/A,FALSE,"ex.att";#N/A,#N/A,FALSE,"lux.att";#N/A,#N/A,FALSE,"all.by.village"}</definedName>
    <definedName name="huh" localSheetId="3" hidden="1">{#N/A,#N/A,FALSE,"el.det";#N/A,#N/A,FALSE,"mu.det";#N/A,#N/A,FALSE,"ug.det";#N/A,#N/A,FALSE,"ex.det";#N/A,#N/A,FALSE,"lux.det";#N/A,#N/A,FALSE,"custom.lot";#N/A,#N/A,FALSE,"condo.att";#N/A,#N/A,FALSE,"el.att";#N/A,#N/A,FALSE,"mu.att";#N/A,#N/A,FALSE,"ex.att";#N/A,#N/A,FALSE,"lux.att";#N/A,#N/A,FALSE,"all.by.village"}</definedName>
    <definedName name="huh" localSheetId="7" hidden="1">{#N/A,#N/A,FALSE,"el.det";#N/A,#N/A,FALSE,"mu.det";#N/A,#N/A,FALSE,"ug.det";#N/A,#N/A,FALSE,"ex.det";#N/A,#N/A,FALSE,"lux.det";#N/A,#N/A,FALSE,"custom.lot";#N/A,#N/A,FALSE,"condo.att";#N/A,#N/A,FALSE,"el.att";#N/A,#N/A,FALSE,"mu.att";#N/A,#N/A,FALSE,"ex.att";#N/A,#N/A,FALSE,"lux.att";#N/A,#N/A,FALSE,"all.by.village"}</definedName>
    <definedName name="huh" localSheetId="5" hidden="1">{#N/A,#N/A,FALSE,"el.det";#N/A,#N/A,FALSE,"mu.det";#N/A,#N/A,FALSE,"ug.det";#N/A,#N/A,FALSE,"ex.det";#N/A,#N/A,FALSE,"lux.det";#N/A,#N/A,FALSE,"custom.lot";#N/A,#N/A,FALSE,"condo.att";#N/A,#N/A,FALSE,"el.att";#N/A,#N/A,FALSE,"mu.att";#N/A,#N/A,FALSE,"ex.att";#N/A,#N/A,FALSE,"lux.att";#N/A,#N/A,FALSE,"all.by.village"}</definedName>
    <definedName name="huh" localSheetId="9" hidden="1">{#N/A,#N/A,FALSE,"el.det";#N/A,#N/A,FALSE,"mu.det";#N/A,#N/A,FALSE,"ug.det";#N/A,#N/A,FALSE,"ex.det";#N/A,#N/A,FALSE,"lux.det";#N/A,#N/A,FALSE,"custom.lot";#N/A,#N/A,FALSE,"condo.att";#N/A,#N/A,FALSE,"el.att";#N/A,#N/A,FALSE,"mu.att";#N/A,#N/A,FALSE,"ex.att";#N/A,#N/A,FALSE,"lux.att";#N/A,#N/A,FALSE,"all.by.village"}</definedName>
    <definedName name="huh" localSheetId="11" hidden="1">{#N/A,#N/A,FALSE,"el.det";#N/A,#N/A,FALSE,"mu.det";#N/A,#N/A,FALSE,"ug.det";#N/A,#N/A,FALSE,"ex.det";#N/A,#N/A,FALSE,"lux.det";#N/A,#N/A,FALSE,"custom.lot";#N/A,#N/A,FALSE,"condo.att";#N/A,#N/A,FALSE,"el.att";#N/A,#N/A,FALSE,"mu.att";#N/A,#N/A,FALSE,"ex.att";#N/A,#N/A,FALSE,"lux.att";#N/A,#N/A,FALSE,"all.by.village"}</definedName>
    <definedName name="huh" localSheetId="13" hidden="1">{#N/A,#N/A,FALSE,"el.det";#N/A,#N/A,FALSE,"mu.det";#N/A,#N/A,FALSE,"ug.det";#N/A,#N/A,FALSE,"ex.det";#N/A,#N/A,FALSE,"lux.det";#N/A,#N/A,FALSE,"custom.lot";#N/A,#N/A,FALSE,"condo.att";#N/A,#N/A,FALSE,"el.att";#N/A,#N/A,FALSE,"mu.att";#N/A,#N/A,FALSE,"ex.att";#N/A,#N/A,FALSE,"lux.att";#N/A,#N/A,FALSE,"all.by.village"}</definedName>
    <definedName name="huh" localSheetId="8" hidden="1">{#N/A,#N/A,FALSE,"el.det";#N/A,#N/A,FALSE,"mu.det";#N/A,#N/A,FALSE,"ug.det";#N/A,#N/A,FALSE,"ex.det";#N/A,#N/A,FALSE,"lux.det";#N/A,#N/A,FALSE,"custom.lot";#N/A,#N/A,FALSE,"condo.att";#N/A,#N/A,FALSE,"el.att";#N/A,#N/A,FALSE,"mu.att";#N/A,#N/A,FALSE,"ex.att";#N/A,#N/A,FALSE,"lux.att";#N/A,#N/A,FALSE,"all.by.village"}</definedName>
    <definedName name="huh" localSheetId="10" hidden="1">{#N/A,#N/A,FALSE,"el.det";#N/A,#N/A,FALSE,"mu.det";#N/A,#N/A,FALSE,"ug.det";#N/A,#N/A,FALSE,"ex.det";#N/A,#N/A,FALSE,"lux.det";#N/A,#N/A,FALSE,"custom.lot";#N/A,#N/A,FALSE,"condo.att";#N/A,#N/A,FALSE,"el.att";#N/A,#N/A,FALSE,"mu.att";#N/A,#N/A,FALSE,"ex.att";#N/A,#N/A,FALSE,"lux.att";#N/A,#N/A,FALSE,"all.by.village"}</definedName>
    <definedName name="huh" localSheetId="12" hidden="1">{#N/A,#N/A,FALSE,"el.det";#N/A,#N/A,FALSE,"mu.det";#N/A,#N/A,FALSE,"ug.det";#N/A,#N/A,FALSE,"ex.det";#N/A,#N/A,FALSE,"lux.det";#N/A,#N/A,FALSE,"custom.lot";#N/A,#N/A,FALSE,"condo.att";#N/A,#N/A,FALSE,"el.att";#N/A,#N/A,FALSE,"mu.att";#N/A,#N/A,FALSE,"ex.att";#N/A,#N/A,FALSE,"lux.att";#N/A,#N/A,FALSE,"all.by.village"}</definedName>
    <definedName name="huh" localSheetId="4" hidden="1">{#N/A,#N/A,FALSE,"el.det";#N/A,#N/A,FALSE,"mu.det";#N/A,#N/A,FALSE,"ug.det";#N/A,#N/A,FALSE,"ex.det";#N/A,#N/A,FALSE,"lux.det";#N/A,#N/A,FALSE,"custom.lot";#N/A,#N/A,FALSE,"condo.att";#N/A,#N/A,FALSE,"el.att";#N/A,#N/A,FALSE,"mu.att";#N/A,#N/A,FALSE,"ex.att";#N/A,#N/A,FALSE,"lux.att";#N/A,#N/A,FALSE,"all.by.village"}</definedName>
    <definedName name="huh" hidden="1">{#N/A,#N/A,FALSE,"el.det";#N/A,#N/A,FALSE,"mu.det";#N/A,#N/A,FALSE,"ug.det";#N/A,#N/A,FALSE,"ex.det";#N/A,#N/A,FALSE,"lux.det";#N/A,#N/A,FALSE,"custom.lot";#N/A,#N/A,FALSE,"condo.att";#N/A,#N/A,FALSE,"el.att";#N/A,#N/A,FALSE,"mu.att";#N/A,#N/A,FALSE,"ex.att";#N/A,#N/A,FALSE,"lux.att";#N/A,#N/A,FALSE,"all.by.village"}</definedName>
    <definedName name="Hy_reinforcement">[11]Rates!$A$95</definedName>
    <definedName name="Hy_steel">[11]Prices!$B$259</definedName>
    <definedName name="I" localSheetId="1">#REF!</definedName>
    <definedName name="I" localSheetId="2">#REF!</definedName>
    <definedName name="I" localSheetId="3">#REF!</definedName>
    <definedName name="I" localSheetId="7">#REF!</definedName>
    <definedName name="I" localSheetId="5">#REF!</definedName>
    <definedName name="I" localSheetId="9">#REF!</definedName>
    <definedName name="I" localSheetId="11">#REF!</definedName>
    <definedName name="I" localSheetId="13">#REF!</definedName>
    <definedName name="I" localSheetId="10">#REF!</definedName>
    <definedName name="I" localSheetId="12">#REF!</definedName>
    <definedName name="I" localSheetId="4">#REF!</definedName>
    <definedName name="I">#REF!</definedName>
    <definedName name="iii" localSheetId="4">#REF!</definedName>
    <definedName name="iii">#REF!</definedName>
    <definedName name="im" localSheetId="4">[11]BOQ!#REF!</definedName>
    <definedName name="im">[11]BOQ!#REF!</definedName>
    <definedName name="impxrate">132</definedName>
    <definedName name="IN" localSheetId="1">#REF!</definedName>
    <definedName name="IN" localSheetId="2">#REF!</definedName>
    <definedName name="IN" localSheetId="3">#REF!</definedName>
    <definedName name="IN" localSheetId="7">#REF!</definedName>
    <definedName name="IN" localSheetId="5">#REF!</definedName>
    <definedName name="IN" localSheetId="9">#REF!</definedName>
    <definedName name="IN" localSheetId="11">#REF!</definedName>
    <definedName name="IN" localSheetId="13">#REF!</definedName>
    <definedName name="IN" localSheetId="10">#REF!</definedName>
    <definedName name="IN" localSheetId="12">#REF!</definedName>
    <definedName name="IN" localSheetId="4">#REF!</definedName>
    <definedName name="IN">#REF!</definedName>
    <definedName name="IN0" localSheetId="1">#REF!</definedName>
    <definedName name="IN0" localSheetId="3">#REF!</definedName>
    <definedName name="IN0" localSheetId="7">#REF!</definedName>
    <definedName name="IN0" localSheetId="5">#REF!</definedName>
    <definedName name="IN0" localSheetId="9">#REF!</definedName>
    <definedName name="IN0" localSheetId="11">#REF!</definedName>
    <definedName name="IN0" localSheetId="13">#REF!</definedName>
    <definedName name="IN0" localSheetId="10">#REF!</definedName>
    <definedName name="IN0" localSheetId="12">#REF!</definedName>
    <definedName name="IN0" localSheetId="4">#REF!</definedName>
    <definedName name="IN0">#REF!</definedName>
    <definedName name="Inflation">[19]Summary!$C$31</definedName>
    <definedName name="Int" localSheetId="1">#REF!</definedName>
    <definedName name="Int" localSheetId="3">#REF!</definedName>
    <definedName name="Int" localSheetId="7">#REF!</definedName>
    <definedName name="Int" localSheetId="5">#REF!</definedName>
    <definedName name="Int" localSheetId="9">#REF!</definedName>
    <definedName name="Int" localSheetId="11">#REF!</definedName>
    <definedName name="Int" localSheetId="13">#REF!</definedName>
    <definedName name="Int" localSheetId="10">#REF!</definedName>
    <definedName name="Int" localSheetId="12">#REF!</definedName>
    <definedName name="Int" localSheetId="4">#REF!</definedName>
    <definedName name="Int">#REF!</definedName>
    <definedName name="Interest_Rate" localSheetId="1">#REF!</definedName>
    <definedName name="Interest_Rate" localSheetId="3">#REF!</definedName>
    <definedName name="Interest_Rate" localSheetId="7">#REF!</definedName>
    <definedName name="Interest_Rate" localSheetId="5">#REF!</definedName>
    <definedName name="Interest_Rate" localSheetId="9">#REF!</definedName>
    <definedName name="Interest_Rate" localSheetId="11">#REF!</definedName>
    <definedName name="Interest_Rate" localSheetId="13">#REF!</definedName>
    <definedName name="Interest_Rate" localSheetId="10">#REF!</definedName>
    <definedName name="Interest_Rate" localSheetId="12">#REF!</definedName>
    <definedName name="Interest_Rate" localSheetId="4">#REF!</definedName>
    <definedName name="Interest_Rate">#REF!</definedName>
    <definedName name="Internal_plaster_15mm_1_4">[11]Rates!$A$216</definedName>
    <definedName name="Internal_plaster_15mm_1_4_ceiling">[15]Rates!$A$217</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500000</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100000</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"10/27/2016 13:42:33"</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50000</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jamb" localSheetId="6" hidden="1">{#N/A,#N/A,FALSE,"AFR-ELC"}</definedName>
    <definedName name="jamb" localSheetId="1" hidden="1">{#N/A,#N/A,FALSE,"AFR-ELC"}</definedName>
    <definedName name="jamb" localSheetId="3" hidden="1">{#N/A,#N/A,FALSE,"AFR-ELC"}</definedName>
    <definedName name="jamb" localSheetId="7" hidden="1">{#N/A,#N/A,FALSE,"AFR-ELC"}</definedName>
    <definedName name="jamb" localSheetId="5" hidden="1">{#N/A,#N/A,FALSE,"AFR-ELC"}</definedName>
    <definedName name="jamb" localSheetId="9" hidden="1">{#N/A,#N/A,FALSE,"AFR-ELC"}</definedName>
    <definedName name="jamb" localSheetId="11" hidden="1">{#N/A,#N/A,FALSE,"AFR-ELC"}</definedName>
    <definedName name="jamb" localSheetId="13" hidden="1">{#N/A,#N/A,FALSE,"AFR-ELC"}</definedName>
    <definedName name="jamb" localSheetId="8" hidden="1">{#N/A,#N/A,FALSE,"AFR-ELC"}</definedName>
    <definedName name="jamb" localSheetId="10" hidden="1">{#N/A,#N/A,FALSE,"AFR-ELC"}</definedName>
    <definedName name="jamb" localSheetId="12" hidden="1">{#N/A,#N/A,FALSE,"AFR-ELC"}</definedName>
    <definedName name="jamb" localSheetId="4" hidden="1">{#N/A,#N/A,FALSE,"AFR-ELC"}</definedName>
    <definedName name="jamb" hidden="1">{#N/A,#N/A,FALSE,"AFR-ELC"}</definedName>
    <definedName name="jjj">#REF!</definedName>
    <definedName name="K" localSheetId="1">#REF!</definedName>
    <definedName name="K" localSheetId="2">#REF!</definedName>
    <definedName name="K" localSheetId="3">#REF!</definedName>
    <definedName name="K" localSheetId="7">#REF!</definedName>
    <definedName name="K" localSheetId="5">#REF!</definedName>
    <definedName name="K" localSheetId="9">#REF!</definedName>
    <definedName name="K" localSheetId="11">#REF!</definedName>
    <definedName name="K" localSheetId="13">#REF!</definedName>
    <definedName name="K" localSheetId="10">#REF!</definedName>
    <definedName name="K" localSheetId="12">#REF!</definedName>
    <definedName name="K" localSheetId="4">#REF!</definedName>
    <definedName name="K">#REF!</definedName>
    <definedName name="kat" localSheetId="2" hidden="1">{#N/A,#N/A,FALSE,"Elect B.O.Q";#N/A,#N/A,FALSE,"Plumbing b.O.Q";#N/A,#N/A,FALSE,"Ac B.O.Q"}</definedName>
    <definedName name="kat" localSheetId="8" hidden="1">{#N/A,#N/A,FALSE,"Elect B.O.Q";#N/A,#N/A,FALSE,"Plumbing b.O.Q";#N/A,#N/A,FALSE,"Ac B.O.Q"}</definedName>
    <definedName name="kat" localSheetId="4" hidden="1">{#N/A,#N/A,FALSE,"Elect B.O.Q";#N/A,#N/A,FALSE,"Plumbing b.O.Q";#N/A,#N/A,FALSE,"Ac B.O.Q"}</definedName>
    <definedName name="kat" hidden="1">{#N/A,#N/A,FALSE,"Elect B.O.Q";#N/A,#N/A,FALSE,"Plumbing b.O.Q";#N/A,#N/A,FALSE,"Ac B.O.Q"}</definedName>
    <definedName name="katsina" localSheetId="2" hidden="1">{#N/A,#N/A,FALSE,"Elect B.O.Q";#N/A,#N/A,FALSE,"Plumbing b.O.Q";#N/A,#N/A,FALSE,"Ac B.O.Q"}</definedName>
    <definedName name="katsina" localSheetId="8" hidden="1">{#N/A,#N/A,FALSE,"Elect B.O.Q";#N/A,#N/A,FALSE,"Plumbing b.O.Q";#N/A,#N/A,FALSE,"Ac B.O.Q"}</definedName>
    <definedName name="katsina" localSheetId="4" hidden="1">{#N/A,#N/A,FALSE,"Elect B.O.Q";#N/A,#N/A,FALSE,"Plumbing b.O.Q";#N/A,#N/A,FALSE,"Ac B.O.Q"}</definedName>
    <definedName name="katsina" hidden="1">{#N/A,#N/A,FALSE,"Elect B.O.Q";#N/A,#N/A,FALSE,"Plumbing b.O.Q";#N/A,#N/A,FALSE,"Ac B.O.Q"}</definedName>
    <definedName name="kkk">#REF!</definedName>
    <definedName name="L" localSheetId="1">#REF!</definedName>
    <definedName name="L" localSheetId="3">#REF!</definedName>
    <definedName name="L" localSheetId="7">#REF!</definedName>
    <definedName name="L" localSheetId="5">#REF!</definedName>
    <definedName name="L" localSheetId="9">#REF!</definedName>
    <definedName name="L" localSheetId="11">#REF!</definedName>
    <definedName name="L" localSheetId="13">#REF!</definedName>
    <definedName name="L" localSheetId="10">#REF!</definedName>
    <definedName name="L" localSheetId="12">#REF!</definedName>
    <definedName name="L" localSheetId="4">#REF!</definedName>
    <definedName name="L">#REF!</definedName>
    <definedName name="Labour_direct">[11]Prices!$B$264</definedName>
    <definedName name="Labour_sc">[11]Prices!$B$265</definedName>
    <definedName name="Land_Residual" localSheetId="1">#REF!</definedName>
    <definedName name="Land_Residual" localSheetId="3">#REF!</definedName>
    <definedName name="Land_Residual" localSheetId="7">#REF!</definedName>
    <definedName name="Land_Residual" localSheetId="5">#REF!</definedName>
    <definedName name="Land_Residual" localSheetId="9">#REF!</definedName>
    <definedName name="Land_Residual" localSheetId="11">#REF!</definedName>
    <definedName name="Land_Residual" localSheetId="13">#REF!</definedName>
    <definedName name="Land_Residual" localSheetId="10">#REF!</definedName>
    <definedName name="Land_Residual" localSheetId="12">#REF!</definedName>
    <definedName name="Land_Residual" localSheetId="4">#REF!</definedName>
    <definedName name="Land_Residual">#REF!</definedName>
    <definedName name="Last_Row" localSheetId="1">IF('BILL (2)'!Values_Entered,Header_Row+'BILL (2)'!Number_of_Payments,Header_Row)</definedName>
    <definedName name="Last_Row" localSheetId="3">IF('Cover page (MALL'!Values_Entered,[0]!Header_Row+'Cover page (MALL'!Number_of_Payments,[0]!Header_Row)</definedName>
    <definedName name="Last_Row" localSheetId="7">IF('Cover page (MOSQUE'!Values_Entered,Header_Row+'Cover page (MOSQUE'!Number_of_Payments,Header_Row)</definedName>
    <definedName name="Last_Row" localSheetId="5">IF('Cover page Admin block'!Values_Entered,[0]!Header_Row+'Cover page Admin block'!Number_of_Payments,[0]!Header_Row)</definedName>
    <definedName name="Last_Row" localSheetId="9">IF('Cover page power house'!Values_Entered,[0]!Header_Row+'Cover page power house'!Number_of_Payments,[0]!Header_Row)</definedName>
    <definedName name="Last_Row" localSheetId="11">IF('cover page public toilet'!Values_Entered,Header_Row+'cover page public toilet'!Number_of_Payments,Header_Row)</definedName>
    <definedName name="Last_Row" localSheetId="13">IF('General Summary'!Values_Entered,Header_Row+'General Summary'!Number_of_Payments,Header_Row)</definedName>
    <definedName name="Last_Row" localSheetId="8">IF(MASJID!Values_Entered,Header_Row+MASJID!Number_of_Payments,Header_Row)</definedName>
    <definedName name="Last_Row" localSheetId="10">IF('Power house'!Values_Entered,Header_Row+'Power house'!Number_of_Payments,Header_Row)</definedName>
    <definedName name="Last_Row" localSheetId="12">IF('public toilet'!Values_Entered,Header_Row+'public toilet'!Number_of_Payments,Header_Row)</definedName>
    <definedName name="Last_Row" localSheetId="4">IF('SHOPPING MALL'!Values_Entered,Header_Row+'SHOPPING MALL'!Number_of_Payments,Header_Row)</definedName>
    <definedName name="Last_Row">IF(Values_Entered,Header_Row+Number_of_Payments,Header_Row)</definedName>
    <definedName name="lastcell" localSheetId="6">'[20]Oct-99'!#REF!</definedName>
    <definedName name="lastcell" localSheetId="1">'[20]Oct-99'!#REF!</definedName>
    <definedName name="lastcell" localSheetId="3">'[20]Oct-99'!#REF!</definedName>
    <definedName name="lastcell" localSheetId="7">'[20]Oct-99'!#REF!</definedName>
    <definedName name="lastcell" localSheetId="5">'[20]Oct-99'!#REF!</definedName>
    <definedName name="lastcell" localSheetId="9">'[20]Oct-99'!#REF!</definedName>
    <definedName name="lastcell" localSheetId="11">'[20]Oct-99'!#REF!</definedName>
    <definedName name="lastcell" localSheetId="13">'[20]Oct-99'!#REF!</definedName>
    <definedName name="lastcell" localSheetId="8">'[20]Oct-99'!#REF!</definedName>
    <definedName name="lastcell" localSheetId="10">'[20]Oct-99'!#REF!</definedName>
    <definedName name="lastcell" localSheetId="12">'[20]Oct-99'!#REF!</definedName>
    <definedName name="lastcell" localSheetId="4">'[20]Oct-99'!#REF!</definedName>
    <definedName name="lastcell">'[20]Oct-99'!#REF!</definedName>
    <definedName name="lll" localSheetId="8">#REF!</definedName>
    <definedName name="lll" localSheetId="4">#REF!</definedName>
    <definedName name="lll">#REF!</definedName>
    <definedName name="LO" localSheetId="1">#REF!</definedName>
    <definedName name="LO" localSheetId="2">#REF!</definedName>
    <definedName name="LO" localSheetId="3">#REF!</definedName>
    <definedName name="LO" localSheetId="7">#REF!</definedName>
    <definedName name="LO" localSheetId="5">#REF!</definedName>
    <definedName name="LO" localSheetId="9">#REF!</definedName>
    <definedName name="LO" localSheetId="11">#REF!</definedName>
    <definedName name="LO" localSheetId="13">#REF!</definedName>
    <definedName name="LO" localSheetId="10">#REF!</definedName>
    <definedName name="LO" localSheetId="12">#REF!</definedName>
    <definedName name="LO" localSheetId="4">#REF!</definedName>
    <definedName name="LO">#REF!</definedName>
    <definedName name="LO0" localSheetId="1">#REF!</definedName>
    <definedName name="LO0" localSheetId="3">#REF!</definedName>
    <definedName name="LO0" localSheetId="7">#REF!</definedName>
    <definedName name="LO0" localSheetId="5">#REF!</definedName>
    <definedName name="LO0" localSheetId="9">#REF!</definedName>
    <definedName name="LO0" localSheetId="11">#REF!</definedName>
    <definedName name="LO0" localSheetId="13">#REF!</definedName>
    <definedName name="LO0" localSheetId="10">#REF!</definedName>
    <definedName name="LO0" localSheetId="12">#REF!</definedName>
    <definedName name="LO0" localSheetId="4">#REF!</definedName>
    <definedName name="LO0">#REF!</definedName>
    <definedName name="Loan_Amount" localSheetId="1">#REF!</definedName>
    <definedName name="Loan_Amount" localSheetId="3">#REF!</definedName>
    <definedName name="Loan_Amount" localSheetId="7">#REF!</definedName>
    <definedName name="Loan_Amount" localSheetId="5">#REF!</definedName>
    <definedName name="Loan_Amount" localSheetId="9">#REF!</definedName>
    <definedName name="Loan_Amount" localSheetId="11">#REF!</definedName>
    <definedName name="Loan_Amount" localSheetId="13">#REF!</definedName>
    <definedName name="Loan_Amount" localSheetId="10">#REF!</definedName>
    <definedName name="Loan_Amount" localSheetId="12">#REF!</definedName>
    <definedName name="Loan_Amount" localSheetId="4">#REF!</definedName>
    <definedName name="Loan_Amount">#REF!</definedName>
    <definedName name="Loan_Start" localSheetId="4">#REF!</definedName>
    <definedName name="Loan_Start">#REF!</definedName>
    <definedName name="Loan_Years" localSheetId="4">#REF!</definedName>
    <definedName name="Loan_Years">#REF!</definedName>
    <definedName name="Lock">[11]Prices!$B$270</definedName>
    <definedName name="Louvre_frame_.6">[11]Prices!$B$271</definedName>
    <definedName name="Louvre_frame_1.2">[11]Prices!$B$272</definedName>
    <definedName name="LS" localSheetId="2">#REF!</definedName>
    <definedName name="LS" localSheetId="8">#REF!</definedName>
    <definedName name="LS" localSheetId="4">#REF!</definedName>
    <definedName name="LS">#REF!</definedName>
    <definedName name="LS0" localSheetId="4">#REF!</definedName>
    <definedName name="LS0">#REF!</definedName>
    <definedName name="LU" localSheetId="4">#REF!</definedName>
    <definedName name="LU">#REF!</definedName>
    <definedName name="LU0" localSheetId="4">#REF!</definedName>
    <definedName name="LU0">#REF!</definedName>
    <definedName name="Luxalon">[11]Prices!$B$359</definedName>
    <definedName name="M" localSheetId="2">#REF!</definedName>
    <definedName name="M" localSheetId="8">#REF!</definedName>
    <definedName name="M" localSheetId="4">#REF!</definedName>
    <definedName name="M">#REF!</definedName>
    <definedName name="Machine_excavation">[11]Rates!$A$54</definedName>
    <definedName name="mainbuilding" localSheetId="8">#REF!</definedName>
    <definedName name="mainbuilding" localSheetId="4">#REF!</definedName>
    <definedName name="mainbuilding">#REF!</definedName>
    <definedName name="Marble_tiles">[11]Prices!$B$361</definedName>
    <definedName name="Margin1">[11]Simulation!$B$1</definedName>
    <definedName name="Margin2">[11]Simulation!$B$2</definedName>
    <definedName name="Market" localSheetId="8" hidden="1">{#N/A,#N/A,FALSE,"AFR-ELC"}</definedName>
    <definedName name="Market" localSheetId="4" hidden="1">{#N/A,#N/A,FALSE,"AFR-ELC"}</definedName>
    <definedName name="Market" hidden="1">{#N/A,#N/A,FALSE,"AFR-ELC"}</definedName>
    <definedName name="MAYO">#REF!</definedName>
    <definedName name="mb" localSheetId="8">#REF!</definedName>
    <definedName name="mb" localSheetId="4">#REF!</definedName>
    <definedName name="mb">#REF!</definedName>
    <definedName name="mbld" localSheetId="8">#REF!</definedName>
    <definedName name="mbld" localSheetId="4">#REF!</definedName>
    <definedName name="mbld">#REF!</definedName>
    <definedName name="Mech00" localSheetId="8">[1]Sheet1!#REF!</definedName>
    <definedName name="Mech00" localSheetId="4">[1]Sheet1!#REF!</definedName>
    <definedName name="Mech00">[1]Sheet1!#REF!</definedName>
    <definedName name="Mesh_65__2.42kg_m2">[11]Prices!$B$365</definedName>
    <definedName name="Mesh_a142">[11]Rates!$A$99</definedName>
    <definedName name="Mesh_A142__2.22_kg_m2">[11]Prices!$B$366</definedName>
    <definedName name="Mesh_a252">[11]Rates!$A$98</definedName>
    <definedName name="Mesh_A252__3.95_kg_m2">[11]Prices!$B$368</definedName>
    <definedName name="Mesh_B283__3.73_kg_m2">[11]Prices!$B$371</definedName>
    <definedName name="Mild_steel">[11]Prices!$B$372</definedName>
    <definedName name="mix" localSheetId="1" hidden="1">{#N/A,#N/A,FALSE,"el.det";#N/A,#N/A,FALSE,"mu.det";#N/A,#N/A,FALSE,"ug.det";#N/A,#N/A,FALSE,"ex.det";#N/A,#N/A,FALSE,"lux.det";#N/A,#N/A,FALSE,"custom.lot";#N/A,#N/A,FALSE,"condo.att";#N/A,#N/A,FALSE,"el.att";#N/A,#N/A,FALSE,"mu.att";#N/A,#N/A,FALSE,"ex.att";#N/A,#N/A,FALSE,"lux.att";#N/A,#N/A,FALSE,"all.by.village"}</definedName>
    <definedName name="mix" localSheetId="3" hidden="1">{#N/A,#N/A,FALSE,"el.det";#N/A,#N/A,FALSE,"mu.det";#N/A,#N/A,FALSE,"ug.det";#N/A,#N/A,FALSE,"ex.det";#N/A,#N/A,FALSE,"lux.det";#N/A,#N/A,FALSE,"custom.lot";#N/A,#N/A,FALSE,"condo.att";#N/A,#N/A,FALSE,"el.att";#N/A,#N/A,FALSE,"mu.att";#N/A,#N/A,FALSE,"ex.att";#N/A,#N/A,FALSE,"lux.att";#N/A,#N/A,FALSE,"all.by.village"}</definedName>
    <definedName name="mix" localSheetId="7" hidden="1">{#N/A,#N/A,FALSE,"el.det";#N/A,#N/A,FALSE,"mu.det";#N/A,#N/A,FALSE,"ug.det";#N/A,#N/A,FALSE,"ex.det";#N/A,#N/A,FALSE,"lux.det";#N/A,#N/A,FALSE,"custom.lot";#N/A,#N/A,FALSE,"condo.att";#N/A,#N/A,FALSE,"el.att";#N/A,#N/A,FALSE,"mu.att";#N/A,#N/A,FALSE,"ex.att";#N/A,#N/A,FALSE,"lux.att";#N/A,#N/A,FALSE,"all.by.village"}</definedName>
    <definedName name="mix" localSheetId="5" hidden="1">{#N/A,#N/A,FALSE,"el.det";#N/A,#N/A,FALSE,"mu.det";#N/A,#N/A,FALSE,"ug.det";#N/A,#N/A,FALSE,"ex.det";#N/A,#N/A,FALSE,"lux.det";#N/A,#N/A,FALSE,"custom.lot";#N/A,#N/A,FALSE,"condo.att";#N/A,#N/A,FALSE,"el.att";#N/A,#N/A,FALSE,"mu.att";#N/A,#N/A,FALSE,"ex.att";#N/A,#N/A,FALSE,"lux.att";#N/A,#N/A,FALSE,"all.by.village"}</definedName>
    <definedName name="mix" localSheetId="9" hidden="1">{#N/A,#N/A,FALSE,"el.det";#N/A,#N/A,FALSE,"mu.det";#N/A,#N/A,FALSE,"ug.det";#N/A,#N/A,FALSE,"ex.det";#N/A,#N/A,FALSE,"lux.det";#N/A,#N/A,FALSE,"custom.lot";#N/A,#N/A,FALSE,"condo.att";#N/A,#N/A,FALSE,"el.att";#N/A,#N/A,FALSE,"mu.att";#N/A,#N/A,FALSE,"ex.att";#N/A,#N/A,FALSE,"lux.att";#N/A,#N/A,FALSE,"all.by.village"}</definedName>
    <definedName name="mix" localSheetId="11" hidden="1">{#N/A,#N/A,FALSE,"el.det";#N/A,#N/A,FALSE,"mu.det";#N/A,#N/A,FALSE,"ug.det";#N/A,#N/A,FALSE,"ex.det";#N/A,#N/A,FALSE,"lux.det";#N/A,#N/A,FALSE,"custom.lot";#N/A,#N/A,FALSE,"condo.att";#N/A,#N/A,FALSE,"el.att";#N/A,#N/A,FALSE,"mu.att";#N/A,#N/A,FALSE,"ex.att";#N/A,#N/A,FALSE,"lux.att";#N/A,#N/A,FALSE,"all.by.village"}</definedName>
    <definedName name="mix" localSheetId="13" hidden="1">{#N/A,#N/A,FALSE,"el.det";#N/A,#N/A,FALSE,"mu.det";#N/A,#N/A,FALSE,"ug.det";#N/A,#N/A,FALSE,"ex.det";#N/A,#N/A,FALSE,"lux.det";#N/A,#N/A,FALSE,"custom.lot";#N/A,#N/A,FALSE,"condo.att";#N/A,#N/A,FALSE,"el.att";#N/A,#N/A,FALSE,"mu.att";#N/A,#N/A,FALSE,"ex.att";#N/A,#N/A,FALSE,"lux.att";#N/A,#N/A,FALSE,"all.by.village"}</definedName>
    <definedName name="mix" localSheetId="8" hidden="1">{#N/A,#N/A,FALSE,"el.det";#N/A,#N/A,FALSE,"mu.det";#N/A,#N/A,FALSE,"ug.det";#N/A,#N/A,FALSE,"ex.det";#N/A,#N/A,FALSE,"lux.det";#N/A,#N/A,FALSE,"custom.lot";#N/A,#N/A,FALSE,"condo.att";#N/A,#N/A,FALSE,"el.att";#N/A,#N/A,FALSE,"mu.att";#N/A,#N/A,FALSE,"ex.att";#N/A,#N/A,FALSE,"lux.att";#N/A,#N/A,FALSE,"all.by.village"}</definedName>
    <definedName name="mix" localSheetId="10" hidden="1">{#N/A,#N/A,FALSE,"el.det";#N/A,#N/A,FALSE,"mu.det";#N/A,#N/A,FALSE,"ug.det";#N/A,#N/A,FALSE,"ex.det";#N/A,#N/A,FALSE,"lux.det";#N/A,#N/A,FALSE,"custom.lot";#N/A,#N/A,FALSE,"condo.att";#N/A,#N/A,FALSE,"el.att";#N/A,#N/A,FALSE,"mu.att";#N/A,#N/A,FALSE,"ex.att";#N/A,#N/A,FALSE,"lux.att";#N/A,#N/A,FALSE,"all.by.village"}</definedName>
    <definedName name="mix" localSheetId="12" hidden="1">{#N/A,#N/A,FALSE,"el.det";#N/A,#N/A,FALSE,"mu.det";#N/A,#N/A,FALSE,"ug.det";#N/A,#N/A,FALSE,"ex.det";#N/A,#N/A,FALSE,"lux.det";#N/A,#N/A,FALSE,"custom.lot";#N/A,#N/A,FALSE,"condo.att";#N/A,#N/A,FALSE,"el.att";#N/A,#N/A,FALSE,"mu.att";#N/A,#N/A,FALSE,"ex.att";#N/A,#N/A,FALSE,"lux.att";#N/A,#N/A,FALSE,"all.by.village"}</definedName>
    <definedName name="mix" localSheetId="4" hidden="1">{#N/A,#N/A,FALSE,"el.det";#N/A,#N/A,FALSE,"mu.det";#N/A,#N/A,FALSE,"ug.det";#N/A,#N/A,FALSE,"ex.det";#N/A,#N/A,FALSE,"lux.det";#N/A,#N/A,FALSE,"custom.lot";#N/A,#N/A,FALSE,"condo.att";#N/A,#N/A,FALSE,"el.att";#N/A,#N/A,FALSE,"mu.att";#N/A,#N/A,FALSE,"ex.att";#N/A,#N/A,FALSE,"lux.att";#N/A,#N/A,FALSE,"all.by.village"}</definedName>
    <definedName name="mix" hidden="1">{#N/A,#N/A,FALSE,"el.det";#N/A,#N/A,FALSE,"mu.det";#N/A,#N/A,FALSE,"ug.det";#N/A,#N/A,FALSE,"ex.det";#N/A,#N/A,FALSE,"lux.det";#N/A,#N/A,FALSE,"custom.lot";#N/A,#N/A,FALSE,"condo.att";#N/A,#N/A,FALSE,"el.att";#N/A,#N/A,FALSE,"mu.att";#N/A,#N/A,FALSE,"ex.att";#N/A,#N/A,FALSE,"lux.att";#N/A,#N/A,FALSE,"all.by.village"}</definedName>
    <definedName name="Mixer_hire">[11]Prices!$B$374</definedName>
    <definedName name="MkupCW">[21]Inputs!$C$6</definedName>
    <definedName name="MM" localSheetId="8">#REF!</definedName>
    <definedName name="MM" localSheetId="4">#REF!</definedName>
    <definedName name="MM">#REF!</definedName>
    <definedName name="mmm" localSheetId="8">#REF!</definedName>
    <definedName name="mmm" localSheetId="4">#REF!</definedName>
    <definedName name="mmm">#REF!</definedName>
    <definedName name="Mosaic_tiles">[11]Prices!$B$375</definedName>
    <definedName name="N" localSheetId="1">#REF!</definedName>
    <definedName name="N" localSheetId="2">#REF!</definedName>
    <definedName name="N" localSheetId="3">#REF!</definedName>
    <definedName name="N" localSheetId="7">#REF!</definedName>
    <definedName name="N" localSheetId="5">#REF!</definedName>
    <definedName name="N" localSheetId="9">#REF!</definedName>
    <definedName name="N" localSheetId="11">#REF!</definedName>
    <definedName name="N" localSheetId="13">#REF!</definedName>
    <definedName name="N" localSheetId="10">#REF!</definedName>
    <definedName name="N" localSheetId="12">#REF!</definedName>
    <definedName name="N" localSheetId="4">#REF!</definedName>
    <definedName name="N">#REF!</definedName>
    <definedName name="Nails">[11]Prices!$B$376</definedName>
    <definedName name="NAME" localSheetId="1">#REF!</definedName>
    <definedName name="NAME" localSheetId="3">#REF!</definedName>
    <definedName name="NAME" localSheetId="7">#REF!</definedName>
    <definedName name="NAME" localSheetId="5">#REF!</definedName>
    <definedName name="NAME" localSheetId="9">#REF!</definedName>
    <definedName name="NAME" localSheetId="11">#REF!</definedName>
    <definedName name="NAME" localSheetId="13">#REF!</definedName>
    <definedName name="NAME" localSheetId="10">#REF!</definedName>
    <definedName name="NAME" localSheetId="12">#REF!</definedName>
    <definedName name="NAME" localSheetId="4">#REF!</definedName>
    <definedName name="NAME">#REF!</definedName>
    <definedName name="Name1">[17]Assumptions!$B$15</definedName>
    <definedName name="name2">[17]Assumptions!$B$17</definedName>
    <definedName name="Name3">[17]Assumptions!$B$20</definedName>
    <definedName name="Netak" localSheetId="8" hidden="1">{#N/A,#N/A,FALSE,"AFR-ELC"}</definedName>
    <definedName name="Netak" localSheetId="4" hidden="1">{#N/A,#N/A,FALSE,"AFR-ELC"}</definedName>
    <definedName name="Netak" hidden="1">{#N/A,#N/A,FALSE,"AFR-ELC"}</definedName>
    <definedName name="new">#N/A</definedName>
    <definedName name="ngfng" localSheetId="1" hidden="1">{#N/A,#N/A,FALSE,"Aging Summary";#N/A,#N/A,FALSE,"Ratio Analysis";#N/A,#N/A,FALSE,"Test 120 Day Accts";#N/A,#N/A,FALSE,"Tickmarks"}</definedName>
    <definedName name="ngfng" localSheetId="3" hidden="1">{#N/A,#N/A,FALSE,"Aging Summary";#N/A,#N/A,FALSE,"Ratio Analysis";#N/A,#N/A,FALSE,"Test 120 Day Accts";#N/A,#N/A,FALSE,"Tickmarks"}</definedName>
    <definedName name="ngfng" localSheetId="7" hidden="1">{#N/A,#N/A,FALSE,"Aging Summary";#N/A,#N/A,FALSE,"Ratio Analysis";#N/A,#N/A,FALSE,"Test 120 Day Accts";#N/A,#N/A,FALSE,"Tickmarks"}</definedName>
    <definedName name="ngfng" localSheetId="5" hidden="1">{#N/A,#N/A,FALSE,"Aging Summary";#N/A,#N/A,FALSE,"Ratio Analysis";#N/A,#N/A,FALSE,"Test 120 Day Accts";#N/A,#N/A,FALSE,"Tickmarks"}</definedName>
    <definedName name="ngfng" localSheetId="9" hidden="1">{#N/A,#N/A,FALSE,"Aging Summary";#N/A,#N/A,FALSE,"Ratio Analysis";#N/A,#N/A,FALSE,"Test 120 Day Accts";#N/A,#N/A,FALSE,"Tickmarks"}</definedName>
    <definedName name="ngfng" localSheetId="11" hidden="1">{#N/A,#N/A,FALSE,"Aging Summary";#N/A,#N/A,FALSE,"Ratio Analysis";#N/A,#N/A,FALSE,"Test 120 Day Accts";#N/A,#N/A,FALSE,"Tickmarks"}</definedName>
    <definedName name="ngfng" localSheetId="13" hidden="1">{#N/A,#N/A,FALSE,"Aging Summary";#N/A,#N/A,FALSE,"Ratio Analysis";#N/A,#N/A,FALSE,"Test 120 Day Accts";#N/A,#N/A,FALSE,"Tickmarks"}</definedName>
    <definedName name="ngfng" localSheetId="8" hidden="1">{#N/A,#N/A,FALSE,"Aging Summary";#N/A,#N/A,FALSE,"Ratio Analysis";#N/A,#N/A,FALSE,"Test 120 Day Accts";#N/A,#N/A,FALSE,"Tickmarks"}</definedName>
    <definedName name="ngfng" localSheetId="10" hidden="1">{#N/A,#N/A,FALSE,"Aging Summary";#N/A,#N/A,FALSE,"Ratio Analysis";#N/A,#N/A,FALSE,"Test 120 Day Accts";#N/A,#N/A,FALSE,"Tickmarks"}</definedName>
    <definedName name="ngfng" localSheetId="12" hidden="1">{#N/A,#N/A,FALSE,"Aging Summary";#N/A,#N/A,FALSE,"Ratio Analysis";#N/A,#N/A,FALSE,"Test 120 Day Accts";#N/A,#N/A,FALSE,"Tickmarks"}</definedName>
    <definedName name="ngfng" localSheetId="4" hidden="1">{#N/A,#N/A,FALSE,"Aging Summary";#N/A,#N/A,FALSE,"Ratio Analysis";#N/A,#N/A,FALSE,"Test 120 Day Accts";#N/A,#N/A,FALSE,"Tickmarks"}</definedName>
    <definedName name="ngfng" hidden="1">{#N/A,#N/A,FALSE,"Aging Summary";#N/A,#N/A,FALSE,"Ratio Analysis";#N/A,#N/A,FALSE,"Test 120 Day Accts";#N/A,#N/A,FALSE,"Tickmarks"}</definedName>
    <definedName name="nil" localSheetId="8" hidden="1">{#N/A,#N/A,FALSE,"AFR-ELC"}</definedName>
    <definedName name="nil" localSheetId="4" hidden="1">{#N/A,#N/A,FALSE,"AFR-ELC"}</definedName>
    <definedName name="nil" hidden="1">{#N/A,#N/A,FALSE,"AFR-ELC"}</definedName>
    <definedName name="nnn">#REF!</definedName>
    <definedName name="nnnnnnn" localSheetId="6" hidden="1">{#N/A,#N/A,FALSE,"AFR-ELC"}</definedName>
    <definedName name="nnnnnnn" localSheetId="0" hidden="1">{#N/A,#N/A,FALSE,"AFR-ELC"}</definedName>
    <definedName name="nnnnnnn" localSheetId="1" hidden="1">{#N/A,#N/A,FALSE,"AFR-ELC"}</definedName>
    <definedName name="nnnnnnn" localSheetId="3" hidden="1">{#N/A,#N/A,FALSE,"AFR-ELC"}</definedName>
    <definedName name="nnnnnnn" localSheetId="7" hidden="1">{#N/A,#N/A,FALSE,"AFR-ELC"}</definedName>
    <definedName name="nnnnnnn" localSheetId="5" hidden="1">{#N/A,#N/A,FALSE,"AFR-ELC"}</definedName>
    <definedName name="nnnnnnn" localSheetId="9" hidden="1">{#N/A,#N/A,FALSE,"AFR-ELC"}</definedName>
    <definedName name="nnnnnnn" localSheetId="11" hidden="1">{#N/A,#N/A,FALSE,"AFR-ELC"}</definedName>
    <definedName name="nnnnnnn" localSheetId="13" hidden="1">{#N/A,#N/A,FALSE,"AFR-ELC"}</definedName>
    <definedName name="nnnnnnn" localSheetId="8" hidden="1">{#N/A,#N/A,FALSE,"AFR-ELC"}</definedName>
    <definedName name="nnnnnnn" localSheetId="10" hidden="1">{#N/A,#N/A,FALSE,"AFR-ELC"}</definedName>
    <definedName name="nnnnnnn" localSheetId="12" hidden="1">{#N/A,#N/A,FALSE,"AFR-ELC"}</definedName>
    <definedName name="nnnnnnn" localSheetId="4" hidden="1">{#N/A,#N/A,FALSE,"AFR-ELC"}</definedName>
    <definedName name="nnnnnnn" hidden="1">{#N/A,#N/A,FALSE,"AFR-ELC"}</definedName>
    <definedName name="NO">#REF!</definedName>
    <definedName name="No.">"A1"</definedName>
    <definedName name="NONE">'[22]#REF'!#REF!</definedName>
    <definedName name="NOOONN" localSheetId="8">{#N/A,#N/A,FALSE,"AFR-ELC"}</definedName>
    <definedName name="NOOONN" localSheetId="4">{#N/A,#N/A,FALSE,"AFR-ELC"}</definedName>
    <definedName name="NOOONN">{#N/A,#N/A,FALSE,"AFR-ELC"}</definedName>
    <definedName name="NOTE" localSheetId="1">#REF!</definedName>
    <definedName name="NOTE" localSheetId="3">#REF!</definedName>
    <definedName name="NOTE" localSheetId="7">#REF!</definedName>
    <definedName name="NOTE" localSheetId="5">#REF!</definedName>
    <definedName name="NOTE" localSheetId="9">#REF!</definedName>
    <definedName name="NOTE" localSheetId="11">#REF!</definedName>
    <definedName name="NOTE" localSheetId="13">#REF!</definedName>
    <definedName name="NOTE" localSheetId="10">#REF!</definedName>
    <definedName name="NOTE" localSheetId="12">#REF!</definedName>
    <definedName name="NOTE" localSheetId="4">#REF!</definedName>
    <definedName name="NOTE">#REF!</definedName>
    <definedName name="NSF">'[10]Condo Pricing'!$F$15</definedName>
    <definedName name="NUM" localSheetId="1">#REF!</definedName>
    <definedName name="NUM" localSheetId="2">#REF!</definedName>
    <definedName name="NUM" localSheetId="3">#REF!</definedName>
    <definedName name="NUM" localSheetId="7">#REF!</definedName>
    <definedName name="NUM" localSheetId="5">#REF!</definedName>
    <definedName name="NUM" localSheetId="9">#REF!</definedName>
    <definedName name="NUM" localSheetId="11">#REF!</definedName>
    <definedName name="NUM" localSheetId="13">#REF!</definedName>
    <definedName name="NUM" localSheetId="10">#REF!</definedName>
    <definedName name="NUM" localSheetId="12">#REF!</definedName>
    <definedName name="NUM" localSheetId="4">#REF!</definedName>
    <definedName name="NUM">#REF!</definedName>
    <definedName name="Num_Pmt_Per_Year" localSheetId="1">#REF!</definedName>
    <definedName name="Num_Pmt_Per_Year" localSheetId="3">#REF!</definedName>
    <definedName name="Num_Pmt_Per_Year" localSheetId="7">#REF!</definedName>
    <definedName name="Num_Pmt_Per_Year" localSheetId="5">#REF!</definedName>
    <definedName name="Num_Pmt_Per_Year" localSheetId="9">#REF!</definedName>
    <definedName name="Num_Pmt_Per_Year" localSheetId="11">#REF!</definedName>
    <definedName name="Num_Pmt_Per_Year" localSheetId="13">#REF!</definedName>
    <definedName name="Num_Pmt_Per_Year" localSheetId="10">#REF!</definedName>
    <definedName name="Num_Pmt_Per_Year" localSheetId="12">#REF!</definedName>
    <definedName name="Num_Pmt_Per_Year" localSheetId="4">#REF!</definedName>
    <definedName name="Num_Pmt_Per_Year">#REF!</definedName>
    <definedName name="Number_of_Payments" localSheetId="1">MATCH(0.01,'BILL (2)'!End_Bal,-1)+1</definedName>
    <definedName name="Number_of_Payments" localSheetId="3">MATCH(0.01,'Cover page (MALL'!End_Bal,-1)+1</definedName>
    <definedName name="Number_of_Payments" localSheetId="7">MATCH(0.01,'Cover page (MOSQUE'!End_Bal,-1)+1</definedName>
    <definedName name="Number_of_Payments" localSheetId="5">MATCH(0.01,'Cover page Admin block'!End_Bal,-1)+1</definedName>
    <definedName name="Number_of_Payments" localSheetId="9">MATCH(0.01,'Cover page power house'!End_Bal,-1)+1</definedName>
    <definedName name="Number_of_Payments" localSheetId="11">MATCH(0.01,'cover page public toilet'!End_Bal,-1)+1</definedName>
    <definedName name="Number_of_Payments" localSheetId="13">MATCH(0.01,'General Summary'!End_Bal,-1)+1</definedName>
    <definedName name="Number_of_Payments" localSheetId="8">MATCH(0.01,End_Bal,-1)+1</definedName>
    <definedName name="Number_of_Payments" localSheetId="10">MATCH(0.01,'Power house'!End_Bal,-1)+1</definedName>
    <definedName name="Number_of_Payments" localSheetId="12">MATCH(0.01,'public toilet'!End_Bal,-1)+1</definedName>
    <definedName name="Number_of_Payments" localSheetId="4">MATCH(0.01,'SHOPPING MALL'!End_Bal,-1)+1</definedName>
    <definedName name="Number_of_Payments">MATCH(0.01,End_Bal,-1)+1</definedName>
    <definedName name="NWC" localSheetId="6" hidden="1">{#N/A,#N/A,FALSE,"AFR-ELC"}</definedName>
    <definedName name="NWC" localSheetId="0" hidden="1">{#N/A,#N/A,FALSE,"AFR-ELC"}</definedName>
    <definedName name="NWC" localSheetId="1" hidden="1">{#N/A,#N/A,FALSE,"AFR-ELC"}</definedName>
    <definedName name="NWC" localSheetId="2" hidden="1">{#N/A,#N/A,FALSE,"AFR-ELC"}</definedName>
    <definedName name="NWC" localSheetId="3" hidden="1">{#N/A,#N/A,FALSE,"AFR-ELC"}</definedName>
    <definedName name="NWC" localSheetId="7" hidden="1">{#N/A,#N/A,FALSE,"AFR-ELC"}</definedName>
    <definedName name="NWC" localSheetId="5" hidden="1">{#N/A,#N/A,FALSE,"AFR-ELC"}</definedName>
    <definedName name="NWC" localSheetId="9" hidden="1">{#N/A,#N/A,FALSE,"AFR-ELC"}</definedName>
    <definedName name="NWC" localSheetId="11" hidden="1">{#N/A,#N/A,FALSE,"AFR-ELC"}</definedName>
    <definedName name="NWC" localSheetId="13" hidden="1">{#N/A,#N/A,FALSE,"AFR-ELC"}</definedName>
    <definedName name="NWC" localSheetId="8" hidden="1">{#N/A,#N/A,FALSE,"AFR-ELC"}</definedName>
    <definedName name="NWC" localSheetId="10" hidden="1">{#N/A,#N/A,FALSE,"AFR-ELC"}</definedName>
    <definedName name="NWC" localSheetId="12" hidden="1">{#N/A,#N/A,FALSE,"AFR-ELC"}</definedName>
    <definedName name="NWC" localSheetId="4" hidden="1">{#N/A,#N/A,FALSE,"AFR-ELC"}</definedName>
    <definedName name="NWC" hidden="1">{#N/A,#N/A,FALSE,"AFR-ELC"}</definedName>
    <definedName name="OFFICE" localSheetId="1">#REF!</definedName>
    <definedName name="OFFICE" localSheetId="2">#REF!</definedName>
    <definedName name="OFFICE" localSheetId="3">#REF!</definedName>
    <definedName name="OFFICE" localSheetId="7">#REF!</definedName>
    <definedName name="OFFICE" localSheetId="5">#REF!</definedName>
    <definedName name="OFFICE" localSheetId="9">#REF!</definedName>
    <definedName name="OFFICE" localSheetId="11">#REF!</definedName>
    <definedName name="OFFICE" localSheetId="13">#REF!</definedName>
    <definedName name="OFFICE" localSheetId="10">#REF!</definedName>
    <definedName name="OFFICE" localSheetId="12">#REF!</definedName>
    <definedName name="OFFICE" localSheetId="4">#REF!</definedName>
    <definedName name="OFFICE">#REF!</definedName>
    <definedName name="ol" localSheetId="4">#REF!</definedName>
    <definedName name="ol">#REF!</definedName>
    <definedName name="OLTV">'[10]Base case - condos'!$H$8</definedName>
    <definedName name="OON" localSheetId="8" hidden="1">{#N/A,#N/A,FALSE,"AFR-ELC"}</definedName>
    <definedName name="OON" localSheetId="4" hidden="1">{#N/A,#N/A,FALSE,"AFR-ELC"}</definedName>
    <definedName name="OON" hidden="1">{#N/A,#N/A,FALSE,"AFR-ELC"}</definedName>
    <definedName name="OOOOO" localSheetId="1">#REF!</definedName>
    <definedName name="OOOOO" localSheetId="3">#REF!</definedName>
    <definedName name="OOOOO" localSheetId="7">#REF!</definedName>
    <definedName name="OOOOO" localSheetId="5">#REF!</definedName>
    <definedName name="OOOOO" localSheetId="9">#REF!</definedName>
    <definedName name="OOOOO" localSheetId="11">#REF!</definedName>
    <definedName name="OOOOO" localSheetId="13">#REF!</definedName>
    <definedName name="OOOOO" localSheetId="10">#REF!</definedName>
    <definedName name="OOOOO" localSheetId="12">#REF!</definedName>
    <definedName name="OOOOO" localSheetId="4">#REF!</definedName>
    <definedName name="OOOOO">#REF!</definedName>
    <definedName name="OT" localSheetId="1">#REF!</definedName>
    <definedName name="OT" localSheetId="3">#REF!</definedName>
    <definedName name="OT" localSheetId="7">#REF!</definedName>
    <definedName name="OT" localSheetId="5">#REF!</definedName>
    <definedName name="OT" localSheetId="9">#REF!</definedName>
    <definedName name="OT" localSheetId="11">#REF!</definedName>
    <definedName name="OT" localSheetId="13">#REF!</definedName>
    <definedName name="OT" localSheetId="10">#REF!</definedName>
    <definedName name="OT" localSheetId="12">#REF!</definedName>
    <definedName name="OT" localSheetId="4">#REF!</definedName>
    <definedName name="OT">#REF!</definedName>
    <definedName name="OT0" localSheetId="1">#REF!</definedName>
    <definedName name="OT0" localSheetId="3">#REF!</definedName>
    <definedName name="OT0" localSheetId="7">#REF!</definedName>
    <definedName name="OT0" localSheetId="5">#REF!</definedName>
    <definedName name="OT0" localSheetId="9">#REF!</definedName>
    <definedName name="OT0" localSheetId="11">#REF!</definedName>
    <definedName name="OT0" localSheetId="13">#REF!</definedName>
    <definedName name="OT0" localSheetId="10">#REF!</definedName>
    <definedName name="OT0" localSheetId="12">#REF!</definedName>
    <definedName name="OT0" localSheetId="4">#REF!</definedName>
    <definedName name="OT0">#REF!</definedName>
    <definedName name="out" localSheetId="4">#REF!</definedName>
    <definedName name="out">#REF!</definedName>
    <definedName name="Paladiana">[11]Prices!$B$380</definedName>
    <definedName name="Paralon_nt4">[11]Prices!$B$382</definedName>
    <definedName name="pay" localSheetId="6">'[9]Materials on site'!#REF!</definedName>
    <definedName name="pay" localSheetId="1">'[9]Materials on site'!#REF!</definedName>
    <definedName name="pay" localSheetId="3">'[9]Materials on site'!#REF!</definedName>
    <definedName name="pay" localSheetId="7">'[9]Materials on site'!#REF!</definedName>
    <definedName name="pay" localSheetId="5">'[9]Materials on site'!#REF!</definedName>
    <definedName name="pay" localSheetId="9">'[9]Materials on site'!#REF!</definedName>
    <definedName name="pay" localSheetId="11">'[9]Materials on site'!#REF!</definedName>
    <definedName name="pay" localSheetId="13">'[9]Materials on site'!#REF!</definedName>
    <definedName name="pay" localSheetId="8">'[9]Materials on site'!#REF!</definedName>
    <definedName name="pay" localSheetId="10">'[9]Materials on site'!#REF!</definedName>
    <definedName name="pay" localSheetId="12">'[9]Materials on site'!#REF!</definedName>
    <definedName name="pay" localSheetId="4">'[9]Materials on site'!#REF!</definedName>
    <definedName name="pay">'[9]Materials on site'!#REF!</definedName>
    <definedName name="Pay_Date" localSheetId="1">#REF!</definedName>
    <definedName name="Pay_Date" localSheetId="3">#REF!</definedName>
    <definedName name="Pay_Date" localSheetId="7">#REF!</definedName>
    <definedName name="Pay_Date" localSheetId="5">#REF!</definedName>
    <definedName name="Pay_Date" localSheetId="9">#REF!</definedName>
    <definedName name="Pay_Date" localSheetId="11">#REF!</definedName>
    <definedName name="Pay_Date" localSheetId="13">#REF!</definedName>
    <definedName name="Pay_Date" localSheetId="10">#REF!</definedName>
    <definedName name="Pay_Date" localSheetId="12">#REF!</definedName>
    <definedName name="Pay_Date" localSheetId="4">#REF!</definedName>
    <definedName name="Pay_Date">#REF!</definedName>
    <definedName name="Pay_Num" localSheetId="1">#REF!</definedName>
    <definedName name="Pay_Num" localSheetId="3">#REF!</definedName>
    <definedName name="Pay_Num" localSheetId="7">#REF!</definedName>
    <definedName name="Pay_Num" localSheetId="5">#REF!</definedName>
    <definedName name="Pay_Num" localSheetId="9">#REF!</definedName>
    <definedName name="Pay_Num" localSheetId="11">#REF!</definedName>
    <definedName name="Pay_Num" localSheetId="13">#REF!</definedName>
    <definedName name="Pay_Num" localSheetId="10">#REF!</definedName>
    <definedName name="Pay_Num" localSheetId="12">#REF!</definedName>
    <definedName name="Pay_Num" localSheetId="4">#REF!</definedName>
    <definedName name="Pay_Num">#REF!</definedName>
    <definedName name="Payment_Date" localSheetId="1">DATE(YEAR(Loan_Start),MONTH(Loan_Start)+Payment_Number,DAY(Loan_Start))</definedName>
    <definedName name="Payment_Date" localSheetId="3">DATE(YEAR([0]!Loan_Start),MONTH([0]!Loan_Start)+Payment_Number,DAY([0]!Loan_Start))</definedName>
    <definedName name="Payment_Date" localSheetId="7">DATE(YEAR(Loan_Start),MONTH(Loan_Start)+Payment_Number,DAY(Loan_Start))</definedName>
    <definedName name="Payment_Date" localSheetId="5">DATE(YEAR([0]!Loan_Start),MONTH([0]!Loan_Start)+Payment_Number,DAY([0]!Loan_Start))</definedName>
    <definedName name="Payment_Date" localSheetId="9">DATE(YEAR([0]!Loan_Start),MONTH([0]!Loan_Start)+Payment_Number,DAY([0]!Loan_Start))</definedName>
    <definedName name="Payment_Date" localSheetId="11">DATE(YEAR([0]!Loan_Start),MONTH([0]!Loan_Start)+Payment_Number,DAY([0]!Loan_Start))</definedName>
    <definedName name="Payment_Date" localSheetId="13">DATE(YEAR(Loan_Start),MONTH(Loan_Start)+Payment_Number,DAY(Loan_Start))</definedName>
    <definedName name="Payment_Date" localSheetId="8">DATE(YEAR(Loan_Start),MONTH(Loan_Start)+Payment_Number,DAY(Loan_Start))</definedName>
    <definedName name="Payment_Date" localSheetId="10">DATE(YEAR(Loan_Start),MONTH(Loan_Start)+Payment_Number,DAY(Loan_Start))</definedName>
    <definedName name="Payment_Date" localSheetId="12">DATE(YEAR(Loan_Start),MONTH(Loan_Start)+Payment_Number,DAY(Loan_Start))</definedName>
    <definedName name="Payment_Date" localSheetId="4">DATE(YEAR('SHOPPING MALL'!Loan_Start),MONTH('SHOPPING MALL'!Loan_Start)+Payment_Number,DAY('SHOPPING MALL'!Loan_Start))</definedName>
    <definedName name="Payment_Date">DATE(YEAR(Loan_Start),MONTH(Loan_Start)+Payment_Number,DAY(Loan_Start))</definedName>
    <definedName name="PeriodFMICwork">[23]Sheet3!$D$102</definedName>
    <definedName name="PF" localSheetId="1">#REF!</definedName>
    <definedName name="PF" localSheetId="2">#REF!</definedName>
    <definedName name="PF" localSheetId="3">#REF!</definedName>
    <definedName name="PF" localSheetId="7">#REF!</definedName>
    <definedName name="PF" localSheetId="5">#REF!</definedName>
    <definedName name="PF" localSheetId="9">#REF!</definedName>
    <definedName name="PF" localSheetId="11">#REF!</definedName>
    <definedName name="PF" localSheetId="13">#REF!</definedName>
    <definedName name="PF" localSheetId="10">#REF!</definedName>
    <definedName name="PF" localSheetId="12">#REF!</definedName>
    <definedName name="PF" localSheetId="4">#REF!</definedName>
    <definedName name="PF">#REF!</definedName>
    <definedName name="PF0" localSheetId="1">#REF!</definedName>
    <definedName name="PF0" localSheetId="3">#REF!</definedName>
    <definedName name="PF0" localSheetId="7">#REF!</definedName>
    <definedName name="PF0" localSheetId="5">#REF!</definedName>
    <definedName name="PF0" localSheetId="9">#REF!</definedName>
    <definedName name="PF0" localSheetId="11">#REF!</definedName>
    <definedName name="PF0" localSheetId="13">#REF!</definedName>
    <definedName name="PF0" localSheetId="10">#REF!</definedName>
    <definedName name="PF0" localSheetId="12">#REF!</definedName>
    <definedName name="PF0" localSheetId="4">#REF!</definedName>
    <definedName name="PF0">#REF!</definedName>
    <definedName name="PLAY" localSheetId="8">{#N/A,#N/A,FALSE,"AFR-ELC"}</definedName>
    <definedName name="PLAY" localSheetId="4">{#N/A,#N/A,FALSE,"AFR-ELC"}</definedName>
    <definedName name="PLAY">{#N/A,#N/A,FALSE,"AFR-ELC"}</definedName>
    <definedName name="PLS" localSheetId="1">#REF!</definedName>
    <definedName name="PLS" localSheetId="3">#REF!</definedName>
    <definedName name="PLS" localSheetId="7">#REF!</definedName>
    <definedName name="PLS" localSheetId="5">#REF!</definedName>
    <definedName name="PLS" localSheetId="9">#REF!</definedName>
    <definedName name="PLS" localSheetId="11">#REF!</definedName>
    <definedName name="PLS" localSheetId="13">#REF!</definedName>
    <definedName name="PLS" localSheetId="10">#REF!</definedName>
    <definedName name="PLS" localSheetId="12">#REF!</definedName>
    <definedName name="PLS" localSheetId="4">#REF!</definedName>
    <definedName name="PLS">#REF!</definedName>
    <definedName name="PLUMBING" localSheetId="4">#REF!</definedName>
    <definedName name="PLUMBING">#REF!</definedName>
    <definedName name="Plywood_marine_.75">[11]Prices!$B$396</definedName>
    <definedName name="Polish">[11]Prices!$B$397</definedName>
    <definedName name="Polyfiller_PVA__adehesive">[11]Prices!$B$400</definedName>
    <definedName name="Polyfiller_TAC_powder">[11]Prices!$B$399</definedName>
    <definedName name="Polystyrene">[11]Prices!$B$401</definedName>
    <definedName name="Polythene">[11]Prices!$B$402</definedName>
    <definedName name="Polythene_sheets">[11]Rates!$A$93</definedName>
    <definedName name="Price_per_Unit">[18]BEP!$C$4</definedName>
    <definedName name="Princ" localSheetId="1">#REF!</definedName>
    <definedName name="Princ" localSheetId="3">#REF!</definedName>
    <definedName name="Princ" localSheetId="7">#REF!</definedName>
    <definedName name="Princ" localSheetId="5">#REF!</definedName>
    <definedName name="Princ" localSheetId="9">#REF!</definedName>
    <definedName name="Princ" localSheetId="11">#REF!</definedName>
    <definedName name="Princ" localSheetId="13">#REF!</definedName>
    <definedName name="Princ" localSheetId="10">#REF!</definedName>
    <definedName name="Princ" localSheetId="12">#REF!</definedName>
    <definedName name="Princ" localSheetId="4">#REF!</definedName>
    <definedName name="Princ">#REF!</definedName>
    <definedName name="PRINT" localSheetId="2">#REF!</definedName>
    <definedName name="Print">'[12]Exhibit VI-8'!$A$12:$G$21</definedName>
    <definedName name="_xlnm.Print_Area" localSheetId="6">'ADMIN BLOCK'!$A$1:$F$654</definedName>
    <definedName name="_xlnm.Print_Area" localSheetId="0">BILL!$A$1:$F$1152</definedName>
    <definedName name="_xlnm.Print_Area" localSheetId="1">'BILL (2)'!$A$1:$F$1068</definedName>
    <definedName name="_xlnm.Print_Area" localSheetId="2">'Cover Page'!$A$1:$J$36</definedName>
    <definedName name="_xlnm.Print_Area" localSheetId="3">'Cover page (MALL'!$A$1:$J$29</definedName>
    <definedName name="_xlnm.Print_Area" localSheetId="7">'Cover page (MOSQUE'!$A$1:$J$29</definedName>
    <definedName name="_xlnm.Print_Area" localSheetId="5">'Cover page Admin block'!$A$1:$J$29</definedName>
    <definedName name="_xlnm.Print_Area" localSheetId="9">'Cover page power house'!$A$1:$J$29</definedName>
    <definedName name="_xlnm.Print_Area" localSheetId="11">'cover page public toilet'!$A$1:$J$29</definedName>
    <definedName name="_xlnm.Print_Area" localSheetId="13">'General Summary'!$A$1:$E$36</definedName>
    <definedName name="_xlnm.Print_Area" localSheetId="8">MASJID!$A$1:$F$570</definedName>
    <definedName name="_xlnm.Print_Area" localSheetId="10">'Power house'!$A$1:$F$460</definedName>
    <definedName name="_xlnm.Print_Area" localSheetId="12">'public toilet'!$A$1:$F$498</definedName>
    <definedName name="_xlnm.Print_Area" localSheetId="4">'SHOPPING MALL'!$A$1:$F$921</definedName>
    <definedName name="_xlnm.Print_Area">#REF!</definedName>
    <definedName name="PRINT_AREA_MI" localSheetId="1">#REF!</definedName>
    <definedName name="Print_Area_MI" localSheetId="2">#REF!</definedName>
    <definedName name="PRINT_AREA_MI" localSheetId="3">#REF!</definedName>
    <definedName name="PRINT_AREA_MI" localSheetId="7">#REF!</definedName>
    <definedName name="PRINT_AREA_MI" localSheetId="5">#REF!</definedName>
    <definedName name="PRINT_AREA_MI" localSheetId="9">#REF!</definedName>
    <definedName name="PRINT_AREA_MI" localSheetId="11">#REF!</definedName>
    <definedName name="PRINT_AREA_MI" localSheetId="13">#REF!</definedName>
    <definedName name="PRINT_AREA_MI" localSheetId="10">#REF!</definedName>
    <definedName name="PRINT_AREA_MI" localSheetId="12">#REF!</definedName>
    <definedName name="PRINT_AREA_MI" localSheetId="4">#REF!</definedName>
    <definedName name="PRINT_AREA_MI">#REF!</definedName>
    <definedName name="Print_Area_Reset" localSheetId="1">OFFSET('BILL (2)'!Full_Print,0,0,'BILL (2)'!Last_Row)</definedName>
    <definedName name="Print_Area_Reset" localSheetId="3">OFFSET('Cover page (MALL'!Full_Print,0,0,'Cover page (MALL'!Last_Row)</definedName>
    <definedName name="Print_Area_Reset" localSheetId="7">OFFSET('Cover page (MOSQUE'!Full_Print,0,0,'Cover page (MOSQUE'!Last_Row)</definedName>
    <definedName name="Print_Area_Reset" localSheetId="5">OFFSET('Cover page Admin block'!Full_Print,0,0,'Cover page Admin block'!Last_Row)</definedName>
    <definedName name="Print_Area_Reset" localSheetId="9">OFFSET('Cover page power house'!Full_Print,0,0,'Cover page power house'!Last_Row)</definedName>
    <definedName name="Print_Area_Reset" localSheetId="11">OFFSET('cover page public toilet'!Full_Print,0,0,'cover page public toilet'!Last_Row)</definedName>
    <definedName name="Print_Area_Reset" localSheetId="13">OFFSET('General Summary'!Full_Print,0,0,'General Summary'!Last_Row)</definedName>
    <definedName name="Print_Area_Reset" localSheetId="8">OFFSET(Full_Print,0,0,MASJID!Last_Row)</definedName>
    <definedName name="Print_Area_Reset" localSheetId="10">OFFSET('Power house'!Full_Print,0,0,'Power house'!Last_Row)</definedName>
    <definedName name="Print_Area_Reset" localSheetId="12">OFFSET('public toilet'!Full_Print,0,0,'public toilet'!Last_Row)</definedName>
    <definedName name="Print_Area_Reset" localSheetId="4">OFFSET('SHOPPING MALL'!Full_Print,0,0,'SHOPPING MALL'!Last_Row)</definedName>
    <definedName name="Print_Area_Reset">OFFSET(Full_Print,0,0,Last_Row)</definedName>
    <definedName name="_xlnm.Print_Titles" localSheetId="1">[24]Model!#REF!</definedName>
    <definedName name="_xlnm.Print_Titles" localSheetId="3">[24]Model!#REF!</definedName>
    <definedName name="_xlnm.Print_Titles" localSheetId="7">[24]Model!#REF!</definedName>
    <definedName name="_xlnm.Print_Titles" localSheetId="5">[24]Model!#REF!</definedName>
    <definedName name="_xlnm.Print_Titles" localSheetId="9">[24]Model!#REF!</definedName>
    <definedName name="_xlnm.Print_Titles" localSheetId="11">[24]Model!#REF!</definedName>
    <definedName name="_xlnm.Print_Titles" localSheetId="8">[24]Model!#REF!</definedName>
    <definedName name="_xlnm.Print_Titles" localSheetId="10">[24]Model!#REF!</definedName>
    <definedName name="_xlnm.Print_Titles" localSheetId="12">[24]Model!#REF!</definedName>
    <definedName name="_xlnm.Print_Titles">[24]Model!#REF!</definedName>
    <definedName name="PRINTER" localSheetId="1">#REF!</definedName>
    <definedName name="PRINTER" localSheetId="2">#REF!</definedName>
    <definedName name="PRINTER" localSheetId="3">#REF!</definedName>
    <definedName name="PRINTER" localSheetId="7">#REF!</definedName>
    <definedName name="PRINTER" localSheetId="5">#REF!</definedName>
    <definedName name="PRINTER" localSheetId="9">#REF!</definedName>
    <definedName name="PRINTER" localSheetId="11">#REF!</definedName>
    <definedName name="PRINTER" localSheetId="13">#REF!</definedName>
    <definedName name="PRINTER" localSheetId="10">#REF!</definedName>
    <definedName name="PRINTER" localSheetId="12">#REF!</definedName>
    <definedName name="PRINTER" localSheetId="4">#REF!</definedName>
    <definedName name="PRINTER">#REF!</definedName>
    <definedName name="ProjCostToDate">[23]Sheet3!$C$106</definedName>
    <definedName name="ProjectName" localSheetId="1">{"Client Name or Project Name"}</definedName>
    <definedName name="ProjectName" localSheetId="3">{"Client Name or Project Name"}</definedName>
    <definedName name="ProjectName" localSheetId="7">{"Client Name or Project Name"}</definedName>
    <definedName name="ProjectName" localSheetId="5">{"Client Name or Project Name"}</definedName>
    <definedName name="ProjectName" localSheetId="9">{"Client Name or Project Name"}</definedName>
    <definedName name="ProjectName" localSheetId="11">{"Client Name or Project Name"}</definedName>
    <definedName name="ProjectName" localSheetId="13">{"Client Name or Project Name"}</definedName>
    <definedName name="ProjectName" localSheetId="8">{"Client Name or Project Name"}</definedName>
    <definedName name="ProjectName" localSheetId="10">{"Client Name or Project Name"}</definedName>
    <definedName name="ProjectName" localSheetId="12">{"Client Name or Project Name"}</definedName>
    <definedName name="ProjectName" localSheetId="4">{"Client Name or Project Name"}</definedName>
    <definedName name="ProjectName">{"Client Name or Project Name"}</definedName>
    <definedName name="ProjectName2" localSheetId="1">{"Client Name or Project Name"}</definedName>
    <definedName name="ProjectName2" localSheetId="3">{"Client Name or Project Name"}</definedName>
    <definedName name="ProjectName2" localSheetId="7">{"Client Name or Project Name"}</definedName>
    <definedName name="ProjectName2" localSheetId="5">{"Client Name or Project Name"}</definedName>
    <definedName name="ProjectName2" localSheetId="9">{"Client Name or Project Name"}</definedName>
    <definedName name="ProjectName2" localSheetId="11">{"Client Name or Project Name"}</definedName>
    <definedName name="ProjectName2" localSheetId="13">{"Client Name or Project Name"}</definedName>
    <definedName name="ProjectName2" localSheetId="8">{"Client Name or Project Name"}</definedName>
    <definedName name="ProjectName2" localSheetId="10">{"Client Name or Project Name"}</definedName>
    <definedName name="ProjectName2" localSheetId="12">{"Client Name or Project Name"}</definedName>
    <definedName name="ProjectName2" localSheetId="4">{"Client Name or Project Name"}</definedName>
    <definedName name="ProjectName2">{"Client Name or Project Name"}</definedName>
    <definedName name="ProjectName3" localSheetId="1">{"Client Name or Project Name"}</definedName>
    <definedName name="ProjectName3" localSheetId="3">{"Client Name or Project Name"}</definedName>
    <definedName name="ProjectName3" localSheetId="7">{"Client Name or Project Name"}</definedName>
    <definedName name="ProjectName3" localSheetId="5">{"Client Name or Project Name"}</definedName>
    <definedName name="ProjectName3" localSheetId="9">{"Client Name or Project Name"}</definedName>
    <definedName name="ProjectName3" localSheetId="11">{"Client Name or Project Name"}</definedName>
    <definedName name="ProjectName3" localSheetId="13">{"Client Name or Project Name"}</definedName>
    <definedName name="ProjectName3" localSheetId="8">{"Client Name or Project Name"}</definedName>
    <definedName name="ProjectName3" localSheetId="10">{"Client Name or Project Name"}</definedName>
    <definedName name="ProjectName3" localSheetId="12">{"Client Name or Project Name"}</definedName>
    <definedName name="ProjectName3" localSheetId="4">{"Client Name or Project Name"}</definedName>
    <definedName name="ProjectName3">{"Client Name or Project Name"}</definedName>
    <definedName name="Pudlo">[11]Prices!$B$409</definedName>
    <definedName name="q" localSheetId="8">#REF!</definedName>
    <definedName name="q" localSheetId="4">#REF!</definedName>
    <definedName name="q">#REF!</definedName>
    <definedName name="qq">'[25]Diesel claim'!$G$38,'[25]Diesel claim'!$G$40,'[25]Diesel claim'!$G$42,'[25]Diesel claim'!$G$44</definedName>
    <definedName name="qqfxlCalcReset" hidden="1">FALSE</definedName>
    <definedName name="qqfxlCalculateOnOpen" hidden="1">FALSE</definedName>
    <definedName name="qqfxlFullBoth" hidden="1">TRUE</definedName>
    <definedName name="qqfxlManualBoth" hidden="1">FALSE</definedName>
    <definedName name="qqfxlSheetsBoth" hidden="1">TRUE</definedName>
    <definedName name="QS">'[16]Val Details'!$C$52</definedName>
    <definedName name="Quantity">"C1"</definedName>
    <definedName name="Quarry_tiles">[11]Prices!$B$415</definedName>
    <definedName name="RAT" localSheetId="6" hidden="1">{#N/A,#N/A,FALSE,"AFR-ELC"}</definedName>
    <definedName name="RAT" localSheetId="1" hidden="1">{#N/A,#N/A,FALSE,"AFR-ELC"}</definedName>
    <definedName name="RAT" localSheetId="3" hidden="1">{#N/A,#N/A,FALSE,"AFR-ELC"}</definedName>
    <definedName name="RAT" localSheetId="7" hidden="1">{#N/A,#N/A,FALSE,"AFR-ELC"}</definedName>
    <definedName name="RAT" localSheetId="5" hidden="1">{#N/A,#N/A,FALSE,"AFR-ELC"}</definedName>
    <definedName name="RAT" localSheetId="9" hidden="1">{#N/A,#N/A,FALSE,"AFR-ELC"}</definedName>
    <definedName name="RAT" localSheetId="11" hidden="1">{#N/A,#N/A,FALSE,"AFR-ELC"}</definedName>
    <definedName name="RAT" localSheetId="13" hidden="1">{#N/A,#N/A,FALSE,"AFR-ELC"}</definedName>
    <definedName name="RAT" localSheetId="8" hidden="1">{#N/A,#N/A,FALSE,"AFR-ELC"}</definedName>
    <definedName name="RAT" localSheetId="10" hidden="1">{#N/A,#N/A,FALSE,"AFR-ELC"}</definedName>
    <definedName name="RAT" localSheetId="12" hidden="1">{#N/A,#N/A,FALSE,"AFR-ELC"}</definedName>
    <definedName name="RAT" localSheetId="4" hidden="1">{#N/A,#N/A,FALSE,"AFR-ELC"}</definedName>
    <definedName name="RAT" hidden="1">{#N/A,#N/A,FALSE,"AFR-ELC"}</definedName>
    <definedName name="RATE" localSheetId="6" hidden="1">{#N/A,#N/A,FALSE,"AFR-ELC"}</definedName>
    <definedName name="RATE" localSheetId="1" hidden="1">{#N/A,#N/A,FALSE,"AFR-ELC"}</definedName>
    <definedName name="RATE" localSheetId="3" hidden="1">{#N/A,#N/A,FALSE,"AFR-ELC"}</definedName>
    <definedName name="RATE" localSheetId="7" hidden="1">{#N/A,#N/A,FALSE,"AFR-ELC"}</definedName>
    <definedName name="RATE" localSheetId="5" hidden="1">{#N/A,#N/A,FALSE,"AFR-ELC"}</definedName>
    <definedName name="RATE" localSheetId="9" hidden="1">{#N/A,#N/A,FALSE,"AFR-ELC"}</definedName>
    <definedName name="RATE" localSheetId="11" hidden="1">{#N/A,#N/A,FALSE,"AFR-ELC"}</definedName>
    <definedName name="RATE" localSheetId="13" hidden="1">{#N/A,#N/A,FALSE,"AFR-ELC"}</definedName>
    <definedName name="RATE" localSheetId="8" hidden="1">{#N/A,#N/A,FALSE,"AFR-ELC"}</definedName>
    <definedName name="RATE" localSheetId="10" hidden="1">{#N/A,#N/A,FALSE,"AFR-ELC"}</definedName>
    <definedName name="RATE" localSheetId="12" hidden="1">{#N/A,#N/A,FALSE,"AFR-ELC"}</definedName>
    <definedName name="RATE" localSheetId="4" hidden="1">{#N/A,#N/A,FALSE,"AFR-ELC"}</definedName>
    <definedName name="RATE" hidden="1">{#N/A,#N/A,FALSE,"AFR-ELC"}</definedName>
    <definedName name="RCLCo_Products">'[26]TCG PRODUCT MENU'!$A$48:$R$67</definedName>
    <definedName name="result" localSheetId="8">#REF!</definedName>
    <definedName name="result" localSheetId="4">#REF!</definedName>
    <definedName name="result">#REF!</definedName>
    <definedName name="Rockwool_50mm_kraft_60kg_m3">[11]Prices!$B$421</definedName>
    <definedName name="roof" localSheetId="8">#REF!</definedName>
    <definedName name="roof" localSheetId="4">#REF!</definedName>
    <definedName name="roof">#REF!</definedName>
    <definedName name="roof1" localSheetId="8">#REF!</definedName>
    <definedName name="roof1" localSheetId="4">#REF!</definedName>
    <definedName name="roof1">#REF!</definedName>
    <definedName name="roof2" localSheetId="8">#REF!</definedName>
    <definedName name="roof2" localSheetId="4">#REF!</definedName>
    <definedName name="roof2">#REF!</definedName>
    <definedName name="roof3" localSheetId="4">#REF!</definedName>
    <definedName name="roof3">#REF!</definedName>
    <definedName name="row" localSheetId="6" hidden="1">{#N/A,#N/A,FALSE,"AFR-ELC"}</definedName>
    <definedName name="row" localSheetId="1" hidden="1">{#N/A,#N/A,FALSE,"AFR-ELC"}</definedName>
    <definedName name="row" localSheetId="3" hidden="1">{#N/A,#N/A,FALSE,"AFR-ELC"}</definedName>
    <definedName name="row" localSheetId="7" hidden="1">{#N/A,#N/A,FALSE,"AFR-ELC"}</definedName>
    <definedName name="row" localSheetId="5" hidden="1">{#N/A,#N/A,FALSE,"AFR-ELC"}</definedName>
    <definedName name="row" localSheetId="9" hidden="1">{#N/A,#N/A,FALSE,"AFR-ELC"}</definedName>
    <definedName name="row" localSheetId="11" hidden="1">{#N/A,#N/A,FALSE,"AFR-ELC"}</definedName>
    <definedName name="row" localSheetId="13" hidden="1">{#N/A,#N/A,FALSE,"AFR-ELC"}</definedName>
    <definedName name="row" localSheetId="8" hidden="1">{#N/A,#N/A,FALSE,"AFR-ELC"}</definedName>
    <definedName name="row" localSheetId="10" hidden="1">{#N/A,#N/A,FALSE,"AFR-ELC"}</definedName>
    <definedName name="row" localSheetId="12" hidden="1">{#N/A,#N/A,FALSE,"AFR-ELC"}</definedName>
    <definedName name="row" localSheetId="4" hidden="1">{#N/A,#N/A,FALSE,"AFR-ELC"}</definedName>
    <definedName name="row" hidden="1">{#N/A,#N/A,FALSE,"AFR-ELC"}</definedName>
    <definedName name="rr" localSheetId="1">#REF!</definedName>
    <definedName name="rr" localSheetId="3">#REF!</definedName>
    <definedName name="rr" localSheetId="7">#REF!</definedName>
    <definedName name="rr" localSheetId="5">#REF!</definedName>
    <definedName name="rr" localSheetId="9">#REF!</definedName>
    <definedName name="rr" localSheetId="11">#REF!</definedName>
    <definedName name="rr" localSheetId="13">#REF!</definedName>
    <definedName name="rr" localSheetId="10">#REF!</definedName>
    <definedName name="rr" localSheetId="12">#REF!</definedName>
    <definedName name="rr" localSheetId="4">#REF!</definedName>
    <definedName name="rr">#REF!</definedName>
    <definedName name="rrrr" localSheetId="1">'[22]#REF'!#REF!</definedName>
    <definedName name="rrrr" localSheetId="3">'[22]#REF'!#REF!</definedName>
    <definedName name="rrrr" localSheetId="7">'[22]#REF'!#REF!</definedName>
    <definedName name="rrrr" localSheetId="5">'[22]#REF'!#REF!</definedName>
    <definedName name="rrrr" localSheetId="9">'[22]#REF'!#REF!</definedName>
    <definedName name="rrrr" localSheetId="11">'[22]#REF'!#REF!</definedName>
    <definedName name="rrrr" localSheetId="13">'[22]#REF'!#REF!</definedName>
    <definedName name="rrrr" localSheetId="4">'[22]#REF'!#REF!</definedName>
    <definedName name="rrrr">'[22]#REF'!#REF!</definedName>
    <definedName name="Rubber_sealer">[11]Prices!$B$451</definedName>
    <definedName name="Rubber_tiles">[11]Prices!$B$452</definedName>
    <definedName name="s" localSheetId="8">#REF!</definedName>
    <definedName name="s" localSheetId="4">#REF!</definedName>
    <definedName name="s">#REF!</definedName>
    <definedName name="s1s1s" localSheetId="1">{#N/A,#N/A,FALSE,"Capacity"}</definedName>
    <definedName name="s1s1s" localSheetId="3">{#N/A,#N/A,FALSE,"Capacity"}</definedName>
    <definedName name="s1s1s" localSheetId="7">{#N/A,#N/A,FALSE,"Capacity"}</definedName>
    <definedName name="s1s1s" localSheetId="5">{#N/A,#N/A,FALSE,"Capacity"}</definedName>
    <definedName name="s1s1s" localSheetId="9">{#N/A,#N/A,FALSE,"Capacity"}</definedName>
    <definedName name="s1s1s" localSheetId="11">{#N/A,#N/A,FALSE,"Capacity"}</definedName>
    <definedName name="s1s1s" localSheetId="13">{#N/A,#N/A,FALSE,"Capacity"}</definedName>
    <definedName name="s1s1s" localSheetId="8">{#N/A,#N/A,FALSE,"Capacity"}</definedName>
    <definedName name="s1s1s" localSheetId="10">{#N/A,#N/A,FALSE,"Capacity"}</definedName>
    <definedName name="s1s1s" localSheetId="12">{#N/A,#N/A,FALSE,"Capacity"}</definedName>
    <definedName name="s1s1s" localSheetId="4">{#N/A,#N/A,FALSE,"Capacity"}</definedName>
    <definedName name="s1s1s">{#N/A,#N/A,FALSE,"Capacity"}</definedName>
    <definedName name="sa" localSheetId="6">{#N/A,#N/A,FALSE,"AFR-ELC"}</definedName>
    <definedName name="sa" localSheetId="1">{#N/A,#N/A,FALSE,"AFR-ELC"}</definedName>
    <definedName name="sa" localSheetId="3">{#N/A,#N/A,FALSE,"AFR-ELC"}</definedName>
    <definedName name="sa" localSheetId="7">{#N/A,#N/A,FALSE,"AFR-ELC"}</definedName>
    <definedName name="sa" localSheetId="5">{#N/A,#N/A,FALSE,"AFR-ELC"}</definedName>
    <definedName name="sa" localSheetId="9">{#N/A,#N/A,FALSE,"AFR-ELC"}</definedName>
    <definedName name="sa" localSheetId="11">{#N/A,#N/A,FALSE,"AFR-ELC"}</definedName>
    <definedName name="sa" localSheetId="13">{#N/A,#N/A,FALSE,"AFR-ELC"}</definedName>
    <definedName name="sa" localSheetId="8">{#N/A,#N/A,FALSE,"AFR-ELC"}</definedName>
    <definedName name="sa" localSheetId="10">{#N/A,#N/A,FALSE,"AFR-ELC"}</definedName>
    <definedName name="sa" localSheetId="12">{#N/A,#N/A,FALSE,"AFR-ELC"}</definedName>
    <definedName name="sa" localSheetId="4">{#N/A,#N/A,FALSE,"AFR-ELC"}</definedName>
    <definedName name="sa">{#N/A,#N/A,FALSE,"AFR-ELC"}</definedName>
    <definedName name="SAN_APPL_TOTAL">#REF!</definedName>
    <definedName name="SANAPPLTOTAL" localSheetId="8">#REF!</definedName>
    <definedName name="SANAPPLTOTAL" localSheetId="4">#REF!</definedName>
    <definedName name="SANAPPLTOTAL">#REF!</definedName>
    <definedName name="Sand_filling">[15]Rates!$A$62</definedName>
    <definedName name="Sanding_sealer">[11]Prices!$B$453</definedName>
    <definedName name="Sandtex">[11]Prices!$B$454</definedName>
    <definedName name="sanitary" localSheetId="8">#REF!</definedName>
    <definedName name="sanitary" localSheetId="4">#REF!</definedName>
    <definedName name="sanitary">#REF!</definedName>
    <definedName name="saydney" localSheetId="8">[1]Sheet1!#REF!</definedName>
    <definedName name="saydney">[1]Sheet1!#REF!</definedName>
    <definedName name="ScGrossLiab">'[16]Sub Contractors'!$J$21</definedName>
    <definedName name="Sched_Pay" localSheetId="1">#REF!</definedName>
    <definedName name="Sched_Pay" localSheetId="3">#REF!</definedName>
    <definedName name="Sched_Pay" localSheetId="7">#REF!</definedName>
    <definedName name="Sched_Pay" localSheetId="5">#REF!</definedName>
    <definedName name="Sched_Pay" localSheetId="9">#REF!</definedName>
    <definedName name="Sched_Pay" localSheetId="11">#REF!</definedName>
    <definedName name="Sched_Pay" localSheetId="13">#REF!</definedName>
    <definedName name="Sched_Pay" localSheetId="10">#REF!</definedName>
    <definedName name="Sched_Pay" localSheetId="12">#REF!</definedName>
    <definedName name="Sched_Pay" localSheetId="4">#REF!</definedName>
    <definedName name="Sched_Pay">#REF!</definedName>
    <definedName name="Scheduled_Extra_Payments" localSheetId="1">#REF!</definedName>
    <definedName name="Scheduled_Extra_Payments" localSheetId="3">#REF!</definedName>
    <definedName name="Scheduled_Extra_Payments" localSheetId="7">#REF!</definedName>
    <definedName name="Scheduled_Extra_Payments" localSheetId="5">#REF!</definedName>
    <definedName name="Scheduled_Extra_Payments" localSheetId="9">#REF!</definedName>
    <definedName name="Scheduled_Extra_Payments" localSheetId="11">#REF!</definedName>
    <definedName name="Scheduled_Extra_Payments" localSheetId="13">#REF!</definedName>
    <definedName name="Scheduled_Extra_Payments" localSheetId="10">#REF!</definedName>
    <definedName name="Scheduled_Extra_Payments" localSheetId="12">#REF!</definedName>
    <definedName name="Scheduled_Extra_Payments" localSheetId="4">#REF!</definedName>
    <definedName name="Scheduled_Extra_Payments">#REF!</definedName>
    <definedName name="Scheduled_Interest_Rate" localSheetId="1">#REF!</definedName>
    <definedName name="Scheduled_Interest_Rate" localSheetId="3">#REF!</definedName>
    <definedName name="Scheduled_Interest_Rate" localSheetId="7">#REF!</definedName>
    <definedName name="Scheduled_Interest_Rate" localSheetId="5">#REF!</definedName>
    <definedName name="Scheduled_Interest_Rate" localSheetId="9">#REF!</definedName>
    <definedName name="Scheduled_Interest_Rate" localSheetId="11">#REF!</definedName>
    <definedName name="Scheduled_Interest_Rate" localSheetId="13">#REF!</definedName>
    <definedName name="Scheduled_Interest_Rate" localSheetId="10">#REF!</definedName>
    <definedName name="Scheduled_Interest_Rate" localSheetId="12">#REF!</definedName>
    <definedName name="Scheduled_Interest_Rate" localSheetId="4">#REF!</definedName>
    <definedName name="Scheduled_Interest_Rate">#REF!</definedName>
    <definedName name="Scheduled_Monthly_Payment" localSheetId="4">#REF!</definedName>
    <definedName name="Scheduled_Monthly_Payment">#REF!</definedName>
    <definedName name="sd" localSheetId="6" hidden="1">{#N/A,#N/A,FALSE,"AFR-ELC"}</definedName>
    <definedName name="sd" localSheetId="1" hidden="1">{#N/A,#N/A,FALSE,"AFR-ELC"}</definedName>
    <definedName name="sd" localSheetId="3" hidden="1">{#N/A,#N/A,FALSE,"AFR-ELC"}</definedName>
    <definedName name="sd" localSheetId="7" hidden="1">{#N/A,#N/A,FALSE,"AFR-ELC"}</definedName>
    <definedName name="sd" localSheetId="5" hidden="1">{#N/A,#N/A,FALSE,"AFR-ELC"}</definedName>
    <definedName name="sd" localSheetId="9" hidden="1">{#N/A,#N/A,FALSE,"AFR-ELC"}</definedName>
    <definedName name="sd" localSheetId="11" hidden="1">{#N/A,#N/A,FALSE,"AFR-ELC"}</definedName>
    <definedName name="sd" localSheetId="13" hidden="1">{#N/A,#N/A,FALSE,"AFR-ELC"}</definedName>
    <definedName name="sd" localSheetId="8" hidden="1">{#N/A,#N/A,FALSE,"AFR-ELC"}</definedName>
    <definedName name="sd" localSheetId="10" hidden="1">{#N/A,#N/A,FALSE,"AFR-ELC"}</definedName>
    <definedName name="sd" localSheetId="12" hidden="1">{#N/A,#N/A,FALSE,"AFR-ELC"}</definedName>
    <definedName name="sd" localSheetId="4" hidden="1">{#N/A,#N/A,FALSE,"AFR-ELC"}</definedName>
    <definedName name="sd" hidden="1">{#N/A,#N/A,FALSE,"AFR-ELC"}</definedName>
    <definedName name="SDER" localSheetId="6" hidden="1">{#N/A,#N/A,FALSE,"AFR-ELC"}</definedName>
    <definedName name="SDER" localSheetId="0" hidden="1">{#N/A,#N/A,FALSE,"AFR-ELC"}</definedName>
    <definedName name="SDER" localSheetId="1" hidden="1">{#N/A,#N/A,FALSE,"AFR-ELC"}</definedName>
    <definedName name="SDER" localSheetId="3" hidden="1">{#N/A,#N/A,FALSE,"AFR-ELC"}</definedName>
    <definedName name="SDER" localSheetId="7" hidden="1">{#N/A,#N/A,FALSE,"AFR-ELC"}</definedName>
    <definedName name="SDER" localSheetId="5" hidden="1">{#N/A,#N/A,FALSE,"AFR-ELC"}</definedName>
    <definedName name="SDER" localSheetId="9" hidden="1">{#N/A,#N/A,FALSE,"AFR-ELC"}</definedName>
    <definedName name="SDER" localSheetId="11" hidden="1">{#N/A,#N/A,FALSE,"AFR-ELC"}</definedName>
    <definedName name="SDER" localSheetId="13" hidden="1">{#N/A,#N/A,FALSE,"AFR-ELC"}</definedName>
    <definedName name="SDER" localSheetId="8" hidden="1">{#N/A,#N/A,FALSE,"AFR-ELC"}</definedName>
    <definedName name="SDER" localSheetId="10" hidden="1">{#N/A,#N/A,FALSE,"AFR-ELC"}</definedName>
    <definedName name="SDER" localSheetId="12" hidden="1">{#N/A,#N/A,FALSE,"AFR-ELC"}</definedName>
    <definedName name="SDER" localSheetId="4" hidden="1">{#N/A,#N/A,FALSE,"AFR-ELC"}</definedName>
    <definedName name="SDER" hidden="1">{#N/A,#N/A,FALSE,"AFR-ELC"}</definedName>
    <definedName name="SDFGHJKL" localSheetId="1" hidden="1">{#N/A,#N/A,FALSE,"AFR-ELC"}</definedName>
    <definedName name="SDFGHJKL" localSheetId="3" hidden="1">{#N/A,#N/A,FALSE,"AFR-ELC"}</definedName>
    <definedName name="SDFGHJKL" localSheetId="7" hidden="1">{#N/A,#N/A,FALSE,"AFR-ELC"}</definedName>
    <definedName name="SDFGHJKL" localSheetId="5" hidden="1">{#N/A,#N/A,FALSE,"AFR-ELC"}</definedName>
    <definedName name="SDFGHJKL" localSheetId="9" hidden="1">{#N/A,#N/A,FALSE,"AFR-ELC"}</definedName>
    <definedName name="SDFGHJKL" localSheetId="11" hidden="1">{#N/A,#N/A,FALSE,"AFR-ELC"}</definedName>
    <definedName name="SDFGHJKL" localSheetId="13" hidden="1">{#N/A,#N/A,FALSE,"AFR-ELC"}</definedName>
    <definedName name="SDFGHJKL" localSheetId="8" hidden="1">{#N/A,#N/A,FALSE,"AFR-ELC"}</definedName>
    <definedName name="SDFGHJKL" localSheetId="10" hidden="1">{#N/A,#N/A,FALSE,"AFR-ELC"}</definedName>
    <definedName name="SDFGHJKL" localSheetId="12" hidden="1">{#N/A,#N/A,FALSE,"AFR-ELC"}</definedName>
    <definedName name="SDFGHJKL" localSheetId="4" hidden="1">{#N/A,#N/A,FALSE,"AFR-ELC"}</definedName>
    <definedName name="SDFGHJKL" hidden="1">{#N/A,#N/A,FALSE,"AFR-ELC"}</definedName>
    <definedName name="sencount" hidden="1">2</definedName>
    <definedName name="serv">#REF!</definedName>
    <definedName name="services" localSheetId="8">#REF!</definedName>
    <definedName name="services" localSheetId="4">#REF!</definedName>
    <definedName name="services">#REF!</definedName>
    <definedName name="ShapeCode" localSheetId="8">#REF!</definedName>
    <definedName name="ShapeCode" localSheetId="4">#REF!</definedName>
    <definedName name="ShapeCode">#REF!</definedName>
    <definedName name="Sharp_sand">[11]Prices!$B$458</definedName>
    <definedName name="Sika_Purigosol_surface_hardner_0.3L_m2">[11]Prices!$B$463</definedName>
    <definedName name="Sikalite">[11]Prices!$B$464</definedName>
    <definedName name="sitewk" localSheetId="8">#REF!</definedName>
    <definedName name="sitewk" localSheetId="4">#REF!</definedName>
    <definedName name="sitewk">#REF!</definedName>
    <definedName name="SK" localSheetId="1" hidden="1">{#N/A,#N/A,FALSE,"el.det";#N/A,#N/A,FALSE,"mu.det";#N/A,#N/A,FALSE,"ug.det";#N/A,#N/A,FALSE,"ex.det";#N/A,#N/A,FALSE,"lux.det";#N/A,#N/A,FALSE,"custom.lot";#N/A,#N/A,FALSE,"condo.att";#N/A,#N/A,FALSE,"el.att";#N/A,#N/A,FALSE,"mu.att";#N/A,#N/A,FALSE,"ex.att";#N/A,#N/A,FALSE,"lux.att";#N/A,#N/A,FALSE,"all.by.village"}</definedName>
    <definedName name="SK" localSheetId="3" hidden="1">{#N/A,#N/A,FALSE,"el.det";#N/A,#N/A,FALSE,"mu.det";#N/A,#N/A,FALSE,"ug.det";#N/A,#N/A,FALSE,"ex.det";#N/A,#N/A,FALSE,"lux.det";#N/A,#N/A,FALSE,"custom.lot";#N/A,#N/A,FALSE,"condo.att";#N/A,#N/A,FALSE,"el.att";#N/A,#N/A,FALSE,"mu.att";#N/A,#N/A,FALSE,"ex.att";#N/A,#N/A,FALSE,"lux.att";#N/A,#N/A,FALSE,"all.by.village"}</definedName>
    <definedName name="SK" localSheetId="7" hidden="1">{#N/A,#N/A,FALSE,"el.det";#N/A,#N/A,FALSE,"mu.det";#N/A,#N/A,FALSE,"ug.det";#N/A,#N/A,FALSE,"ex.det";#N/A,#N/A,FALSE,"lux.det";#N/A,#N/A,FALSE,"custom.lot";#N/A,#N/A,FALSE,"condo.att";#N/A,#N/A,FALSE,"el.att";#N/A,#N/A,FALSE,"mu.att";#N/A,#N/A,FALSE,"ex.att";#N/A,#N/A,FALSE,"lux.att";#N/A,#N/A,FALSE,"all.by.village"}</definedName>
    <definedName name="SK" localSheetId="5" hidden="1">{#N/A,#N/A,FALSE,"el.det";#N/A,#N/A,FALSE,"mu.det";#N/A,#N/A,FALSE,"ug.det";#N/A,#N/A,FALSE,"ex.det";#N/A,#N/A,FALSE,"lux.det";#N/A,#N/A,FALSE,"custom.lot";#N/A,#N/A,FALSE,"condo.att";#N/A,#N/A,FALSE,"el.att";#N/A,#N/A,FALSE,"mu.att";#N/A,#N/A,FALSE,"ex.att";#N/A,#N/A,FALSE,"lux.att";#N/A,#N/A,FALSE,"all.by.village"}</definedName>
    <definedName name="SK" localSheetId="9" hidden="1">{#N/A,#N/A,FALSE,"el.det";#N/A,#N/A,FALSE,"mu.det";#N/A,#N/A,FALSE,"ug.det";#N/A,#N/A,FALSE,"ex.det";#N/A,#N/A,FALSE,"lux.det";#N/A,#N/A,FALSE,"custom.lot";#N/A,#N/A,FALSE,"condo.att";#N/A,#N/A,FALSE,"el.att";#N/A,#N/A,FALSE,"mu.att";#N/A,#N/A,FALSE,"ex.att";#N/A,#N/A,FALSE,"lux.att";#N/A,#N/A,FALSE,"all.by.village"}</definedName>
    <definedName name="SK" localSheetId="11" hidden="1">{#N/A,#N/A,FALSE,"el.det";#N/A,#N/A,FALSE,"mu.det";#N/A,#N/A,FALSE,"ug.det";#N/A,#N/A,FALSE,"ex.det";#N/A,#N/A,FALSE,"lux.det";#N/A,#N/A,FALSE,"custom.lot";#N/A,#N/A,FALSE,"condo.att";#N/A,#N/A,FALSE,"el.att";#N/A,#N/A,FALSE,"mu.att";#N/A,#N/A,FALSE,"ex.att";#N/A,#N/A,FALSE,"lux.att";#N/A,#N/A,FALSE,"all.by.village"}</definedName>
    <definedName name="SK" localSheetId="13" hidden="1">{#N/A,#N/A,FALSE,"el.det";#N/A,#N/A,FALSE,"mu.det";#N/A,#N/A,FALSE,"ug.det";#N/A,#N/A,FALSE,"ex.det";#N/A,#N/A,FALSE,"lux.det";#N/A,#N/A,FALSE,"custom.lot";#N/A,#N/A,FALSE,"condo.att";#N/A,#N/A,FALSE,"el.att";#N/A,#N/A,FALSE,"mu.att";#N/A,#N/A,FALSE,"ex.att";#N/A,#N/A,FALSE,"lux.att";#N/A,#N/A,FALSE,"all.by.village"}</definedName>
    <definedName name="SK" localSheetId="8" hidden="1">{#N/A,#N/A,FALSE,"el.det";#N/A,#N/A,FALSE,"mu.det";#N/A,#N/A,FALSE,"ug.det";#N/A,#N/A,FALSE,"ex.det";#N/A,#N/A,FALSE,"lux.det";#N/A,#N/A,FALSE,"custom.lot";#N/A,#N/A,FALSE,"condo.att";#N/A,#N/A,FALSE,"el.att";#N/A,#N/A,FALSE,"mu.att";#N/A,#N/A,FALSE,"ex.att";#N/A,#N/A,FALSE,"lux.att";#N/A,#N/A,FALSE,"all.by.village"}</definedName>
    <definedName name="SK" localSheetId="10" hidden="1">{#N/A,#N/A,FALSE,"el.det";#N/A,#N/A,FALSE,"mu.det";#N/A,#N/A,FALSE,"ug.det";#N/A,#N/A,FALSE,"ex.det";#N/A,#N/A,FALSE,"lux.det";#N/A,#N/A,FALSE,"custom.lot";#N/A,#N/A,FALSE,"condo.att";#N/A,#N/A,FALSE,"el.att";#N/A,#N/A,FALSE,"mu.att";#N/A,#N/A,FALSE,"ex.att";#N/A,#N/A,FALSE,"lux.att";#N/A,#N/A,FALSE,"all.by.village"}</definedName>
    <definedName name="SK" localSheetId="12" hidden="1">{#N/A,#N/A,FALSE,"el.det";#N/A,#N/A,FALSE,"mu.det";#N/A,#N/A,FALSE,"ug.det";#N/A,#N/A,FALSE,"ex.det";#N/A,#N/A,FALSE,"lux.det";#N/A,#N/A,FALSE,"custom.lot";#N/A,#N/A,FALSE,"condo.att";#N/A,#N/A,FALSE,"el.att";#N/A,#N/A,FALSE,"mu.att";#N/A,#N/A,FALSE,"ex.att";#N/A,#N/A,FALSE,"lux.att";#N/A,#N/A,FALSE,"all.by.village"}</definedName>
    <definedName name="SK" localSheetId="4" hidden="1">{#N/A,#N/A,FALSE,"el.det";#N/A,#N/A,FALSE,"mu.det";#N/A,#N/A,FALSE,"ug.det";#N/A,#N/A,FALSE,"ex.det";#N/A,#N/A,FALSE,"lux.det";#N/A,#N/A,FALSE,"custom.lot";#N/A,#N/A,FALSE,"condo.att";#N/A,#N/A,FALSE,"el.att";#N/A,#N/A,FALSE,"mu.att";#N/A,#N/A,FALSE,"ex.att";#N/A,#N/A,FALSE,"lux.att";#N/A,#N/A,FALSE,"all.by.village"}</definedName>
    <definedName name="SK" hidden="1">{#N/A,#N/A,FALSE,"el.det";#N/A,#N/A,FALSE,"mu.det";#N/A,#N/A,FALSE,"ug.det";#N/A,#N/A,FALSE,"ex.det";#N/A,#N/A,FALSE,"lux.det";#N/A,#N/A,FALSE,"custom.lot";#N/A,#N/A,FALSE,"condo.att";#N/A,#N/A,FALSE,"el.att";#N/A,#N/A,FALSE,"mu.att";#N/A,#N/A,FALSE,"ex.att";#N/A,#N/A,FALSE,"lux.att";#N/A,#N/A,FALSE,"all.by.village"}</definedName>
    <definedName name="Soft_sand">[11]Prices!$B$470</definedName>
    <definedName name="SOIL_TOTAL" localSheetId="8">#REF!</definedName>
    <definedName name="SOIL_TOTAL" localSheetId="4">#REF!</definedName>
    <definedName name="SOIL_TOTAL">#REF!</definedName>
    <definedName name="SOILTOTAL" localSheetId="8">#REF!</definedName>
    <definedName name="SOILTOTAL" localSheetId="4">#REF!</definedName>
    <definedName name="SOILTOTAL">#REF!</definedName>
    <definedName name="sss" localSheetId="1">#REF!</definedName>
    <definedName name="sss" localSheetId="3">#REF!</definedName>
    <definedName name="sss" localSheetId="7">#REF!</definedName>
    <definedName name="sss" localSheetId="5">#REF!</definedName>
    <definedName name="sss" localSheetId="9">#REF!</definedName>
    <definedName name="sss" localSheetId="11">#REF!</definedName>
    <definedName name="sss" localSheetId="13">#REF!</definedName>
    <definedName name="sss" localSheetId="10">#REF!</definedName>
    <definedName name="sss" localSheetId="12">#REF!</definedName>
    <definedName name="sss" localSheetId="4">#REF!</definedName>
    <definedName name="sss">#REF!</definedName>
    <definedName name="ssss2" localSheetId="1">{#N/A,#N/A,FALSE,"Revenue (Annual)";"Revenue _ First 5 years Quarterly",#N/A,FALSE,"Revenue (Qtr)"}</definedName>
    <definedName name="ssss2" localSheetId="3">{#N/A,#N/A,FALSE,"Revenue (Annual)";"Revenue _ First 5 years Quarterly",#N/A,FALSE,"Revenue (Qtr)"}</definedName>
    <definedName name="ssss2" localSheetId="7">{#N/A,#N/A,FALSE,"Revenue (Annual)";"Revenue _ First 5 years Quarterly",#N/A,FALSE,"Revenue (Qtr)"}</definedName>
    <definedName name="ssss2" localSheetId="5">{#N/A,#N/A,FALSE,"Revenue (Annual)";"Revenue _ First 5 years Quarterly",#N/A,FALSE,"Revenue (Qtr)"}</definedName>
    <definedName name="ssss2" localSheetId="9">{#N/A,#N/A,FALSE,"Revenue (Annual)";"Revenue _ First 5 years Quarterly",#N/A,FALSE,"Revenue (Qtr)"}</definedName>
    <definedName name="ssss2" localSheetId="11">{#N/A,#N/A,FALSE,"Revenue (Annual)";"Revenue _ First 5 years Quarterly",#N/A,FALSE,"Revenue (Qtr)"}</definedName>
    <definedName name="ssss2" localSheetId="13">{#N/A,#N/A,FALSE,"Revenue (Annual)";"Revenue _ First 5 years Quarterly",#N/A,FALSE,"Revenue (Qtr)"}</definedName>
    <definedName name="ssss2" localSheetId="8">{#N/A,#N/A,FALSE,"Revenue (Annual)";"Revenue _ First 5 years Quarterly",#N/A,FALSE,"Revenue (Qtr)"}</definedName>
    <definedName name="ssss2" localSheetId="10">{#N/A,#N/A,FALSE,"Revenue (Annual)";"Revenue _ First 5 years Quarterly",#N/A,FALSE,"Revenue (Qtr)"}</definedName>
    <definedName name="ssss2" localSheetId="12">{#N/A,#N/A,FALSE,"Revenue (Annual)";"Revenue _ First 5 years Quarterly",#N/A,FALSE,"Revenue (Qtr)"}</definedName>
    <definedName name="ssss2" localSheetId="4">{#N/A,#N/A,FALSE,"Revenue (Annual)";"Revenue _ First 5 years Quarterly",#N/A,FALSE,"Revenue (Qtr)"}</definedName>
    <definedName name="ssss2">{#N/A,#N/A,FALSE,"Revenue (Annual)";"Revenue _ First 5 years Quarterly",#N/A,FALSE,"Revenue (Qtr)"}</definedName>
    <definedName name="st">#REF!</definedName>
    <definedName name="STATISTICS" localSheetId="1">#REF!</definedName>
    <definedName name="STATISTICS" localSheetId="2">#REF!</definedName>
    <definedName name="STATISTICS" localSheetId="3">#REF!</definedName>
    <definedName name="STATISTICS" localSheetId="7">#REF!</definedName>
    <definedName name="STATISTICS" localSheetId="5">#REF!</definedName>
    <definedName name="STATISTICS" localSheetId="9">#REF!</definedName>
    <definedName name="STATISTICS" localSheetId="11">#REF!</definedName>
    <definedName name="STATISTICS" localSheetId="13">#REF!</definedName>
    <definedName name="STATISTICS" localSheetId="10">#REF!</definedName>
    <definedName name="STATISTICS" localSheetId="12">#REF!</definedName>
    <definedName name="STATISTICS" localSheetId="4">#REF!</definedName>
    <definedName name="STATISTICS">#REF!</definedName>
    <definedName name="Steelwork">[11]Prices!$B$490</definedName>
    <definedName name="str" localSheetId="8">#REF!</definedName>
    <definedName name="str" localSheetId="4">#REF!</definedName>
    <definedName name="str">#REF!</definedName>
    <definedName name="stw" localSheetId="8">#REF!</definedName>
    <definedName name="stw" localSheetId="4">#REF!</definedName>
    <definedName name="stw">#REF!</definedName>
    <definedName name="sub" localSheetId="8">#REF!</definedName>
    <definedName name="sub" localSheetId="4">#REF!</definedName>
    <definedName name="sub">#REF!</definedName>
    <definedName name="substructure" localSheetId="4">#REF!</definedName>
    <definedName name="substructure">#REF!</definedName>
    <definedName name="super" localSheetId="4">#REF!</definedName>
    <definedName name="super">#REF!</definedName>
    <definedName name="supstr" localSheetId="4">#REF!</definedName>
    <definedName name="supstr">#REF!</definedName>
    <definedName name="Suspended_gypsum_ceiling_with_grid">[11]Prices!$B$502</definedName>
    <definedName name="Suspended_mineral_fibre_ceiling_with_grid">[11]Prices!$B$501</definedName>
    <definedName name="sw" localSheetId="8">#REF!</definedName>
    <definedName name="sw" localSheetId="4">#REF!</definedName>
    <definedName name="sw">#REF!</definedName>
    <definedName name="swd" localSheetId="8">#REF!</definedName>
    <definedName name="swd" localSheetId="4">#REF!</definedName>
    <definedName name="swd">#REF!</definedName>
    <definedName name="TABLE" localSheetId="1">#REF!</definedName>
    <definedName name="TABLE" localSheetId="3">#REF!</definedName>
    <definedName name="TABLE" localSheetId="7">#REF!</definedName>
    <definedName name="TABLE" localSheetId="5">#REF!</definedName>
    <definedName name="TABLE" localSheetId="9">#REF!</definedName>
    <definedName name="TABLE" localSheetId="11">#REF!</definedName>
    <definedName name="TABLE" localSheetId="13">#REF!</definedName>
    <definedName name="TABLE" localSheetId="10">#REF!</definedName>
    <definedName name="TABLE" localSheetId="12">#REF!</definedName>
    <definedName name="TABLE" localSheetId="4">#REF!</definedName>
    <definedName name="TABLE">#REF!</definedName>
    <definedName name="TAKEOFF" localSheetId="8">{#N/A,#N/A,FALSE,"AFR-ELC"}</definedName>
    <definedName name="TAKEOFF" localSheetId="4">{#N/A,#N/A,FALSE,"AFR-ELC"}</definedName>
    <definedName name="TAKEOFF">{#N/A,#N/A,FALSE,"AFR-ELC"}</definedName>
    <definedName name="TBL" localSheetId="1">#REF!</definedName>
    <definedName name="TBL" localSheetId="2">#REF!</definedName>
    <definedName name="TBL" localSheetId="8">#REF!</definedName>
    <definedName name="TBL" localSheetId="10">#REF!</definedName>
    <definedName name="TBL" localSheetId="12">#REF!</definedName>
    <definedName name="TBL" localSheetId="4">#REF!</definedName>
    <definedName name="TBL">#REF!</definedName>
    <definedName name="tempel" localSheetId="2" hidden="1">{#N/A,#N/A,FALSE,"Elect B.O.Q";#N/A,#N/A,FALSE,"Plumbing b.O.Q";#N/A,#N/A,FALSE,"Ac B.O.Q"}</definedName>
    <definedName name="tempel" localSheetId="8" hidden="1">{#N/A,#N/A,FALSE,"Elect B.O.Q";#N/A,#N/A,FALSE,"Plumbing b.O.Q";#N/A,#N/A,FALSE,"Ac B.O.Q"}</definedName>
    <definedName name="tempel" localSheetId="4" hidden="1">{#N/A,#N/A,FALSE,"Elect B.O.Q";#N/A,#N/A,FALSE,"Plumbing b.O.Q";#N/A,#N/A,FALSE,"Ac B.O.Q"}</definedName>
    <definedName name="tempel" hidden="1">{#N/A,#N/A,FALSE,"Elect B.O.Q";#N/A,#N/A,FALSE,"Plumbing b.O.Q";#N/A,#N/A,FALSE,"Ac B.O.Q"}</definedName>
    <definedName name="Terrazzo_tiles_grey">[11]Prices!$B$516</definedName>
    <definedName name="test" localSheetId="1" hidden="1">{#N/A,#N/A,FALSE,"Aging Summary";#N/A,#N/A,FALSE,"Ratio Analysis";#N/A,#N/A,FALSE,"Test 120 Day Accts";#N/A,#N/A,FALSE,"Tickmarks"}</definedName>
    <definedName name="test" localSheetId="3" hidden="1">{#N/A,#N/A,FALSE,"Aging Summary";#N/A,#N/A,FALSE,"Ratio Analysis";#N/A,#N/A,FALSE,"Test 120 Day Accts";#N/A,#N/A,FALSE,"Tickmarks"}</definedName>
    <definedName name="test" localSheetId="7" hidden="1">{#N/A,#N/A,FALSE,"Aging Summary";#N/A,#N/A,FALSE,"Ratio Analysis";#N/A,#N/A,FALSE,"Test 120 Day Accts";#N/A,#N/A,FALSE,"Tickmarks"}</definedName>
    <definedName name="test" localSheetId="5" hidden="1">{#N/A,#N/A,FALSE,"Aging Summary";#N/A,#N/A,FALSE,"Ratio Analysis";#N/A,#N/A,FALSE,"Test 120 Day Accts";#N/A,#N/A,FALSE,"Tickmarks"}</definedName>
    <definedName name="test" localSheetId="9" hidden="1">{#N/A,#N/A,FALSE,"Aging Summary";#N/A,#N/A,FALSE,"Ratio Analysis";#N/A,#N/A,FALSE,"Test 120 Day Accts";#N/A,#N/A,FALSE,"Tickmarks"}</definedName>
    <definedName name="test" localSheetId="11" hidden="1">{#N/A,#N/A,FALSE,"Aging Summary";#N/A,#N/A,FALSE,"Ratio Analysis";#N/A,#N/A,FALSE,"Test 120 Day Accts";#N/A,#N/A,FALSE,"Tickmarks"}</definedName>
    <definedName name="test" localSheetId="13" hidden="1">{#N/A,#N/A,FALSE,"Aging Summary";#N/A,#N/A,FALSE,"Ratio Analysis";#N/A,#N/A,FALSE,"Test 120 Day Accts";#N/A,#N/A,FALSE,"Tickmarks"}</definedName>
    <definedName name="test" localSheetId="8" hidden="1">{#N/A,#N/A,FALSE,"Aging Summary";#N/A,#N/A,FALSE,"Ratio Analysis";#N/A,#N/A,FALSE,"Test 120 Day Accts";#N/A,#N/A,FALSE,"Tickmarks"}</definedName>
    <definedName name="test" localSheetId="10" hidden="1">{#N/A,#N/A,FALSE,"Aging Summary";#N/A,#N/A,FALSE,"Ratio Analysis";#N/A,#N/A,FALSE,"Test 120 Day Accts";#N/A,#N/A,FALSE,"Tickmarks"}</definedName>
    <definedName name="test" localSheetId="12" hidden="1">{#N/A,#N/A,FALSE,"Aging Summary";#N/A,#N/A,FALSE,"Ratio Analysis";#N/A,#N/A,FALSE,"Test 120 Day Accts";#N/A,#N/A,FALSE,"Tickmarks"}</definedName>
    <definedName name="test" localSheetId="4" hidden="1">{#N/A,#N/A,FALSE,"Aging Summary";#N/A,#N/A,FALSE,"Ratio Analysis";#N/A,#N/A,FALSE,"Test 120 Day Accts";#N/A,#N/A,FALSE,"Tickmarks"}</definedName>
    <definedName name="test" hidden="1">{#N/A,#N/A,FALSE,"Aging Summary";#N/A,#N/A,FALSE,"Ratio Analysis";#N/A,#N/A,FALSE,"Test 120 Day Accts";#N/A,#N/A,FALSE,"Tickmarks"}</definedName>
    <definedName name="Texcoat_paint">[11]Prices!$B$528</definedName>
    <definedName name="Texcoat_painting">[11]Rates!$A$241</definedName>
    <definedName name="Texcoat_primer">[11]Prices!$B$529</definedName>
    <definedName name="Tilefix">[11]Prices!$B$531</definedName>
    <definedName name="Timber_1x12">[11]Prices!$B$533</definedName>
    <definedName name="Timber_1x4">[11]Prices!$B$534</definedName>
    <definedName name="Timber_2x2">[11]Prices!$B$535</definedName>
    <definedName name="Timber_2x3">[11]Prices!$B$536</definedName>
    <definedName name="Tipper_hire">[11]Prices!$B$539</definedName>
    <definedName name="TITLE" localSheetId="1">#REF!</definedName>
    <definedName name="TITLE" localSheetId="2">#REF!</definedName>
    <definedName name="TITLE" localSheetId="3">#REF!</definedName>
    <definedName name="TITLE" localSheetId="7">#REF!</definedName>
    <definedName name="TITLE" localSheetId="5">#REF!</definedName>
    <definedName name="TITLE" localSheetId="9">#REF!</definedName>
    <definedName name="TITLE" localSheetId="11">#REF!</definedName>
    <definedName name="TITLE" localSheetId="13">#REF!</definedName>
    <definedName name="TITLE" localSheetId="10">#REF!</definedName>
    <definedName name="TITLE" localSheetId="12">#REF!</definedName>
    <definedName name="TITLE" localSheetId="4">#REF!</definedName>
    <definedName name="TITLE">#REF!</definedName>
    <definedName name="tony">'[27]Diesel claim'!$G$38,'[27]Diesel claim'!$G$40,'[27]Diesel claim'!$G$42,'[27]Diesel claim'!$G$44</definedName>
    <definedName name="toolshed" localSheetId="8">#REF!</definedName>
    <definedName name="toolshed" localSheetId="4">#REF!</definedName>
    <definedName name="toolshed">#REF!</definedName>
    <definedName name="Total_Interest" localSheetId="1">#REF!</definedName>
    <definedName name="Total_Interest" localSheetId="3">#REF!</definedName>
    <definedName name="Total_Interest" localSheetId="7">#REF!</definedName>
    <definedName name="Total_Interest" localSheetId="5">#REF!</definedName>
    <definedName name="Total_Interest" localSheetId="9">#REF!</definedName>
    <definedName name="Total_Interest" localSheetId="11">#REF!</definedName>
    <definedName name="Total_Interest" localSheetId="13">#REF!</definedName>
    <definedName name="Total_Interest" localSheetId="10">#REF!</definedName>
    <definedName name="Total_Interest" localSheetId="12">#REF!</definedName>
    <definedName name="Total_Interest" localSheetId="4">#REF!</definedName>
    <definedName name="Total_Interest">#REF!</definedName>
    <definedName name="Total_Pay" localSheetId="1">#REF!</definedName>
    <definedName name="Total_Pay" localSheetId="3">#REF!</definedName>
    <definedName name="Total_Pay" localSheetId="7">#REF!</definedName>
    <definedName name="Total_Pay" localSheetId="5">#REF!</definedName>
    <definedName name="Total_Pay" localSheetId="9">#REF!</definedName>
    <definedName name="Total_Pay" localSheetId="11">#REF!</definedName>
    <definedName name="Total_Pay" localSheetId="13">#REF!</definedName>
    <definedName name="Total_Pay" localSheetId="10">#REF!</definedName>
    <definedName name="Total_Pay" localSheetId="12">#REF!</definedName>
    <definedName name="Total_Pay" localSheetId="4">#REF!</definedName>
    <definedName name="Total_Pay">#REF!</definedName>
    <definedName name="Total_Payment" localSheetId="1">Scheduled_Payment+Extra_Payment</definedName>
    <definedName name="Total_Payment" localSheetId="3">Scheduled_Payment+Extra_Payment</definedName>
    <definedName name="Total_Payment" localSheetId="7">Scheduled_Payment+Extra_Payment</definedName>
    <definedName name="Total_Payment" localSheetId="5">Scheduled_Payment+Extra_Payment</definedName>
    <definedName name="Total_Payment" localSheetId="9">Scheduled_Payment+Extra_Payment</definedName>
    <definedName name="Total_Payment" localSheetId="11">Scheduled_Payment+Extra_Payment</definedName>
    <definedName name="Total_Payment" localSheetId="13">Scheduled_Payment+Extra_Payment</definedName>
    <definedName name="Total_Payment" localSheetId="8">Scheduled_Payment+Extra_Payment</definedName>
    <definedName name="Total_Payment" localSheetId="10">Scheduled_Payment+Extra_Payment</definedName>
    <definedName name="Total_Payment" localSheetId="12">Scheduled_Payment+Extra_Payment</definedName>
    <definedName name="Total_Payment" localSheetId="4">Scheduled_Payment+Extra_Payment</definedName>
    <definedName name="Total_Payment">Scheduled_Payment+Extra_Payment</definedName>
    <definedName name="TOTALCOST" localSheetId="1">#REF!</definedName>
    <definedName name="TOTALCOST" localSheetId="2">#REF!</definedName>
    <definedName name="TOTALCOST" localSheetId="3">#REF!</definedName>
    <definedName name="TOTALCOST" localSheetId="7">#REF!</definedName>
    <definedName name="TOTALCOST" localSheetId="5">#REF!</definedName>
    <definedName name="TOTALCOST" localSheetId="9">#REF!</definedName>
    <definedName name="TOTALCOST" localSheetId="11">#REF!</definedName>
    <definedName name="TOTALCOST" localSheetId="13">#REF!</definedName>
    <definedName name="TOTALCOST" localSheetId="10">#REF!</definedName>
    <definedName name="TOTALCOST" localSheetId="12">#REF!</definedName>
    <definedName name="TOTALCOST" localSheetId="4">#REF!</definedName>
    <definedName name="TOTALCOST">#REF!</definedName>
    <definedName name="TOTALMARGIN" localSheetId="1">#REF!</definedName>
    <definedName name="TOTALMARGIN" localSheetId="3">#REF!</definedName>
    <definedName name="TOTALMARGIN" localSheetId="7">#REF!</definedName>
    <definedName name="TOTALMARGIN" localSheetId="5">#REF!</definedName>
    <definedName name="TOTALMARGIN" localSheetId="9">#REF!</definedName>
    <definedName name="TOTALMARGIN" localSheetId="11">#REF!</definedName>
    <definedName name="TOTALMARGIN" localSheetId="13">#REF!</definedName>
    <definedName name="TOTALMARGIN" localSheetId="10">#REF!</definedName>
    <definedName name="TOTALMARGIN" localSheetId="12">#REF!</definedName>
    <definedName name="TOTALMARGIN" localSheetId="4">#REF!</definedName>
    <definedName name="TOTALMARGIN">#REF!</definedName>
    <definedName name="TOTALPRICE" localSheetId="1">#REF!</definedName>
    <definedName name="TOTALPRICE" localSheetId="3">#REF!</definedName>
    <definedName name="TOTALPRICE" localSheetId="7">#REF!</definedName>
    <definedName name="TOTALPRICE" localSheetId="5">#REF!</definedName>
    <definedName name="TOTALPRICE" localSheetId="9">#REF!</definedName>
    <definedName name="TOTALPRICE" localSheetId="11">#REF!</definedName>
    <definedName name="TOTALPRICE" localSheetId="13">#REF!</definedName>
    <definedName name="TOTALPRICE" localSheetId="10">#REF!</definedName>
    <definedName name="TOTALPRICE" localSheetId="12">#REF!</definedName>
    <definedName name="TOTALPRICE" localSheetId="4">#REF!</definedName>
    <definedName name="TOTALPRICE">#REF!</definedName>
    <definedName name="totalsf">'[28]Unit Mix'!$K$26</definedName>
    <definedName name="TOTALSTOCK" localSheetId="1">#REF!</definedName>
    <definedName name="TOTALSTOCK" localSheetId="2">#REF!</definedName>
    <definedName name="TOTALSTOCK" localSheetId="3">#REF!</definedName>
    <definedName name="TOTALSTOCK" localSheetId="7">#REF!</definedName>
    <definedName name="TOTALSTOCK" localSheetId="5">#REF!</definedName>
    <definedName name="TOTALSTOCK" localSheetId="9">#REF!</definedName>
    <definedName name="TOTALSTOCK" localSheetId="11">#REF!</definedName>
    <definedName name="TOTALSTOCK" localSheetId="13">#REF!</definedName>
    <definedName name="TOTALSTOCK" localSheetId="10">#REF!</definedName>
    <definedName name="TOTALSTOCK" localSheetId="12">#REF!</definedName>
    <definedName name="TOTALSTOCK" localSheetId="4">#REF!</definedName>
    <definedName name="TOTALSTOCK">#REF!</definedName>
    <definedName name="totalunits">'[28]Unit Mix'!$G$26</definedName>
    <definedName name="TOTSTOCKCOST" localSheetId="1">#REF!</definedName>
    <definedName name="TOTSTOCKCOST" localSheetId="2">#REF!</definedName>
    <definedName name="TOTSTOCKCOST" localSheetId="3">#REF!</definedName>
    <definedName name="TOTSTOCKCOST" localSheetId="7">#REF!</definedName>
    <definedName name="TOTSTOCKCOST" localSheetId="5">#REF!</definedName>
    <definedName name="TOTSTOCKCOST" localSheetId="9">#REF!</definedName>
    <definedName name="TOTSTOCKCOST" localSheetId="11">#REF!</definedName>
    <definedName name="TOTSTOCKCOST" localSheetId="13">#REF!</definedName>
    <definedName name="TOTSTOCKCOST" localSheetId="10">#REF!</definedName>
    <definedName name="TOTSTOCKCOST" localSheetId="12">#REF!</definedName>
    <definedName name="TOTSTOCKCOST" localSheetId="4">#REF!</definedName>
    <definedName name="TOTSTOCKCOST">#REF!</definedName>
    <definedName name="TR" localSheetId="1">#REF!</definedName>
    <definedName name="TR" localSheetId="3">#REF!</definedName>
    <definedName name="TR" localSheetId="7">#REF!</definedName>
    <definedName name="TR" localSheetId="5">#REF!</definedName>
    <definedName name="TR" localSheetId="9">#REF!</definedName>
    <definedName name="TR" localSheetId="11">#REF!</definedName>
    <definedName name="TR" localSheetId="13">#REF!</definedName>
    <definedName name="TR" localSheetId="10">#REF!</definedName>
    <definedName name="TR" localSheetId="12">#REF!</definedName>
    <definedName name="TR" localSheetId="4">#REF!</definedName>
    <definedName name="TR">#REF!</definedName>
    <definedName name="TR0" localSheetId="1">#REF!</definedName>
    <definedName name="TR0" localSheetId="3">#REF!</definedName>
    <definedName name="TR0" localSheetId="7">#REF!</definedName>
    <definedName name="TR0" localSheetId="5">#REF!</definedName>
    <definedName name="TR0" localSheetId="9">#REF!</definedName>
    <definedName name="TR0" localSheetId="11">#REF!</definedName>
    <definedName name="TR0" localSheetId="13">#REF!</definedName>
    <definedName name="TR0" localSheetId="10">#REF!</definedName>
    <definedName name="TR0" localSheetId="12">#REF!</definedName>
    <definedName name="TR0" localSheetId="4">#REF!</definedName>
    <definedName name="TR0">#REF!</definedName>
    <definedName name="tsadu" localSheetId="4">#REF!</definedName>
    <definedName name="tsadu">#REF!</definedName>
    <definedName name="tsadu1" localSheetId="4">#REF!</definedName>
    <definedName name="tsadu1">#REF!</definedName>
    <definedName name="TTLE" localSheetId="6">{#N/A,#N/A,FALSE,"AFR-ELC"}</definedName>
    <definedName name="TTLE" localSheetId="1">{#N/A,#N/A,FALSE,"AFR-ELC"}</definedName>
    <definedName name="TTLE" localSheetId="3">{#N/A,#N/A,FALSE,"AFR-ELC"}</definedName>
    <definedName name="TTLE" localSheetId="7">{#N/A,#N/A,FALSE,"AFR-ELC"}</definedName>
    <definedName name="TTLE" localSheetId="5">{#N/A,#N/A,FALSE,"AFR-ELC"}</definedName>
    <definedName name="TTLE" localSheetId="9">{#N/A,#N/A,FALSE,"AFR-ELC"}</definedName>
    <definedName name="TTLE" localSheetId="11">{#N/A,#N/A,FALSE,"AFR-ELC"}</definedName>
    <definedName name="TTLE" localSheetId="13">{#N/A,#N/A,FALSE,"AFR-ELC"}</definedName>
    <definedName name="TTLE" localSheetId="8">{#N/A,#N/A,FALSE,"AFR-ELC"}</definedName>
    <definedName name="TTLE" localSheetId="10">{#N/A,#N/A,FALSE,"AFR-ELC"}</definedName>
    <definedName name="TTLE" localSheetId="12">{#N/A,#N/A,FALSE,"AFR-ELC"}</definedName>
    <definedName name="TTLE" localSheetId="4">{#N/A,#N/A,FALSE,"AFR-ELC"}</definedName>
    <definedName name="TTLE">{#N/A,#N/A,FALSE,"AFR-ELC"}</definedName>
    <definedName name="TTLET" localSheetId="6" hidden="1">{#N/A,#N/A,FALSE,"AFR-ELC"}</definedName>
    <definedName name="TTLET" localSheetId="1" hidden="1">{#N/A,#N/A,FALSE,"AFR-ELC"}</definedName>
    <definedName name="TTLET" localSheetId="3" hidden="1">{#N/A,#N/A,FALSE,"AFR-ELC"}</definedName>
    <definedName name="TTLET" localSheetId="7" hidden="1">{#N/A,#N/A,FALSE,"AFR-ELC"}</definedName>
    <definedName name="TTLET" localSheetId="5" hidden="1">{#N/A,#N/A,FALSE,"AFR-ELC"}</definedName>
    <definedName name="TTLET" localSheetId="9" hidden="1">{#N/A,#N/A,FALSE,"AFR-ELC"}</definedName>
    <definedName name="TTLET" localSheetId="11" hidden="1">{#N/A,#N/A,FALSE,"AFR-ELC"}</definedName>
    <definedName name="TTLET" localSheetId="13" hidden="1">{#N/A,#N/A,FALSE,"AFR-ELC"}</definedName>
    <definedName name="TTLET" localSheetId="8" hidden="1">{#N/A,#N/A,FALSE,"AFR-ELC"}</definedName>
    <definedName name="TTLET" localSheetId="10" hidden="1">{#N/A,#N/A,FALSE,"AFR-ELC"}</definedName>
    <definedName name="TTLET" localSheetId="12" hidden="1">{#N/A,#N/A,FALSE,"AFR-ELC"}</definedName>
    <definedName name="TTLET" localSheetId="4" hidden="1">{#N/A,#N/A,FALSE,"AFR-ELC"}</definedName>
    <definedName name="TTLET" hidden="1">{#N/A,#N/A,FALSE,"AFR-ELC"}</definedName>
    <definedName name="u_n" localSheetId="1" hidden="1">{#N/A,#N/A,FALSE,"AFR-ELC"}</definedName>
    <definedName name="u_n" localSheetId="3" hidden="1">{#N/A,#N/A,FALSE,"AFR-ELC"}</definedName>
    <definedName name="u_n" localSheetId="7" hidden="1">{#N/A,#N/A,FALSE,"AFR-ELC"}</definedName>
    <definedName name="u_n" localSheetId="5" hidden="1">{#N/A,#N/A,FALSE,"AFR-ELC"}</definedName>
    <definedName name="u_n" localSheetId="9" hidden="1">{#N/A,#N/A,FALSE,"AFR-ELC"}</definedName>
    <definedName name="u_n" localSheetId="11" hidden="1">{#N/A,#N/A,FALSE,"AFR-ELC"}</definedName>
    <definedName name="u_n" localSheetId="13" hidden="1">{#N/A,#N/A,FALSE,"AFR-ELC"}</definedName>
    <definedName name="u_n" localSheetId="8" hidden="1">{#N/A,#N/A,FALSE,"AFR-ELC"}</definedName>
    <definedName name="u_n" localSheetId="10" hidden="1">{#N/A,#N/A,FALSE,"AFR-ELC"}</definedName>
    <definedName name="u_n" localSheetId="12" hidden="1">{#N/A,#N/A,FALSE,"AFR-ELC"}</definedName>
    <definedName name="u_n" localSheetId="4" hidden="1">{#N/A,#N/A,FALSE,"AFR-ELC"}</definedName>
    <definedName name="u_n" hidden="1">{#N/A,#N/A,FALSE,"AFR-ELC"}</definedName>
    <definedName name="UBA" localSheetId="1" hidden="1">{#N/A,#N/A,FALSE,"AFR-ELC"}</definedName>
    <definedName name="UBA" localSheetId="2" hidden="1">{#N/A,#N/A,FALSE,"AFR-ELC"}</definedName>
    <definedName name="UBA" localSheetId="3" hidden="1">{#N/A,#N/A,FALSE,"AFR-ELC"}</definedName>
    <definedName name="UBA" localSheetId="7" hidden="1">{#N/A,#N/A,FALSE,"AFR-ELC"}</definedName>
    <definedName name="UBA" localSheetId="5" hidden="1">{#N/A,#N/A,FALSE,"AFR-ELC"}</definedName>
    <definedName name="UBA" localSheetId="9" hidden="1">{#N/A,#N/A,FALSE,"AFR-ELC"}</definedName>
    <definedName name="UBA" localSheetId="11" hidden="1">{#N/A,#N/A,FALSE,"AFR-ELC"}</definedName>
    <definedName name="UBA" localSheetId="13" hidden="1">{#N/A,#N/A,FALSE,"AFR-ELC"}</definedName>
    <definedName name="UBA" localSheetId="8" hidden="1">{#N/A,#N/A,FALSE,"AFR-ELC"}</definedName>
    <definedName name="UBA" localSheetId="10" hidden="1">{#N/A,#N/A,FALSE,"AFR-ELC"}</definedName>
    <definedName name="UBA" localSheetId="12" hidden="1">{#N/A,#N/A,FALSE,"AFR-ELC"}</definedName>
    <definedName name="UBA" localSheetId="4" hidden="1">{#N/A,#N/A,FALSE,"AFR-ELC"}</definedName>
    <definedName name="UBA" hidden="1">{#N/A,#N/A,FALSE,"AFR-ELC"}</definedName>
    <definedName name="unattached" localSheetId="1" hidden="1">{#N/A,#N/A,FALSE,"el.det";#N/A,#N/A,FALSE,"mu.det";#N/A,#N/A,FALSE,"ug.det";#N/A,#N/A,FALSE,"ex.det";#N/A,#N/A,FALSE,"lux.det";#N/A,#N/A,FALSE,"custom.lot";#N/A,#N/A,FALSE,"condo.att";#N/A,#N/A,FALSE,"el.att";#N/A,#N/A,FALSE,"mu.att";#N/A,#N/A,FALSE,"ex.att";#N/A,#N/A,FALSE,"lux.att";#N/A,#N/A,FALSE,"all.by.village"}</definedName>
    <definedName name="unattached" localSheetId="3" hidden="1">{#N/A,#N/A,FALSE,"el.det";#N/A,#N/A,FALSE,"mu.det";#N/A,#N/A,FALSE,"ug.det";#N/A,#N/A,FALSE,"ex.det";#N/A,#N/A,FALSE,"lux.det";#N/A,#N/A,FALSE,"custom.lot";#N/A,#N/A,FALSE,"condo.att";#N/A,#N/A,FALSE,"el.att";#N/A,#N/A,FALSE,"mu.att";#N/A,#N/A,FALSE,"ex.att";#N/A,#N/A,FALSE,"lux.att";#N/A,#N/A,FALSE,"all.by.village"}</definedName>
    <definedName name="unattached" localSheetId="7" hidden="1">{#N/A,#N/A,FALSE,"el.det";#N/A,#N/A,FALSE,"mu.det";#N/A,#N/A,FALSE,"ug.det";#N/A,#N/A,FALSE,"ex.det";#N/A,#N/A,FALSE,"lux.det";#N/A,#N/A,FALSE,"custom.lot";#N/A,#N/A,FALSE,"condo.att";#N/A,#N/A,FALSE,"el.att";#N/A,#N/A,FALSE,"mu.att";#N/A,#N/A,FALSE,"ex.att";#N/A,#N/A,FALSE,"lux.att";#N/A,#N/A,FALSE,"all.by.village"}</definedName>
    <definedName name="unattached" localSheetId="5" hidden="1">{#N/A,#N/A,FALSE,"el.det";#N/A,#N/A,FALSE,"mu.det";#N/A,#N/A,FALSE,"ug.det";#N/A,#N/A,FALSE,"ex.det";#N/A,#N/A,FALSE,"lux.det";#N/A,#N/A,FALSE,"custom.lot";#N/A,#N/A,FALSE,"condo.att";#N/A,#N/A,FALSE,"el.att";#N/A,#N/A,FALSE,"mu.att";#N/A,#N/A,FALSE,"ex.att";#N/A,#N/A,FALSE,"lux.att";#N/A,#N/A,FALSE,"all.by.village"}</definedName>
    <definedName name="unattached" localSheetId="9" hidden="1">{#N/A,#N/A,FALSE,"el.det";#N/A,#N/A,FALSE,"mu.det";#N/A,#N/A,FALSE,"ug.det";#N/A,#N/A,FALSE,"ex.det";#N/A,#N/A,FALSE,"lux.det";#N/A,#N/A,FALSE,"custom.lot";#N/A,#N/A,FALSE,"condo.att";#N/A,#N/A,FALSE,"el.att";#N/A,#N/A,FALSE,"mu.att";#N/A,#N/A,FALSE,"ex.att";#N/A,#N/A,FALSE,"lux.att";#N/A,#N/A,FALSE,"all.by.village"}</definedName>
    <definedName name="unattached" localSheetId="11" hidden="1">{#N/A,#N/A,FALSE,"el.det";#N/A,#N/A,FALSE,"mu.det";#N/A,#N/A,FALSE,"ug.det";#N/A,#N/A,FALSE,"ex.det";#N/A,#N/A,FALSE,"lux.det";#N/A,#N/A,FALSE,"custom.lot";#N/A,#N/A,FALSE,"condo.att";#N/A,#N/A,FALSE,"el.att";#N/A,#N/A,FALSE,"mu.att";#N/A,#N/A,FALSE,"ex.att";#N/A,#N/A,FALSE,"lux.att";#N/A,#N/A,FALSE,"all.by.village"}</definedName>
    <definedName name="unattached" localSheetId="13" hidden="1">{#N/A,#N/A,FALSE,"el.det";#N/A,#N/A,FALSE,"mu.det";#N/A,#N/A,FALSE,"ug.det";#N/A,#N/A,FALSE,"ex.det";#N/A,#N/A,FALSE,"lux.det";#N/A,#N/A,FALSE,"custom.lot";#N/A,#N/A,FALSE,"condo.att";#N/A,#N/A,FALSE,"el.att";#N/A,#N/A,FALSE,"mu.att";#N/A,#N/A,FALSE,"ex.att";#N/A,#N/A,FALSE,"lux.att";#N/A,#N/A,FALSE,"all.by.village"}</definedName>
    <definedName name="unattached" localSheetId="8" hidden="1">{#N/A,#N/A,FALSE,"el.det";#N/A,#N/A,FALSE,"mu.det";#N/A,#N/A,FALSE,"ug.det";#N/A,#N/A,FALSE,"ex.det";#N/A,#N/A,FALSE,"lux.det";#N/A,#N/A,FALSE,"custom.lot";#N/A,#N/A,FALSE,"condo.att";#N/A,#N/A,FALSE,"el.att";#N/A,#N/A,FALSE,"mu.att";#N/A,#N/A,FALSE,"ex.att";#N/A,#N/A,FALSE,"lux.att";#N/A,#N/A,FALSE,"all.by.village"}</definedName>
    <definedName name="unattached" localSheetId="10" hidden="1">{#N/A,#N/A,FALSE,"el.det";#N/A,#N/A,FALSE,"mu.det";#N/A,#N/A,FALSE,"ug.det";#N/A,#N/A,FALSE,"ex.det";#N/A,#N/A,FALSE,"lux.det";#N/A,#N/A,FALSE,"custom.lot";#N/A,#N/A,FALSE,"condo.att";#N/A,#N/A,FALSE,"el.att";#N/A,#N/A,FALSE,"mu.att";#N/A,#N/A,FALSE,"ex.att";#N/A,#N/A,FALSE,"lux.att";#N/A,#N/A,FALSE,"all.by.village"}</definedName>
    <definedName name="unattached" localSheetId="12" hidden="1">{#N/A,#N/A,FALSE,"el.det";#N/A,#N/A,FALSE,"mu.det";#N/A,#N/A,FALSE,"ug.det";#N/A,#N/A,FALSE,"ex.det";#N/A,#N/A,FALSE,"lux.det";#N/A,#N/A,FALSE,"custom.lot";#N/A,#N/A,FALSE,"condo.att";#N/A,#N/A,FALSE,"el.att";#N/A,#N/A,FALSE,"mu.att";#N/A,#N/A,FALSE,"ex.att";#N/A,#N/A,FALSE,"lux.att";#N/A,#N/A,FALSE,"all.by.village"}</definedName>
    <definedName name="unattached" localSheetId="4" hidden="1">{#N/A,#N/A,FALSE,"el.det";#N/A,#N/A,FALSE,"mu.det";#N/A,#N/A,FALSE,"ug.det";#N/A,#N/A,FALSE,"ex.det";#N/A,#N/A,FALSE,"lux.det";#N/A,#N/A,FALSE,"custom.lot";#N/A,#N/A,FALSE,"condo.att";#N/A,#N/A,FALSE,"el.att";#N/A,#N/A,FALSE,"mu.att";#N/A,#N/A,FALSE,"ex.att";#N/A,#N/A,FALSE,"lux.att";#N/A,#N/A,FALSE,"all.by.village"}</definedName>
    <definedName name="unattached" hidden="1">{#N/A,#N/A,FALSE,"el.det";#N/A,#N/A,FALSE,"mu.det";#N/A,#N/A,FALSE,"ug.det";#N/A,#N/A,FALSE,"ex.det";#N/A,#N/A,FALSE,"lux.det";#N/A,#N/A,FALSE,"custom.lot";#N/A,#N/A,FALSE,"condo.att";#N/A,#N/A,FALSE,"el.att";#N/A,#N/A,FALSE,"mu.att";#N/A,#N/A,FALSE,"ex.att";#N/A,#N/A,FALSE,"lux.att";#N/A,#N/A,FALSE,"all.by.village"}</definedName>
    <definedName name="Unit">"D1"</definedName>
    <definedName name="Unit_Margin">[18]BEP!$C$10</definedName>
    <definedName name="Unit_Rate">"E1"</definedName>
    <definedName name="Units">'[10]Construction Details'!$H$4</definedName>
    <definedName name="Units_Sold">[18]BEP!$C$5</definedName>
    <definedName name="ValDate">'[16]Val Details'!$C$53</definedName>
    <definedName name="Values_Entered" localSheetId="1">IF('BILL (2)'!Loan_Amount*'BILL (2)'!Interest_Rate*Loan_Years*Loan_Start&gt;0,1,0)</definedName>
    <definedName name="Values_Entered" localSheetId="3">IF('Cover page (MALL'!Loan_Amount*'Cover page (MALL'!Interest_Rate*[0]!Loan_Years*[0]!Loan_Start&gt;0,1,0)</definedName>
    <definedName name="Values_Entered" localSheetId="7">IF('Cover page (MOSQUE'!Loan_Amount*'Cover page (MOSQUE'!Interest_Rate*Loan_Years*Loan_Start&gt;0,1,0)</definedName>
    <definedName name="Values_Entered" localSheetId="5">IF('Cover page Admin block'!Loan_Amount*'Cover page Admin block'!Interest_Rate*[0]!Loan_Years*[0]!Loan_Start&gt;0,1,0)</definedName>
    <definedName name="Values_Entered" localSheetId="9">IF('Cover page power house'!Loan_Amount*'Cover page power house'!Interest_Rate*[0]!Loan_Years*[0]!Loan_Start&gt;0,1,0)</definedName>
    <definedName name="Values_Entered" localSheetId="11">IF('cover page public toilet'!Loan_Amount*'cover page public toilet'!Interest_Rate*Loan_Years*Loan_Start&gt;0,1,0)</definedName>
    <definedName name="Values_Entered" localSheetId="13">IF('General Summary'!Loan_Amount*'General Summary'!Interest_Rate*Loan_Years*Loan_Start&gt;0,1,0)</definedName>
    <definedName name="Values_Entered" localSheetId="8">IF(Loan_Amount*Interest_Rate*Loan_Years*Loan_Start&gt;0,1,0)</definedName>
    <definedName name="Values_Entered" localSheetId="10">IF('Power house'!Loan_Amount*'Power house'!Interest_Rate*Loan_Years*Loan_Start&gt;0,1,0)</definedName>
    <definedName name="Values_Entered" localSheetId="12">IF('public toilet'!Loan_Amount*'public toilet'!Interest_Rate*Loan_Years*Loan_Start&gt;0,1,0)</definedName>
    <definedName name="Values_Entered" localSheetId="4">IF('SHOPPING MALL'!Loan_Amount*'SHOPPING MALL'!Interest_Rate*'SHOPPING MALL'!Loan_Years*'SHOPPING MALL'!Loan_Start&gt;0,1,0)</definedName>
    <definedName name="Values_Entered">IF(Loan_Amount*Interest_Rate*Loan_Years*Loan_Start&gt;0,1,0)</definedName>
    <definedName name="Varcosts" localSheetId="1">#REF!</definedName>
    <definedName name="Varcosts" localSheetId="3">#REF!</definedName>
    <definedName name="Varcosts" localSheetId="7">#REF!</definedName>
    <definedName name="Varcosts" localSheetId="5">#REF!</definedName>
    <definedName name="Varcosts" localSheetId="9">#REF!</definedName>
    <definedName name="Varcosts" localSheetId="11">#REF!</definedName>
    <definedName name="Varcosts" localSheetId="13">#REF!</definedName>
    <definedName name="Varcosts" localSheetId="10">#REF!</definedName>
    <definedName name="Varcosts" localSheetId="12">#REF!</definedName>
    <definedName name="Varcosts" localSheetId="4">#REF!</definedName>
    <definedName name="Varcosts">#REF!</definedName>
    <definedName name="Variable_Costs">[18]BEP!$C$7</definedName>
    <definedName name="VAT" localSheetId="6">{#N/A,#N/A,FALSE,"AFR-ELC"}</definedName>
    <definedName name="VAT" localSheetId="1">{#N/A,#N/A,FALSE,"AFR-ELC"}</definedName>
    <definedName name="VAT" localSheetId="3">{#N/A,#N/A,FALSE,"AFR-ELC"}</definedName>
    <definedName name="VAT" localSheetId="7">{#N/A,#N/A,FALSE,"AFR-ELC"}</definedName>
    <definedName name="VAT" localSheetId="5">{#N/A,#N/A,FALSE,"AFR-ELC"}</definedName>
    <definedName name="VAT" localSheetId="9">{#N/A,#N/A,FALSE,"AFR-ELC"}</definedName>
    <definedName name="VAT" localSheetId="11">{#N/A,#N/A,FALSE,"AFR-ELC"}</definedName>
    <definedName name="VAT" localSheetId="13">{#N/A,#N/A,FALSE,"AFR-ELC"}</definedName>
    <definedName name="VAT" localSheetId="8">{#N/A,#N/A,FALSE,"AFR-ELC"}</definedName>
    <definedName name="VAT" localSheetId="10">{#N/A,#N/A,FALSE,"AFR-ELC"}</definedName>
    <definedName name="VAT" localSheetId="12">{#N/A,#N/A,FALSE,"AFR-ELC"}</definedName>
    <definedName name="VAT" localSheetId="4">{#N/A,#N/A,FALSE,"AFR-ELC"}</definedName>
    <definedName name="VAT">{#N/A,#N/A,FALSE,"AFR-ELC"}</definedName>
    <definedName name="Vibrated_Reinforced_Concrete__1_2_4___19mm__aggregate__in">"5 BRM DUPLEX "</definedName>
    <definedName name="Vinyl_tiles">[11]Prices!$B$560</definedName>
    <definedName name="Vitrified_tiles">[11]Prices!$B$561</definedName>
    <definedName name="Vitrified_tiling">[15]Rates!$A$210</definedName>
    <definedName name="vvvvv" localSheetId="6" hidden="1">{#N/A,#N/A,FALSE,"AFR-ELC"}</definedName>
    <definedName name="vvvvv" localSheetId="0" hidden="1">{#N/A,#N/A,FALSE,"AFR-ELC"}</definedName>
    <definedName name="vvvvv" localSheetId="1" hidden="1">{#N/A,#N/A,FALSE,"AFR-ELC"}</definedName>
    <definedName name="vvvvv" localSheetId="3" hidden="1">{#N/A,#N/A,FALSE,"AFR-ELC"}</definedName>
    <definedName name="vvvvv" localSheetId="7" hidden="1">{#N/A,#N/A,FALSE,"AFR-ELC"}</definedName>
    <definedName name="vvvvv" localSheetId="5" hidden="1">{#N/A,#N/A,FALSE,"AFR-ELC"}</definedName>
    <definedName name="vvvvv" localSheetId="9" hidden="1">{#N/A,#N/A,FALSE,"AFR-ELC"}</definedName>
    <definedName name="vvvvv" localSheetId="11" hidden="1">{#N/A,#N/A,FALSE,"AFR-ELC"}</definedName>
    <definedName name="vvvvv" localSheetId="13" hidden="1">{#N/A,#N/A,FALSE,"AFR-ELC"}</definedName>
    <definedName name="vvvvv" localSheetId="8" hidden="1">{#N/A,#N/A,FALSE,"AFR-ELC"}</definedName>
    <definedName name="vvvvv" localSheetId="10" hidden="1">{#N/A,#N/A,FALSE,"AFR-ELC"}</definedName>
    <definedName name="vvvvv" localSheetId="12" hidden="1">{#N/A,#N/A,FALSE,"AFR-ELC"}</definedName>
    <definedName name="vvvvv" localSheetId="4" hidden="1">{#N/A,#N/A,FALSE,"AFR-ELC"}</definedName>
    <definedName name="vvvvv" hidden="1">{#N/A,#N/A,FALSE,"AFR-ELC"}</definedName>
    <definedName name="w">#REF!</definedName>
    <definedName name="wacko" localSheetId="1" hidden="1">{#N/A,#N/A,FALSE,"el.det";#N/A,#N/A,FALSE,"mu.det";#N/A,#N/A,FALSE,"ug.det";#N/A,#N/A,FALSE,"ex.det";#N/A,#N/A,FALSE,"lux.det";#N/A,#N/A,FALSE,"custom.lot";#N/A,#N/A,FALSE,"condo.att";#N/A,#N/A,FALSE,"el.att";#N/A,#N/A,FALSE,"mu.att";#N/A,#N/A,FALSE,"ex.att";#N/A,#N/A,FALSE,"lux.att";#N/A,#N/A,FALSE,"all.by.village"}</definedName>
    <definedName name="wacko" localSheetId="3" hidden="1">{#N/A,#N/A,FALSE,"el.det";#N/A,#N/A,FALSE,"mu.det";#N/A,#N/A,FALSE,"ug.det";#N/A,#N/A,FALSE,"ex.det";#N/A,#N/A,FALSE,"lux.det";#N/A,#N/A,FALSE,"custom.lot";#N/A,#N/A,FALSE,"condo.att";#N/A,#N/A,FALSE,"el.att";#N/A,#N/A,FALSE,"mu.att";#N/A,#N/A,FALSE,"ex.att";#N/A,#N/A,FALSE,"lux.att";#N/A,#N/A,FALSE,"all.by.village"}</definedName>
    <definedName name="wacko" localSheetId="7" hidden="1">{#N/A,#N/A,FALSE,"el.det";#N/A,#N/A,FALSE,"mu.det";#N/A,#N/A,FALSE,"ug.det";#N/A,#N/A,FALSE,"ex.det";#N/A,#N/A,FALSE,"lux.det";#N/A,#N/A,FALSE,"custom.lot";#N/A,#N/A,FALSE,"condo.att";#N/A,#N/A,FALSE,"el.att";#N/A,#N/A,FALSE,"mu.att";#N/A,#N/A,FALSE,"ex.att";#N/A,#N/A,FALSE,"lux.att";#N/A,#N/A,FALSE,"all.by.village"}</definedName>
    <definedName name="wacko" localSheetId="5" hidden="1">{#N/A,#N/A,FALSE,"el.det";#N/A,#N/A,FALSE,"mu.det";#N/A,#N/A,FALSE,"ug.det";#N/A,#N/A,FALSE,"ex.det";#N/A,#N/A,FALSE,"lux.det";#N/A,#N/A,FALSE,"custom.lot";#N/A,#N/A,FALSE,"condo.att";#N/A,#N/A,FALSE,"el.att";#N/A,#N/A,FALSE,"mu.att";#N/A,#N/A,FALSE,"ex.att";#N/A,#N/A,FALSE,"lux.att";#N/A,#N/A,FALSE,"all.by.village"}</definedName>
    <definedName name="wacko" localSheetId="9" hidden="1">{#N/A,#N/A,FALSE,"el.det";#N/A,#N/A,FALSE,"mu.det";#N/A,#N/A,FALSE,"ug.det";#N/A,#N/A,FALSE,"ex.det";#N/A,#N/A,FALSE,"lux.det";#N/A,#N/A,FALSE,"custom.lot";#N/A,#N/A,FALSE,"condo.att";#N/A,#N/A,FALSE,"el.att";#N/A,#N/A,FALSE,"mu.att";#N/A,#N/A,FALSE,"ex.att";#N/A,#N/A,FALSE,"lux.att";#N/A,#N/A,FALSE,"all.by.village"}</definedName>
    <definedName name="wacko" localSheetId="11" hidden="1">{#N/A,#N/A,FALSE,"el.det";#N/A,#N/A,FALSE,"mu.det";#N/A,#N/A,FALSE,"ug.det";#N/A,#N/A,FALSE,"ex.det";#N/A,#N/A,FALSE,"lux.det";#N/A,#N/A,FALSE,"custom.lot";#N/A,#N/A,FALSE,"condo.att";#N/A,#N/A,FALSE,"el.att";#N/A,#N/A,FALSE,"mu.att";#N/A,#N/A,FALSE,"ex.att";#N/A,#N/A,FALSE,"lux.att";#N/A,#N/A,FALSE,"all.by.village"}</definedName>
    <definedName name="wacko" localSheetId="13" hidden="1">{#N/A,#N/A,FALSE,"el.det";#N/A,#N/A,FALSE,"mu.det";#N/A,#N/A,FALSE,"ug.det";#N/A,#N/A,FALSE,"ex.det";#N/A,#N/A,FALSE,"lux.det";#N/A,#N/A,FALSE,"custom.lot";#N/A,#N/A,FALSE,"condo.att";#N/A,#N/A,FALSE,"el.att";#N/A,#N/A,FALSE,"mu.att";#N/A,#N/A,FALSE,"ex.att";#N/A,#N/A,FALSE,"lux.att";#N/A,#N/A,FALSE,"all.by.village"}</definedName>
    <definedName name="wacko" localSheetId="8" hidden="1">{#N/A,#N/A,FALSE,"el.det";#N/A,#N/A,FALSE,"mu.det";#N/A,#N/A,FALSE,"ug.det";#N/A,#N/A,FALSE,"ex.det";#N/A,#N/A,FALSE,"lux.det";#N/A,#N/A,FALSE,"custom.lot";#N/A,#N/A,FALSE,"condo.att";#N/A,#N/A,FALSE,"el.att";#N/A,#N/A,FALSE,"mu.att";#N/A,#N/A,FALSE,"ex.att";#N/A,#N/A,FALSE,"lux.att";#N/A,#N/A,FALSE,"all.by.village"}</definedName>
    <definedName name="wacko" localSheetId="10" hidden="1">{#N/A,#N/A,FALSE,"el.det";#N/A,#N/A,FALSE,"mu.det";#N/A,#N/A,FALSE,"ug.det";#N/A,#N/A,FALSE,"ex.det";#N/A,#N/A,FALSE,"lux.det";#N/A,#N/A,FALSE,"custom.lot";#N/A,#N/A,FALSE,"condo.att";#N/A,#N/A,FALSE,"el.att";#N/A,#N/A,FALSE,"mu.att";#N/A,#N/A,FALSE,"ex.att";#N/A,#N/A,FALSE,"lux.att";#N/A,#N/A,FALSE,"all.by.village"}</definedName>
    <definedName name="wacko" localSheetId="12" hidden="1">{#N/A,#N/A,FALSE,"el.det";#N/A,#N/A,FALSE,"mu.det";#N/A,#N/A,FALSE,"ug.det";#N/A,#N/A,FALSE,"ex.det";#N/A,#N/A,FALSE,"lux.det";#N/A,#N/A,FALSE,"custom.lot";#N/A,#N/A,FALSE,"condo.att";#N/A,#N/A,FALSE,"el.att";#N/A,#N/A,FALSE,"mu.att";#N/A,#N/A,FALSE,"ex.att";#N/A,#N/A,FALSE,"lux.att";#N/A,#N/A,FALSE,"all.by.village"}</definedName>
    <definedName name="wacko" localSheetId="4" hidden="1">{#N/A,#N/A,FALSE,"el.det";#N/A,#N/A,FALSE,"mu.det";#N/A,#N/A,FALSE,"ug.det";#N/A,#N/A,FALSE,"ex.det";#N/A,#N/A,FALSE,"lux.det";#N/A,#N/A,FALSE,"custom.lot";#N/A,#N/A,FALSE,"condo.att";#N/A,#N/A,FALSE,"el.att";#N/A,#N/A,FALSE,"mu.att";#N/A,#N/A,FALSE,"ex.att";#N/A,#N/A,FALSE,"lux.att";#N/A,#N/A,FALSE,"all.by.village"}</definedName>
    <definedName name="wacko" hidden="1">{#N/A,#N/A,FALSE,"el.det";#N/A,#N/A,FALSE,"mu.det";#N/A,#N/A,FALSE,"ug.det";#N/A,#N/A,FALSE,"ex.det";#N/A,#N/A,FALSE,"lux.det";#N/A,#N/A,FALSE,"custom.lot";#N/A,#N/A,FALSE,"condo.att";#N/A,#N/A,FALSE,"el.att";#N/A,#N/A,FALSE,"mu.att";#N/A,#N/A,FALSE,"ex.att";#N/A,#N/A,FALSE,"lux.att";#N/A,#N/A,FALSE,"all.by.village"}</definedName>
    <definedName name="wal">#REF!</definedName>
    <definedName name="walfin" localSheetId="8">#REF!</definedName>
    <definedName name="walfin" localSheetId="4">#REF!</definedName>
    <definedName name="walfin">#REF!</definedName>
    <definedName name="walfin1" localSheetId="8">#REF!</definedName>
    <definedName name="walfin1" localSheetId="4">#REF!</definedName>
    <definedName name="walfin1">#REF!</definedName>
    <definedName name="walfin2" localSheetId="4">#REF!</definedName>
    <definedName name="walfin2">#REF!</definedName>
    <definedName name="Wall_paper">[11]Prices!$B$563</definedName>
    <definedName name="Wall_tiles_HQ">[11]Prices!$B$567</definedName>
    <definedName name="was" localSheetId="6">{#N/A,#N/A,FALSE,"AFR-ELC"}</definedName>
    <definedName name="was" localSheetId="1">{#N/A,#N/A,FALSE,"AFR-ELC"}</definedName>
    <definedName name="was" localSheetId="3">{#N/A,#N/A,FALSE,"AFR-ELC"}</definedName>
    <definedName name="was" localSheetId="7">{#N/A,#N/A,FALSE,"AFR-ELC"}</definedName>
    <definedName name="was" localSheetId="5">{#N/A,#N/A,FALSE,"AFR-ELC"}</definedName>
    <definedName name="was" localSheetId="9">{#N/A,#N/A,FALSE,"AFR-ELC"}</definedName>
    <definedName name="was" localSheetId="11">{#N/A,#N/A,FALSE,"AFR-ELC"}</definedName>
    <definedName name="was" localSheetId="13">{#N/A,#N/A,FALSE,"AFR-ELC"}</definedName>
    <definedName name="was" localSheetId="8">{#N/A,#N/A,FALSE,"AFR-ELC"}</definedName>
    <definedName name="was" localSheetId="10">{#N/A,#N/A,FALSE,"AFR-ELC"}</definedName>
    <definedName name="was" localSheetId="12">{#N/A,#N/A,FALSE,"AFR-ELC"}</definedName>
    <definedName name="was" localSheetId="4">{#N/A,#N/A,FALSE,"AFR-ELC"}</definedName>
    <definedName name="was">{#N/A,#N/A,FALSE,"AFR-ELC"}</definedName>
    <definedName name="Washhandbasin_l">[11]Prices!$B$569</definedName>
    <definedName name="Water">[11]Prices!$B$571</definedName>
    <definedName name="Water_bar">[11]Prices!$B$572</definedName>
    <definedName name="wd" localSheetId="8">#REF!</definedName>
    <definedName name="wd" localSheetId="4">#REF!</definedName>
    <definedName name="wd">#REF!</definedName>
    <definedName name="WERTYUIO" localSheetId="1">{#N/A,#N/A,FALSE,"AFR-ELC"}</definedName>
    <definedName name="WERTYUIO" localSheetId="3">{#N/A,#N/A,FALSE,"AFR-ELC"}</definedName>
    <definedName name="WERTYUIO" localSheetId="7">{#N/A,#N/A,FALSE,"AFR-ELC"}</definedName>
    <definedName name="WERTYUIO" localSheetId="5">{#N/A,#N/A,FALSE,"AFR-ELC"}</definedName>
    <definedName name="WERTYUIO" localSheetId="9">{#N/A,#N/A,FALSE,"AFR-ELC"}</definedName>
    <definedName name="WERTYUIO" localSheetId="11">{#N/A,#N/A,FALSE,"AFR-ELC"}</definedName>
    <definedName name="WERTYUIO" localSheetId="13">{#N/A,#N/A,FALSE,"AFR-ELC"}</definedName>
    <definedName name="WERTYUIO" localSheetId="8">{#N/A,#N/A,FALSE,"AFR-ELC"}</definedName>
    <definedName name="WERTYUIO" localSheetId="10">{#N/A,#N/A,FALSE,"AFR-ELC"}</definedName>
    <definedName name="WERTYUIO" localSheetId="12">{#N/A,#N/A,FALSE,"AFR-ELC"}</definedName>
    <definedName name="WERTYUIO" localSheetId="4">{#N/A,#N/A,FALSE,"AFR-ELC"}</definedName>
    <definedName name="WERTYUIO">{#N/A,#N/A,FALSE,"AFR-ELC"}</definedName>
    <definedName name="wf">#REF!</definedName>
    <definedName name="WHAT" localSheetId="1" hidden="1">{#N/A,#N/A,FALSE,"II-2 POP.HH";#N/A,#N/A,FALSE,"II-3 AGE.DIST";#N/A,#N/A,FALSE,"II-4 HH.DIST";#N/A,#N/A,FALSE,"II-5 EMP.INDUS"}</definedName>
    <definedName name="WHAT" localSheetId="3" hidden="1">{#N/A,#N/A,FALSE,"II-2 POP.HH";#N/A,#N/A,FALSE,"II-3 AGE.DIST";#N/A,#N/A,FALSE,"II-4 HH.DIST";#N/A,#N/A,FALSE,"II-5 EMP.INDUS"}</definedName>
    <definedName name="WHAT" localSheetId="7" hidden="1">{#N/A,#N/A,FALSE,"II-2 POP.HH";#N/A,#N/A,FALSE,"II-3 AGE.DIST";#N/A,#N/A,FALSE,"II-4 HH.DIST";#N/A,#N/A,FALSE,"II-5 EMP.INDUS"}</definedName>
    <definedName name="WHAT" localSheetId="5" hidden="1">{#N/A,#N/A,FALSE,"II-2 POP.HH";#N/A,#N/A,FALSE,"II-3 AGE.DIST";#N/A,#N/A,FALSE,"II-4 HH.DIST";#N/A,#N/A,FALSE,"II-5 EMP.INDUS"}</definedName>
    <definedName name="WHAT" localSheetId="9" hidden="1">{#N/A,#N/A,FALSE,"II-2 POP.HH";#N/A,#N/A,FALSE,"II-3 AGE.DIST";#N/A,#N/A,FALSE,"II-4 HH.DIST";#N/A,#N/A,FALSE,"II-5 EMP.INDUS"}</definedName>
    <definedName name="WHAT" localSheetId="11" hidden="1">{#N/A,#N/A,FALSE,"II-2 POP.HH";#N/A,#N/A,FALSE,"II-3 AGE.DIST";#N/A,#N/A,FALSE,"II-4 HH.DIST";#N/A,#N/A,FALSE,"II-5 EMP.INDUS"}</definedName>
    <definedName name="WHAT" localSheetId="13" hidden="1">{#N/A,#N/A,FALSE,"II-2 POP.HH";#N/A,#N/A,FALSE,"II-3 AGE.DIST";#N/A,#N/A,FALSE,"II-4 HH.DIST";#N/A,#N/A,FALSE,"II-5 EMP.INDUS"}</definedName>
    <definedName name="WHAT" localSheetId="8" hidden="1">{#N/A,#N/A,FALSE,"II-2 POP.HH";#N/A,#N/A,FALSE,"II-3 AGE.DIST";#N/A,#N/A,FALSE,"II-4 HH.DIST";#N/A,#N/A,FALSE,"II-5 EMP.INDUS"}</definedName>
    <definedName name="WHAT" localSheetId="10" hidden="1">{#N/A,#N/A,FALSE,"II-2 POP.HH";#N/A,#N/A,FALSE,"II-3 AGE.DIST";#N/A,#N/A,FALSE,"II-4 HH.DIST";#N/A,#N/A,FALSE,"II-5 EMP.INDUS"}</definedName>
    <definedName name="WHAT" localSheetId="12" hidden="1">{#N/A,#N/A,FALSE,"II-2 POP.HH";#N/A,#N/A,FALSE,"II-3 AGE.DIST";#N/A,#N/A,FALSE,"II-4 HH.DIST";#N/A,#N/A,FALSE,"II-5 EMP.INDUS"}</definedName>
    <definedName name="WHAT" localSheetId="4" hidden="1">{#N/A,#N/A,FALSE,"II-2 POP.HH";#N/A,#N/A,FALSE,"II-3 AGE.DIST";#N/A,#N/A,FALSE,"II-4 HH.DIST";#N/A,#N/A,FALSE,"II-5 EMP.INDUS"}</definedName>
    <definedName name="WHAT" hidden="1">{#N/A,#N/A,FALSE,"II-2 POP.HH";#N/A,#N/A,FALSE,"II-3 AGE.DIST";#N/A,#N/A,FALSE,"II-4 HH.DIST";#N/A,#N/A,FALSE,"II-5 EMP.INDUS"}</definedName>
    <definedName name="what2" localSheetId="1" hidden="1">{#N/A,#N/A,FALSE,"II-2 POP.HH";#N/A,#N/A,FALSE,"II-3 AGE.DIST";#N/A,#N/A,FALSE,"II-4 HH.DIST";#N/A,#N/A,FALSE,"II-5 EMP.INDUS"}</definedName>
    <definedName name="what2" localSheetId="3" hidden="1">{#N/A,#N/A,FALSE,"II-2 POP.HH";#N/A,#N/A,FALSE,"II-3 AGE.DIST";#N/A,#N/A,FALSE,"II-4 HH.DIST";#N/A,#N/A,FALSE,"II-5 EMP.INDUS"}</definedName>
    <definedName name="what2" localSheetId="7" hidden="1">{#N/A,#N/A,FALSE,"II-2 POP.HH";#N/A,#N/A,FALSE,"II-3 AGE.DIST";#N/A,#N/A,FALSE,"II-4 HH.DIST";#N/A,#N/A,FALSE,"II-5 EMP.INDUS"}</definedName>
    <definedName name="what2" localSheetId="5" hidden="1">{#N/A,#N/A,FALSE,"II-2 POP.HH";#N/A,#N/A,FALSE,"II-3 AGE.DIST";#N/A,#N/A,FALSE,"II-4 HH.DIST";#N/A,#N/A,FALSE,"II-5 EMP.INDUS"}</definedName>
    <definedName name="what2" localSheetId="9" hidden="1">{#N/A,#N/A,FALSE,"II-2 POP.HH";#N/A,#N/A,FALSE,"II-3 AGE.DIST";#N/A,#N/A,FALSE,"II-4 HH.DIST";#N/A,#N/A,FALSE,"II-5 EMP.INDUS"}</definedName>
    <definedName name="what2" localSheetId="11" hidden="1">{#N/A,#N/A,FALSE,"II-2 POP.HH";#N/A,#N/A,FALSE,"II-3 AGE.DIST";#N/A,#N/A,FALSE,"II-4 HH.DIST";#N/A,#N/A,FALSE,"II-5 EMP.INDUS"}</definedName>
    <definedName name="what2" localSheetId="13" hidden="1">{#N/A,#N/A,FALSE,"II-2 POP.HH";#N/A,#N/A,FALSE,"II-3 AGE.DIST";#N/A,#N/A,FALSE,"II-4 HH.DIST";#N/A,#N/A,FALSE,"II-5 EMP.INDUS"}</definedName>
    <definedName name="what2" localSheetId="8" hidden="1">{#N/A,#N/A,FALSE,"II-2 POP.HH";#N/A,#N/A,FALSE,"II-3 AGE.DIST";#N/A,#N/A,FALSE,"II-4 HH.DIST";#N/A,#N/A,FALSE,"II-5 EMP.INDUS"}</definedName>
    <definedName name="what2" localSheetId="10" hidden="1">{#N/A,#N/A,FALSE,"II-2 POP.HH";#N/A,#N/A,FALSE,"II-3 AGE.DIST";#N/A,#N/A,FALSE,"II-4 HH.DIST";#N/A,#N/A,FALSE,"II-5 EMP.INDUS"}</definedName>
    <definedName name="what2" localSheetId="12" hidden="1">{#N/A,#N/A,FALSE,"II-2 POP.HH";#N/A,#N/A,FALSE,"II-3 AGE.DIST";#N/A,#N/A,FALSE,"II-4 HH.DIST";#N/A,#N/A,FALSE,"II-5 EMP.INDUS"}</definedName>
    <definedName name="what2" localSheetId="4" hidden="1">{#N/A,#N/A,FALSE,"II-2 POP.HH";#N/A,#N/A,FALSE,"II-3 AGE.DIST";#N/A,#N/A,FALSE,"II-4 HH.DIST";#N/A,#N/A,FALSE,"II-5 EMP.INDUS"}</definedName>
    <definedName name="what2" hidden="1">{#N/A,#N/A,FALSE,"II-2 POP.HH";#N/A,#N/A,FALSE,"II-3 AGE.DIST";#N/A,#N/A,FALSE,"II-4 HH.DIST";#N/A,#N/A,FALSE,"II-5 EMP.INDUS"}</definedName>
    <definedName name="width1">'[3]MAIN BLD TAKE OFF'!$I$18</definedName>
    <definedName name="win" localSheetId="6">#REF!</definedName>
    <definedName name="win" localSheetId="1">#REF!</definedName>
    <definedName name="win" localSheetId="2">#REF!</definedName>
    <definedName name="win" localSheetId="3">#REF!</definedName>
    <definedName name="win" localSheetId="7">#REF!</definedName>
    <definedName name="win" localSheetId="5">#REF!</definedName>
    <definedName name="win" localSheetId="9">#REF!</definedName>
    <definedName name="win" localSheetId="11">#REF!</definedName>
    <definedName name="win" localSheetId="13">#REF!</definedName>
    <definedName name="win" localSheetId="10">#REF!</definedName>
    <definedName name="win" localSheetId="12">#REF!</definedName>
    <definedName name="win" localSheetId="4">#REF!</definedName>
    <definedName name="win">#REF!</definedName>
    <definedName name="wl" localSheetId="4">#REF!</definedName>
    <definedName name="wl">#REF!</definedName>
    <definedName name="wrn.96126.00._.ValCo.Segmentation." localSheetId="1" hidden="1">{#N/A,#N/A,FALSE,"el.det";#N/A,#N/A,FALSE,"mu.det";#N/A,#N/A,FALSE,"ug.det";#N/A,#N/A,FALSE,"ex.det";#N/A,#N/A,FALSE,"lux.det";#N/A,#N/A,FALSE,"custom.lot";#N/A,#N/A,FALSE,"condo.att";#N/A,#N/A,FALSE,"el.att";#N/A,#N/A,FALSE,"mu.att";#N/A,#N/A,FALSE,"ex.att";#N/A,#N/A,FALSE,"lux.att";#N/A,#N/A,FALSE,"all.by.village"}</definedName>
    <definedName name="wrn.96126.00._.ValCo.Segmentation." localSheetId="3" hidden="1">{#N/A,#N/A,FALSE,"el.det";#N/A,#N/A,FALSE,"mu.det";#N/A,#N/A,FALSE,"ug.det";#N/A,#N/A,FALSE,"ex.det";#N/A,#N/A,FALSE,"lux.det";#N/A,#N/A,FALSE,"custom.lot";#N/A,#N/A,FALSE,"condo.att";#N/A,#N/A,FALSE,"el.att";#N/A,#N/A,FALSE,"mu.att";#N/A,#N/A,FALSE,"ex.att";#N/A,#N/A,FALSE,"lux.att";#N/A,#N/A,FALSE,"all.by.village"}</definedName>
    <definedName name="wrn.96126.00._.ValCo.Segmentation." localSheetId="7" hidden="1">{#N/A,#N/A,FALSE,"el.det";#N/A,#N/A,FALSE,"mu.det";#N/A,#N/A,FALSE,"ug.det";#N/A,#N/A,FALSE,"ex.det";#N/A,#N/A,FALSE,"lux.det";#N/A,#N/A,FALSE,"custom.lot";#N/A,#N/A,FALSE,"condo.att";#N/A,#N/A,FALSE,"el.att";#N/A,#N/A,FALSE,"mu.att";#N/A,#N/A,FALSE,"ex.att";#N/A,#N/A,FALSE,"lux.att";#N/A,#N/A,FALSE,"all.by.village"}</definedName>
    <definedName name="wrn.96126.00._.ValCo.Segmentation." localSheetId="5" hidden="1">{#N/A,#N/A,FALSE,"el.det";#N/A,#N/A,FALSE,"mu.det";#N/A,#N/A,FALSE,"ug.det";#N/A,#N/A,FALSE,"ex.det";#N/A,#N/A,FALSE,"lux.det";#N/A,#N/A,FALSE,"custom.lot";#N/A,#N/A,FALSE,"condo.att";#N/A,#N/A,FALSE,"el.att";#N/A,#N/A,FALSE,"mu.att";#N/A,#N/A,FALSE,"ex.att";#N/A,#N/A,FALSE,"lux.att";#N/A,#N/A,FALSE,"all.by.village"}</definedName>
    <definedName name="wrn.96126.00._.ValCo.Segmentation." localSheetId="9" hidden="1">{#N/A,#N/A,FALSE,"el.det";#N/A,#N/A,FALSE,"mu.det";#N/A,#N/A,FALSE,"ug.det";#N/A,#N/A,FALSE,"ex.det";#N/A,#N/A,FALSE,"lux.det";#N/A,#N/A,FALSE,"custom.lot";#N/A,#N/A,FALSE,"condo.att";#N/A,#N/A,FALSE,"el.att";#N/A,#N/A,FALSE,"mu.att";#N/A,#N/A,FALSE,"ex.att";#N/A,#N/A,FALSE,"lux.att";#N/A,#N/A,FALSE,"all.by.village"}</definedName>
    <definedName name="wrn.96126.00._.ValCo.Segmentation." localSheetId="11" hidden="1">{#N/A,#N/A,FALSE,"el.det";#N/A,#N/A,FALSE,"mu.det";#N/A,#N/A,FALSE,"ug.det";#N/A,#N/A,FALSE,"ex.det";#N/A,#N/A,FALSE,"lux.det";#N/A,#N/A,FALSE,"custom.lot";#N/A,#N/A,FALSE,"condo.att";#N/A,#N/A,FALSE,"el.att";#N/A,#N/A,FALSE,"mu.att";#N/A,#N/A,FALSE,"ex.att";#N/A,#N/A,FALSE,"lux.att";#N/A,#N/A,FALSE,"all.by.village"}</definedName>
    <definedName name="wrn.96126.00._.ValCo.Segmentation." localSheetId="13" hidden="1">{#N/A,#N/A,FALSE,"el.det";#N/A,#N/A,FALSE,"mu.det";#N/A,#N/A,FALSE,"ug.det";#N/A,#N/A,FALSE,"ex.det";#N/A,#N/A,FALSE,"lux.det";#N/A,#N/A,FALSE,"custom.lot";#N/A,#N/A,FALSE,"condo.att";#N/A,#N/A,FALSE,"el.att";#N/A,#N/A,FALSE,"mu.att";#N/A,#N/A,FALSE,"ex.att";#N/A,#N/A,FALSE,"lux.att";#N/A,#N/A,FALSE,"all.by.village"}</definedName>
    <definedName name="wrn.96126.00._.ValCo.Segmentation." localSheetId="8" hidden="1">{#N/A,#N/A,FALSE,"el.det";#N/A,#N/A,FALSE,"mu.det";#N/A,#N/A,FALSE,"ug.det";#N/A,#N/A,FALSE,"ex.det";#N/A,#N/A,FALSE,"lux.det";#N/A,#N/A,FALSE,"custom.lot";#N/A,#N/A,FALSE,"condo.att";#N/A,#N/A,FALSE,"el.att";#N/A,#N/A,FALSE,"mu.att";#N/A,#N/A,FALSE,"ex.att";#N/A,#N/A,FALSE,"lux.att";#N/A,#N/A,FALSE,"all.by.village"}</definedName>
    <definedName name="wrn.96126.00._.ValCo.Segmentation." localSheetId="10" hidden="1">{#N/A,#N/A,FALSE,"el.det";#N/A,#N/A,FALSE,"mu.det";#N/A,#N/A,FALSE,"ug.det";#N/A,#N/A,FALSE,"ex.det";#N/A,#N/A,FALSE,"lux.det";#N/A,#N/A,FALSE,"custom.lot";#N/A,#N/A,FALSE,"condo.att";#N/A,#N/A,FALSE,"el.att";#N/A,#N/A,FALSE,"mu.att";#N/A,#N/A,FALSE,"ex.att";#N/A,#N/A,FALSE,"lux.att";#N/A,#N/A,FALSE,"all.by.village"}</definedName>
    <definedName name="wrn.96126.00._.ValCo.Segmentation." localSheetId="12" hidden="1">{#N/A,#N/A,FALSE,"el.det";#N/A,#N/A,FALSE,"mu.det";#N/A,#N/A,FALSE,"ug.det";#N/A,#N/A,FALSE,"ex.det";#N/A,#N/A,FALSE,"lux.det";#N/A,#N/A,FALSE,"custom.lot";#N/A,#N/A,FALSE,"condo.att";#N/A,#N/A,FALSE,"el.att";#N/A,#N/A,FALSE,"mu.att";#N/A,#N/A,FALSE,"ex.att";#N/A,#N/A,FALSE,"lux.att";#N/A,#N/A,FALSE,"all.by.village"}</definedName>
    <definedName name="wrn.96126.00._.ValCo.Segmentation." localSheetId="4" hidden="1">{#N/A,#N/A,FALSE,"el.det";#N/A,#N/A,FALSE,"mu.det";#N/A,#N/A,FALSE,"ug.det";#N/A,#N/A,FALSE,"ex.det";#N/A,#N/A,FALSE,"lux.det";#N/A,#N/A,FALSE,"custom.lot";#N/A,#N/A,FALSE,"condo.att";#N/A,#N/A,FALSE,"el.att";#N/A,#N/A,FALSE,"mu.att";#N/A,#N/A,FALSE,"ex.att";#N/A,#N/A,FALSE,"lux.att";#N/A,#N/A,FALSE,"all.by.village"}</definedName>
    <definedName name="wrn.96126.00._.ValCo.Segmentation." hidden="1">{#N/A,#N/A,FALSE,"el.det";#N/A,#N/A,FALSE,"mu.det";#N/A,#N/A,FALSE,"ug.det";#N/A,#N/A,FALSE,"ex.det";#N/A,#N/A,FALSE,"lux.det";#N/A,#N/A,FALSE,"custom.lot";#N/A,#N/A,FALSE,"condo.att";#N/A,#N/A,FALSE,"el.att";#N/A,#N/A,FALSE,"mu.att";#N/A,#N/A,FALSE,"ex.att";#N/A,#N/A,FALSE,"lux.att";#N/A,#N/A,FALSE,"all.by.village"}</definedName>
    <definedName name="wrn.ABUBAKAR._.RIMI._.KAD." localSheetId="6" hidden="1">{#N/A,#N/A,FALSE,"AFR-ELC"}</definedName>
    <definedName name="wrn.ABUBAKAR._.RIMI._.KAD." localSheetId="0" hidden="1">{#N/A,#N/A,FALSE,"AFR-ELC"}</definedName>
    <definedName name="wrn.ABUBAKAR._.RIMI._.KAD." localSheetId="1" hidden="1">{#N/A,#N/A,FALSE,"AFR-ELC"}</definedName>
    <definedName name="wrn.ABUBAKAR._.RIMI._.KAD." localSheetId="3" hidden="1">{#N/A,#N/A,FALSE,"AFR-ELC"}</definedName>
    <definedName name="wrn.ABUBAKAR._.RIMI._.KAD." localSheetId="7" hidden="1">{#N/A,#N/A,FALSE,"AFR-ELC"}</definedName>
    <definedName name="wrn.ABUBAKAR._.RIMI._.KAD." localSheetId="5" hidden="1">{#N/A,#N/A,FALSE,"AFR-ELC"}</definedName>
    <definedName name="wrn.ABUBAKAR._.RIMI._.KAD." localSheetId="9" hidden="1">{#N/A,#N/A,FALSE,"AFR-ELC"}</definedName>
    <definedName name="wrn.ABUBAKAR._.RIMI._.KAD." localSheetId="11" hidden="1">{#N/A,#N/A,FALSE,"AFR-ELC"}</definedName>
    <definedName name="wrn.ABUBAKAR._.RIMI._.KAD." localSheetId="13" hidden="1">{#N/A,#N/A,FALSE,"AFR-ELC"}</definedName>
    <definedName name="wrn.ABUBAKAR._.RIMI._.KAD." localSheetId="8" hidden="1">{#N/A,#N/A,FALSE,"AFR-ELC"}</definedName>
    <definedName name="wrn.ABUBAKAR._.RIMI._.KAD." localSheetId="10" hidden="1">{#N/A,#N/A,FALSE,"AFR-ELC"}</definedName>
    <definedName name="wrn.ABUBAKAR._.RIMI._.KAD." localSheetId="12" hidden="1">{#N/A,#N/A,FALSE,"AFR-ELC"}</definedName>
    <definedName name="wrn.ABUBAKAR._.RIMI._.KAD." localSheetId="4" hidden="1">{#N/A,#N/A,FALSE,"AFR-ELC"}</definedName>
    <definedName name="wrn.ABUBAKAR._.RIMI._.KAD." hidden="1">{#N/A,#N/A,FALSE,"AFR-ELC"}</definedName>
    <definedName name="wrn.AFRIBANK._.ELECTRICAL._.BILL._.by._.Effiong._.A.._.Uko." localSheetId="6">{#N/A,#N/A,FALSE,"AFR-ELC"}</definedName>
    <definedName name="wrn.AFRIBANK._.ELECTRICAL._.BILL._.by._.Effiong._.A.._.Uko." localSheetId="0" hidden="1">{#N/A,#N/A,FALSE,"AFR-ELC"}</definedName>
    <definedName name="wrn.AFRIBANK._.ELECTRICAL._.BILL._.by._.Effiong._.A.._.Uko." localSheetId="1">{#N/A,#N/A,FALSE,"AFR-ELC"}</definedName>
    <definedName name="wrn.AFRIBANK._.ELECTRICAL._.BILL._.by._.Effiong._.A.._.Uko." localSheetId="2" hidden="1">{#N/A,#N/A,FALSE,"AFR-ELC"}</definedName>
    <definedName name="wrn.AFRIBANK._.ELECTRICAL._.BILL._.by._.Effiong._.A.._.Uko." localSheetId="3">{#N/A,#N/A,FALSE,"AFR-ELC"}</definedName>
    <definedName name="wrn.AFRIBANK._.ELECTRICAL._.BILL._.by._.Effiong._.A.._.Uko." localSheetId="7">{#N/A,#N/A,FALSE,"AFR-ELC"}</definedName>
    <definedName name="wrn.AFRIBANK._.ELECTRICAL._.BILL._.by._.Effiong._.A.._.Uko." localSheetId="5">{#N/A,#N/A,FALSE,"AFR-ELC"}</definedName>
    <definedName name="wrn.AFRIBANK._.ELECTRICAL._.BILL._.by._.Effiong._.A.._.Uko." localSheetId="9">{#N/A,#N/A,FALSE,"AFR-ELC"}</definedName>
    <definedName name="wrn.AFRIBANK._.ELECTRICAL._.BILL._.by._.Effiong._.A.._.Uko." localSheetId="11">{#N/A,#N/A,FALSE,"AFR-ELC"}</definedName>
    <definedName name="wrn.AFRIBANK._.ELECTRICAL._.BILL._.by._.Effiong._.A.._.Uko." localSheetId="13">{#N/A,#N/A,FALSE,"AFR-ELC"}</definedName>
    <definedName name="wrn.AFRIBANK._.ELECTRICAL._.BILL._.by._.Effiong._.A.._.Uko." localSheetId="8">{#N/A,#N/A,FALSE,"AFR-ELC"}</definedName>
    <definedName name="wrn.AFRIBANK._.ELECTRICAL._.BILL._.by._.Effiong._.A.._.Uko." localSheetId="10">{#N/A,#N/A,FALSE,"AFR-ELC"}</definedName>
    <definedName name="wrn.AFRIBANK._.ELECTRICAL._.BILL._.by._.Effiong._.A.._.Uko." localSheetId="12">{#N/A,#N/A,FALSE,"AFR-ELC"}</definedName>
    <definedName name="wrn.AFRIBANK._.ELECTRICAL._.BILL._.by._.Effiong._.A.._.Uko." localSheetId="4">{#N/A,#N/A,FALSE,"AFR-ELC"}</definedName>
    <definedName name="wrn.AFRIBANK._.ELECTRICAL._.BILL._.by._.Effiong._.A.._.Uko." hidden="1">{#N/A,#N/A,FALSE,"AFR-ELC"}</definedName>
    <definedName name="wrn.Aging._.and._.Trend._.Analysis." localSheetId="1" hidden="1">{#N/A,#N/A,FALSE,"Aging Summary";#N/A,#N/A,FALSE,"Ratio Analysis";#N/A,#N/A,FALSE,"Test 120 Day Accts";#N/A,#N/A,FALSE,"Tickmarks"}</definedName>
    <definedName name="wrn.Aging._.and._.Trend._.Analysis." localSheetId="3"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JDSuite." localSheetId="1" hidden="1">{"AJD",#N/A,TRUE,"Summary";"AJD",#N/A,TRUE,"CFCONC-outputs";"AJD",#N/A,TRUE,"P&amp;LCONC-outputs";"AJD",#N/A,TRUE,"BSCONC-outputs";"AJD",#N/A,TRUE,"FSCONC-outputs"}</definedName>
    <definedName name="wrn.AJDSuite." localSheetId="3" hidden="1">{"AJD",#N/A,TRUE,"Summary";"AJD",#N/A,TRUE,"CFCONC-outputs";"AJD",#N/A,TRUE,"P&amp;LCONC-outputs";"AJD",#N/A,TRUE,"BSCONC-outputs";"AJD",#N/A,TRUE,"FSCONC-outputs"}</definedName>
    <definedName name="wrn.AJDSuite." localSheetId="7" hidden="1">{"AJD",#N/A,TRUE,"Summary";"AJD",#N/A,TRUE,"CFCONC-outputs";"AJD",#N/A,TRUE,"P&amp;LCONC-outputs";"AJD",#N/A,TRUE,"BSCONC-outputs";"AJD",#N/A,TRUE,"FSCONC-outputs"}</definedName>
    <definedName name="wrn.AJDSuite." localSheetId="5" hidden="1">{"AJD",#N/A,TRUE,"Summary";"AJD",#N/A,TRUE,"CFCONC-outputs";"AJD",#N/A,TRUE,"P&amp;LCONC-outputs";"AJD",#N/A,TRUE,"BSCONC-outputs";"AJD",#N/A,TRUE,"FSCONC-outputs"}</definedName>
    <definedName name="wrn.AJDSuite." localSheetId="9" hidden="1">{"AJD",#N/A,TRUE,"Summary";"AJD",#N/A,TRUE,"CFCONC-outputs";"AJD",#N/A,TRUE,"P&amp;LCONC-outputs";"AJD",#N/A,TRUE,"BSCONC-outputs";"AJD",#N/A,TRUE,"FSCONC-outputs"}</definedName>
    <definedName name="wrn.AJDSuite." localSheetId="11" hidden="1">{"AJD",#N/A,TRUE,"Summary";"AJD",#N/A,TRUE,"CFCONC-outputs";"AJD",#N/A,TRUE,"P&amp;LCONC-outputs";"AJD",#N/A,TRUE,"BSCONC-outputs";"AJD",#N/A,TRUE,"FSCONC-outputs"}</definedName>
    <definedName name="wrn.AJDSuite." localSheetId="13" hidden="1">{"AJD",#N/A,TRUE,"Summary";"AJD",#N/A,TRUE,"CFCONC-outputs";"AJD",#N/A,TRUE,"P&amp;LCONC-outputs";"AJD",#N/A,TRUE,"BSCONC-outputs";"AJD",#N/A,TRUE,"FSCONC-outputs"}</definedName>
    <definedName name="wrn.AJDSuite." localSheetId="8" hidden="1">{"AJD",#N/A,TRUE,"Summary";"AJD",#N/A,TRUE,"CFCONC-outputs";"AJD",#N/A,TRUE,"P&amp;LCONC-outputs";"AJD",#N/A,TRUE,"BSCONC-outputs";"AJD",#N/A,TRUE,"FSCONC-outputs"}</definedName>
    <definedName name="wrn.AJDSuite." localSheetId="10" hidden="1">{"AJD",#N/A,TRUE,"Summary";"AJD",#N/A,TRUE,"CFCONC-outputs";"AJD",#N/A,TRUE,"P&amp;LCONC-outputs";"AJD",#N/A,TRUE,"BSCONC-outputs";"AJD",#N/A,TRUE,"FSCONC-outputs"}</definedName>
    <definedName name="wrn.AJDSuite." localSheetId="12" hidden="1">{"AJD",#N/A,TRUE,"Summary";"AJD",#N/A,TRUE,"CFCONC-outputs";"AJD",#N/A,TRUE,"P&amp;LCONC-outputs";"AJD",#N/A,TRUE,"BSCONC-outputs";"AJD",#N/A,TRUE,"FSCONC-outputs"}</definedName>
    <definedName name="wrn.AJDSuite." localSheetId="4" hidden="1">{"AJD",#N/A,TRUE,"Summary";"AJD",#N/A,TRUE,"CFCONC-outputs";"AJD",#N/A,TRUE,"P&amp;LCONC-outputs";"AJD",#N/A,TRUE,"BSCONC-outputs";"AJD",#N/A,TRUE,"FSCONC-outputs"}</definedName>
    <definedName name="wrn.AJDSuite." hidden="1">{"AJD",#N/A,TRUE,"Summary";"AJD",#N/A,TRUE,"CFCONC-outputs";"AJD",#N/A,TRUE,"P&amp;LCONC-outputs";"AJD",#N/A,TRUE,"BSCONC-outputs";"AJD",#N/A,TRUE,"FSCONC-outputs"}</definedName>
    <definedName name="wrn.All._.Sheets." localSheetId="1">{#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3">{#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7">{#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5">{#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9">{#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1">{#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3">{#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8">{#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0">{#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12">{#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 localSheetId="4">{#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B.O.Q." localSheetId="2" hidden="1">{#N/A,#N/A,FALSE,"Elect B.O.Q";#N/A,#N/A,FALSE,"Plumbing b.O.Q";#N/A,#N/A,FALSE,"Ac B.O.Q"}</definedName>
    <definedName name="wrn.B.O.Q." localSheetId="8" hidden="1">{#N/A,#N/A,FALSE,"Elect B.O.Q";#N/A,#N/A,FALSE,"Plumbing b.O.Q";#N/A,#N/A,FALSE,"Ac B.O.Q"}</definedName>
    <definedName name="wrn.B.O.Q." localSheetId="4" hidden="1">{#N/A,#N/A,FALSE,"Elect B.O.Q";#N/A,#N/A,FALSE,"Plumbing b.O.Q";#N/A,#N/A,FALSE,"Ac B.O.Q"}</definedName>
    <definedName name="wrn.B.O.Q." hidden="1">{#N/A,#N/A,FALSE,"Elect B.O.Q";#N/A,#N/A,FALSE,"Plumbing b.O.Q";#N/A,#N/A,FALSE,"Ac B.O.Q"}</definedName>
    <definedName name="wrn.Construction._.Costs." localSheetId="1" hidden="1">{"Const Costs Dev",#N/A,FALSE,"Construction Cost Inputs";"Const Costs orig ccy",#N/A,FALSE,"Construction Cost Inputs";"Const Costs USD",#N/A,FALSE,"Construction Cost Inputs"}</definedName>
    <definedName name="wrn.Construction._.Costs." localSheetId="3" hidden="1">{"Const Costs Dev",#N/A,FALSE,"Construction Cost Inputs";"Const Costs orig ccy",#N/A,FALSE,"Construction Cost Inputs";"Const Costs USD",#N/A,FALSE,"Construction Cost Inputs"}</definedName>
    <definedName name="wrn.Construction._.Costs." localSheetId="7" hidden="1">{"Const Costs Dev",#N/A,FALSE,"Construction Cost Inputs";"Const Costs orig ccy",#N/A,FALSE,"Construction Cost Inputs";"Const Costs USD",#N/A,FALSE,"Construction Cost Inputs"}</definedName>
    <definedName name="wrn.Construction._.Costs." localSheetId="5" hidden="1">{"Const Costs Dev",#N/A,FALSE,"Construction Cost Inputs";"Const Costs orig ccy",#N/A,FALSE,"Construction Cost Inputs";"Const Costs USD",#N/A,FALSE,"Construction Cost Inputs"}</definedName>
    <definedName name="wrn.Construction._.Costs." localSheetId="9" hidden="1">{"Const Costs Dev",#N/A,FALSE,"Construction Cost Inputs";"Const Costs orig ccy",#N/A,FALSE,"Construction Cost Inputs";"Const Costs USD",#N/A,FALSE,"Construction Cost Inputs"}</definedName>
    <definedName name="wrn.Construction._.Costs." localSheetId="11" hidden="1">{"Const Costs Dev",#N/A,FALSE,"Construction Cost Inputs";"Const Costs orig ccy",#N/A,FALSE,"Construction Cost Inputs";"Const Costs USD",#N/A,FALSE,"Construction Cost Inputs"}</definedName>
    <definedName name="wrn.Construction._.Costs." localSheetId="13" hidden="1">{"Const Costs Dev",#N/A,FALSE,"Construction Cost Inputs";"Const Costs orig ccy",#N/A,FALSE,"Construction Cost Inputs";"Const Costs USD",#N/A,FALSE,"Construction Cost Inputs"}</definedName>
    <definedName name="wrn.Construction._.Costs." localSheetId="8" hidden="1">{"Const Costs Dev",#N/A,FALSE,"Construction Cost Inputs";"Const Costs orig ccy",#N/A,FALSE,"Construction Cost Inputs";"Const Costs USD",#N/A,FALSE,"Construction Cost Inputs"}</definedName>
    <definedName name="wrn.Construction._.Costs." localSheetId="10" hidden="1">{"Const Costs Dev",#N/A,FALSE,"Construction Cost Inputs";"Const Costs orig ccy",#N/A,FALSE,"Construction Cost Inputs";"Const Costs USD",#N/A,FALSE,"Construction Cost Inputs"}</definedName>
    <definedName name="wrn.Construction._.Costs." localSheetId="12" hidden="1">{"Const Costs Dev",#N/A,FALSE,"Construction Cost Inputs";"Const Costs orig ccy",#N/A,FALSE,"Construction Cost Inputs";"Const Costs USD",#N/A,FALSE,"Construction Cost Inputs"}</definedName>
    <definedName name="wrn.Construction._.Costs." localSheetId="4" hidden="1">{"Const Costs Dev",#N/A,FALSE,"Construction Cost Inputs";"Const Costs orig ccy",#N/A,FALSE,"Construction Cost Inputs";"Const Costs USD",#N/A,FALSE,"Construction Cost Inputs"}</definedName>
    <definedName name="wrn.Construction._.Costs." hidden="1">{"Const Costs Dev",#N/A,FALSE,"Construction Cost Inputs";"Const Costs orig ccy",#N/A,FALSE,"Construction Cost Inputs";"Const Costs USD",#N/A,FALSE,"Construction Cost Inputs"}</definedName>
    <definedName name="wrn.demand." localSheetId="1" hidden="1">{#N/A,#N/A,FALSE,"III-1 Sum.Dem";#N/A,#N/A,FALSE,"III-2 RER.Dem.Pop";#N/A,#N/A,FALSE,"III-3 RER.Cap.Pop";#N/A,#N/A,FALSE,"III-4 RER.Dem.TCSS";#N/A,#N/A,FALSE,"III-5 RER.Cap.TCSS";#N/A,#N/A,FALSE,"III-6 Pow.Center.Dem";#N/A,#N/A,FALSE,"III-7 Off.Demand";#N/A,#N/A,FALSE,"III-8 Htl.Dem"}</definedName>
    <definedName name="wrn.demand." localSheetId="3" hidden="1">{#N/A,#N/A,FALSE,"III-1 Sum.Dem";#N/A,#N/A,FALSE,"III-2 RER.Dem.Pop";#N/A,#N/A,FALSE,"III-3 RER.Cap.Pop";#N/A,#N/A,FALSE,"III-4 RER.Dem.TCSS";#N/A,#N/A,FALSE,"III-5 RER.Cap.TCSS";#N/A,#N/A,FALSE,"III-6 Pow.Center.Dem";#N/A,#N/A,FALSE,"III-7 Off.Demand";#N/A,#N/A,FALSE,"III-8 Htl.Dem"}</definedName>
    <definedName name="wrn.demand." localSheetId="7" hidden="1">{#N/A,#N/A,FALSE,"III-1 Sum.Dem";#N/A,#N/A,FALSE,"III-2 RER.Dem.Pop";#N/A,#N/A,FALSE,"III-3 RER.Cap.Pop";#N/A,#N/A,FALSE,"III-4 RER.Dem.TCSS";#N/A,#N/A,FALSE,"III-5 RER.Cap.TCSS";#N/A,#N/A,FALSE,"III-6 Pow.Center.Dem";#N/A,#N/A,FALSE,"III-7 Off.Demand";#N/A,#N/A,FALSE,"III-8 Htl.Dem"}</definedName>
    <definedName name="wrn.demand." localSheetId="5" hidden="1">{#N/A,#N/A,FALSE,"III-1 Sum.Dem";#N/A,#N/A,FALSE,"III-2 RER.Dem.Pop";#N/A,#N/A,FALSE,"III-3 RER.Cap.Pop";#N/A,#N/A,FALSE,"III-4 RER.Dem.TCSS";#N/A,#N/A,FALSE,"III-5 RER.Cap.TCSS";#N/A,#N/A,FALSE,"III-6 Pow.Center.Dem";#N/A,#N/A,FALSE,"III-7 Off.Demand";#N/A,#N/A,FALSE,"III-8 Htl.Dem"}</definedName>
    <definedName name="wrn.demand." localSheetId="9" hidden="1">{#N/A,#N/A,FALSE,"III-1 Sum.Dem";#N/A,#N/A,FALSE,"III-2 RER.Dem.Pop";#N/A,#N/A,FALSE,"III-3 RER.Cap.Pop";#N/A,#N/A,FALSE,"III-4 RER.Dem.TCSS";#N/A,#N/A,FALSE,"III-5 RER.Cap.TCSS";#N/A,#N/A,FALSE,"III-6 Pow.Center.Dem";#N/A,#N/A,FALSE,"III-7 Off.Demand";#N/A,#N/A,FALSE,"III-8 Htl.Dem"}</definedName>
    <definedName name="wrn.demand." localSheetId="11" hidden="1">{#N/A,#N/A,FALSE,"III-1 Sum.Dem";#N/A,#N/A,FALSE,"III-2 RER.Dem.Pop";#N/A,#N/A,FALSE,"III-3 RER.Cap.Pop";#N/A,#N/A,FALSE,"III-4 RER.Dem.TCSS";#N/A,#N/A,FALSE,"III-5 RER.Cap.TCSS";#N/A,#N/A,FALSE,"III-6 Pow.Center.Dem";#N/A,#N/A,FALSE,"III-7 Off.Demand";#N/A,#N/A,FALSE,"III-8 Htl.Dem"}</definedName>
    <definedName name="wrn.demand." localSheetId="13" hidden="1">{#N/A,#N/A,FALSE,"III-1 Sum.Dem";#N/A,#N/A,FALSE,"III-2 RER.Dem.Pop";#N/A,#N/A,FALSE,"III-3 RER.Cap.Pop";#N/A,#N/A,FALSE,"III-4 RER.Dem.TCSS";#N/A,#N/A,FALSE,"III-5 RER.Cap.TCSS";#N/A,#N/A,FALSE,"III-6 Pow.Center.Dem";#N/A,#N/A,FALSE,"III-7 Off.Demand";#N/A,#N/A,FALSE,"III-8 Htl.Dem"}</definedName>
    <definedName name="wrn.demand." localSheetId="8" hidden="1">{#N/A,#N/A,FALSE,"III-1 Sum.Dem";#N/A,#N/A,FALSE,"III-2 RER.Dem.Pop";#N/A,#N/A,FALSE,"III-3 RER.Cap.Pop";#N/A,#N/A,FALSE,"III-4 RER.Dem.TCSS";#N/A,#N/A,FALSE,"III-5 RER.Cap.TCSS";#N/A,#N/A,FALSE,"III-6 Pow.Center.Dem";#N/A,#N/A,FALSE,"III-7 Off.Demand";#N/A,#N/A,FALSE,"III-8 Htl.Dem"}</definedName>
    <definedName name="wrn.demand." localSheetId="10" hidden="1">{#N/A,#N/A,FALSE,"III-1 Sum.Dem";#N/A,#N/A,FALSE,"III-2 RER.Dem.Pop";#N/A,#N/A,FALSE,"III-3 RER.Cap.Pop";#N/A,#N/A,FALSE,"III-4 RER.Dem.TCSS";#N/A,#N/A,FALSE,"III-5 RER.Cap.TCSS";#N/A,#N/A,FALSE,"III-6 Pow.Center.Dem";#N/A,#N/A,FALSE,"III-7 Off.Demand";#N/A,#N/A,FALSE,"III-8 Htl.Dem"}</definedName>
    <definedName name="wrn.demand." localSheetId="12" hidden="1">{#N/A,#N/A,FALSE,"III-1 Sum.Dem";#N/A,#N/A,FALSE,"III-2 RER.Dem.Pop";#N/A,#N/A,FALSE,"III-3 RER.Cap.Pop";#N/A,#N/A,FALSE,"III-4 RER.Dem.TCSS";#N/A,#N/A,FALSE,"III-5 RER.Cap.TCSS";#N/A,#N/A,FALSE,"III-6 Pow.Center.Dem";#N/A,#N/A,FALSE,"III-7 Off.Demand";#N/A,#N/A,FALSE,"III-8 Htl.Dem"}</definedName>
    <definedName name="wrn.demand." localSheetId="4" hidden="1">{#N/A,#N/A,FALSE,"III-1 Sum.Dem";#N/A,#N/A,FALSE,"III-2 RER.Dem.Pop";#N/A,#N/A,FALSE,"III-3 RER.Cap.Pop";#N/A,#N/A,FALSE,"III-4 RER.Dem.TCSS";#N/A,#N/A,FALSE,"III-5 RER.Cap.TCSS";#N/A,#N/A,FALSE,"III-6 Pow.Center.Dem";#N/A,#N/A,FALSE,"III-7 Off.Demand";#N/A,#N/A,FALSE,"III-8 Htl.Dem"}</definedName>
    <definedName name="wrn.demand." hidden="1">{#N/A,#N/A,FALSE,"III-1 Sum.Dem";#N/A,#N/A,FALSE,"III-2 RER.Dem.Pop";#N/A,#N/A,FALSE,"III-3 RER.Cap.Pop";#N/A,#N/A,FALSE,"III-4 RER.Dem.TCSS";#N/A,#N/A,FALSE,"III-5 RER.Cap.TCSS";#N/A,#N/A,FALSE,"III-6 Pow.Center.Dem";#N/A,#N/A,FALSE,"III-7 Off.Demand";#N/A,#N/A,FALSE,"III-8 Htl.Dem"}</definedName>
    <definedName name="wrn.demographics." localSheetId="1" hidden="1">{#N/A,#N/A,FALSE,"pop.hh";#N/A,#N/A,FALSE,"age.dist";#N/A,#N/A,FALSE,"hh.income";#N/A,#N/A,FALSE,"hh.chars"}</definedName>
    <definedName name="wrn.demographics." localSheetId="3" hidden="1">{#N/A,#N/A,FALSE,"pop.hh";#N/A,#N/A,FALSE,"age.dist";#N/A,#N/A,FALSE,"hh.income";#N/A,#N/A,FALSE,"hh.chars"}</definedName>
    <definedName name="wrn.demographics." localSheetId="7" hidden="1">{#N/A,#N/A,FALSE,"pop.hh";#N/A,#N/A,FALSE,"age.dist";#N/A,#N/A,FALSE,"hh.income";#N/A,#N/A,FALSE,"hh.chars"}</definedName>
    <definedName name="wrn.demographics." localSheetId="5" hidden="1">{#N/A,#N/A,FALSE,"pop.hh";#N/A,#N/A,FALSE,"age.dist";#N/A,#N/A,FALSE,"hh.income";#N/A,#N/A,FALSE,"hh.chars"}</definedName>
    <definedName name="wrn.demographics." localSheetId="9" hidden="1">{#N/A,#N/A,FALSE,"pop.hh";#N/A,#N/A,FALSE,"age.dist";#N/A,#N/A,FALSE,"hh.income";#N/A,#N/A,FALSE,"hh.chars"}</definedName>
    <definedName name="wrn.demographics." localSheetId="11" hidden="1">{#N/A,#N/A,FALSE,"pop.hh";#N/A,#N/A,FALSE,"age.dist";#N/A,#N/A,FALSE,"hh.income";#N/A,#N/A,FALSE,"hh.chars"}</definedName>
    <definedName name="wrn.demographics." localSheetId="13" hidden="1">{#N/A,#N/A,FALSE,"pop.hh";#N/A,#N/A,FALSE,"age.dist";#N/A,#N/A,FALSE,"hh.income";#N/A,#N/A,FALSE,"hh.chars"}</definedName>
    <definedName name="wrn.demographics." localSheetId="8" hidden="1">{#N/A,#N/A,FALSE,"pop.hh";#N/A,#N/A,FALSE,"age.dist";#N/A,#N/A,FALSE,"hh.income";#N/A,#N/A,FALSE,"hh.chars"}</definedName>
    <definedName name="wrn.demographics." localSheetId="10" hidden="1">{#N/A,#N/A,FALSE,"pop.hh";#N/A,#N/A,FALSE,"age.dist";#N/A,#N/A,FALSE,"hh.income";#N/A,#N/A,FALSE,"hh.chars"}</definedName>
    <definedName name="wrn.demographics." localSheetId="12" hidden="1">{#N/A,#N/A,FALSE,"pop.hh";#N/A,#N/A,FALSE,"age.dist";#N/A,#N/A,FALSE,"hh.income";#N/A,#N/A,FALSE,"hh.chars"}</definedName>
    <definedName name="wrn.demographics." localSheetId="4" hidden="1">{#N/A,#N/A,FALSE,"pop.hh";#N/A,#N/A,FALSE,"age.dist";#N/A,#N/A,FALSE,"hh.income";#N/A,#N/A,FALSE,"hh.chars"}</definedName>
    <definedName name="wrn.demographics." hidden="1">{#N/A,#N/A,FALSE,"pop.hh";#N/A,#N/A,FALSE,"age.dist";#N/A,#N/A,FALSE,"hh.income";#N/A,#N/A,FALSE,"hh.chars"}</definedName>
    <definedName name="wrn.Demos." localSheetId="1" hidden="1">{#N/A,#N/A,FALSE,"II-2 POP.HH";#N/A,#N/A,FALSE,"II-3 AGE.DIST";#N/A,#N/A,FALSE,"II-4 HH.DIST";#N/A,#N/A,FALSE,"II-5 EMP.INDUS"}</definedName>
    <definedName name="wrn.Demos." localSheetId="3" hidden="1">{#N/A,#N/A,FALSE,"II-2 POP.HH";#N/A,#N/A,FALSE,"II-3 AGE.DIST";#N/A,#N/A,FALSE,"II-4 HH.DIST";#N/A,#N/A,FALSE,"II-5 EMP.INDUS"}</definedName>
    <definedName name="wrn.Demos." localSheetId="7" hidden="1">{#N/A,#N/A,FALSE,"II-2 POP.HH";#N/A,#N/A,FALSE,"II-3 AGE.DIST";#N/A,#N/A,FALSE,"II-4 HH.DIST";#N/A,#N/A,FALSE,"II-5 EMP.INDUS"}</definedName>
    <definedName name="wrn.Demos." localSheetId="5" hidden="1">{#N/A,#N/A,FALSE,"II-2 POP.HH";#N/A,#N/A,FALSE,"II-3 AGE.DIST";#N/A,#N/A,FALSE,"II-4 HH.DIST";#N/A,#N/A,FALSE,"II-5 EMP.INDUS"}</definedName>
    <definedName name="wrn.Demos." localSheetId="9" hidden="1">{#N/A,#N/A,FALSE,"II-2 POP.HH";#N/A,#N/A,FALSE,"II-3 AGE.DIST";#N/A,#N/A,FALSE,"II-4 HH.DIST";#N/A,#N/A,FALSE,"II-5 EMP.INDUS"}</definedName>
    <definedName name="wrn.Demos." localSheetId="11" hidden="1">{#N/A,#N/A,FALSE,"II-2 POP.HH";#N/A,#N/A,FALSE,"II-3 AGE.DIST";#N/A,#N/A,FALSE,"II-4 HH.DIST";#N/A,#N/A,FALSE,"II-5 EMP.INDUS"}</definedName>
    <definedName name="wrn.Demos." localSheetId="13" hidden="1">{#N/A,#N/A,FALSE,"II-2 POP.HH";#N/A,#N/A,FALSE,"II-3 AGE.DIST";#N/A,#N/A,FALSE,"II-4 HH.DIST";#N/A,#N/A,FALSE,"II-5 EMP.INDUS"}</definedName>
    <definedName name="wrn.Demos." localSheetId="8" hidden="1">{#N/A,#N/A,FALSE,"II-2 POP.HH";#N/A,#N/A,FALSE,"II-3 AGE.DIST";#N/A,#N/A,FALSE,"II-4 HH.DIST";#N/A,#N/A,FALSE,"II-5 EMP.INDUS"}</definedName>
    <definedName name="wrn.Demos." localSheetId="10" hidden="1">{#N/A,#N/A,FALSE,"II-2 POP.HH";#N/A,#N/A,FALSE,"II-3 AGE.DIST";#N/A,#N/A,FALSE,"II-4 HH.DIST";#N/A,#N/A,FALSE,"II-5 EMP.INDUS"}</definedName>
    <definedName name="wrn.Demos." localSheetId="12" hidden="1">{#N/A,#N/A,FALSE,"II-2 POP.HH";#N/A,#N/A,FALSE,"II-3 AGE.DIST";#N/A,#N/A,FALSE,"II-4 HH.DIST";#N/A,#N/A,FALSE,"II-5 EMP.INDUS"}</definedName>
    <definedName name="wrn.Demos." localSheetId="4" hidden="1">{#N/A,#N/A,FALSE,"II-2 POP.HH";#N/A,#N/A,FALSE,"II-3 AGE.DIST";#N/A,#N/A,FALSE,"II-4 HH.DIST";#N/A,#N/A,FALSE,"II-5 EMP.INDUS"}</definedName>
    <definedName name="wrn.Demos." hidden="1">{#N/A,#N/A,FALSE,"II-2 POP.HH";#N/A,#N/A,FALSE,"II-3 AGE.DIST";#N/A,#N/A,FALSE,"II-4 HH.DIST";#N/A,#N/A,FALSE,"II-5 EMP.INDUS"}</definedName>
    <definedName name="wrn.Financing._.Inputs." localSheetId="1" hidden="1">{"BuildIn 2 Funding Assump",#N/A,FALSE,"Building Inputs";"BuildIn Capex plus Extras",#N/A,FALSE,"Building Inputs"}</definedName>
    <definedName name="wrn.Financing._.Inputs." localSheetId="3" hidden="1">{"BuildIn 2 Funding Assump",#N/A,FALSE,"Building Inputs";"BuildIn Capex plus Extras",#N/A,FALSE,"Building Inputs"}</definedName>
    <definedName name="wrn.Financing._.Inputs." localSheetId="7" hidden="1">{"BuildIn 2 Funding Assump",#N/A,FALSE,"Building Inputs";"BuildIn Capex plus Extras",#N/A,FALSE,"Building Inputs"}</definedName>
    <definedName name="wrn.Financing._.Inputs." localSheetId="5" hidden="1">{"BuildIn 2 Funding Assump",#N/A,FALSE,"Building Inputs";"BuildIn Capex plus Extras",#N/A,FALSE,"Building Inputs"}</definedName>
    <definedName name="wrn.Financing._.Inputs." localSheetId="9" hidden="1">{"BuildIn 2 Funding Assump",#N/A,FALSE,"Building Inputs";"BuildIn Capex plus Extras",#N/A,FALSE,"Building Inputs"}</definedName>
    <definedName name="wrn.Financing._.Inputs." localSheetId="11" hidden="1">{"BuildIn 2 Funding Assump",#N/A,FALSE,"Building Inputs";"BuildIn Capex plus Extras",#N/A,FALSE,"Building Inputs"}</definedName>
    <definedName name="wrn.Financing._.Inputs." localSheetId="13" hidden="1">{"BuildIn 2 Funding Assump",#N/A,FALSE,"Building Inputs";"BuildIn Capex plus Extras",#N/A,FALSE,"Building Inputs"}</definedName>
    <definedName name="wrn.Financing._.Inputs." localSheetId="8" hidden="1">{"BuildIn 2 Funding Assump",#N/A,FALSE,"Building Inputs";"BuildIn Capex plus Extras",#N/A,FALSE,"Building Inputs"}</definedName>
    <definedName name="wrn.Financing._.Inputs." localSheetId="10" hidden="1">{"BuildIn 2 Funding Assump",#N/A,FALSE,"Building Inputs";"BuildIn Capex plus Extras",#N/A,FALSE,"Building Inputs"}</definedName>
    <definedName name="wrn.Financing._.Inputs." localSheetId="12" hidden="1">{"BuildIn 2 Funding Assump",#N/A,FALSE,"Building Inputs";"BuildIn Capex plus Extras",#N/A,FALSE,"Building Inputs"}</definedName>
    <definedName name="wrn.Financing._.Inputs." localSheetId="4" hidden="1">{"BuildIn 2 Funding Assump",#N/A,FALSE,"Building Inputs";"BuildIn Capex plus Extras",#N/A,FALSE,"Building Inputs"}</definedName>
    <definedName name="wrn.Financing._.Inputs." hidden="1">{"BuildIn 2 Funding Assump",#N/A,FALSE,"Building Inputs";"BuildIn Capex plus Extras",#N/A,FALSE,"Building Inputs"}</definedName>
    <definedName name="wrn.Inputs._.outputs." localSheetId="1" hidden="1">{"key inputs",#N/A,FALSE,"Key Inputs";"key outputs",#N/A,FALSE,"Outputs";"Other inputs",#N/A,FALSE,"Other Inputs";"cashflow",#N/A,FALSE,"Statemnts"}</definedName>
    <definedName name="wrn.Inputs._.outputs." localSheetId="3" hidden="1">{"key inputs",#N/A,FALSE,"Key Inputs";"key outputs",#N/A,FALSE,"Outputs";"Other inputs",#N/A,FALSE,"Other Inputs";"cashflow",#N/A,FALSE,"Statemnts"}</definedName>
    <definedName name="wrn.Inputs._.outputs." localSheetId="7" hidden="1">{"key inputs",#N/A,FALSE,"Key Inputs";"key outputs",#N/A,FALSE,"Outputs";"Other inputs",#N/A,FALSE,"Other Inputs";"cashflow",#N/A,FALSE,"Statemnts"}</definedName>
    <definedName name="wrn.Inputs._.outputs." localSheetId="5" hidden="1">{"key inputs",#N/A,FALSE,"Key Inputs";"key outputs",#N/A,FALSE,"Outputs";"Other inputs",#N/A,FALSE,"Other Inputs";"cashflow",#N/A,FALSE,"Statemnts"}</definedName>
    <definedName name="wrn.Inputs._.outputs." localSheetId="9" hidden="1">{"key inputs",#N/A,FALSE,"Key Inputs";"key outputs",#N/A,FALSE,"Outputs";"Other inputs",#N/A,FALSE,"Other Inputs";"cashflow",#N/A,FALSE,"Statemnts"}</definedName>
    <definedName name="wrn.Inputs._.outputs." localSheetId="11" hidden="1">{"key inputs",#N/A,FALSE,"Key Inputs";"key outputs",#N/A,FALSE,"Outputs";"Other inputs",#N/A,FALSE,"Other Inputs";"cashflow",#N/A,FALSE,"Statemnts"}</definedName>
    <definedName name="wrn.Inputs._.outputs." localSheetId="13" hidden="1">{"key inputs",#N/A,FALSE,"Key Inputs";"key outputs",#N/A,FALSE,"Outputs";"Other inputs",#N/A,FALSE,"Other Inputs";"cashflow",#N/A,FALSE,"Statemnts"}</definedName>
    <definedName name="wrn.Inputs._.outputs." localSheetId="8" hidden="1">{"key inputs",#N/A,FALSE,"Key Inputs";"key outputs",#N/A,FALSE,"Outputs";"Other inputs",#N/A,FALSE,"Other Inputs";"cashflow",#N/A,FALSE,"Statemnts"}</definedName>
    <definedName name="wrn.Inputs._.outputs." localSheetId="10" hidden="1">{"key inputs",#N/A,FALSE,"Key Inputs";"key outputs",#N/A,FALSE,"Outputs";"Other inputs",#N/A,FALSE,"Other Inputs";"cashflow",#N/A,FALSE,"Statemnts"}</definedName>
    <definedName name="wrn.Inputs._.outputs." localSheetId="12" hidden="1">{"key inputs",#N/A,FALSE,"Key Inputs";"key outputs",#N/A,FALSE,"Outputs";"Other inputs",#N/A,FALSE,"Other Inputs";"cashflow",#N/A,FALSE,"Statemnts"}</definedName>
    <definedName name="wrn.Inputs._.outputs." localSheetId="4" hidden="1">{"key inputs",#N/A,FALSE,"Key Inputs";"key outputs",#N/A,FALSE,"Outputs";"Other inputs",#N/A,FALSE,"Other Inputs";"cashflow",#N/A,FALSE,"Statemnts"}</definedName>
    <definedName name="wrn.Inputs._.outputs." hidden="1">{"key inputs",#N/A,FALSE,"Key Inputs";"key outputs",#N/A,FALSE,"Outputs";"Other inputs",#N/A,FALSE,"Other Inputs";"cashflow",#N/A,FALSE,"Statemnts"}</definedName>
    <definedName name="wrn.OCS._.REPORT." localSheetId="2" hidden="1">{#N/A,#N/A,FALSE,"Cover";#N/A,#N/A,FALSE,"Index";#N/A,#N/A,FALSE,"Spec";#N/A,#N/A,FALSE,"Breakdown";#N/A,#N/A,FALSE,"Cost Plan"}</definedName>
    <definedName name="wrn.OCS._.REPORT." localSheetId="8" hidden="1">{#N/A,#N/A,FALSE,"Cover";#N/A,#N/A,FALSE,"Index";#N/A,#N/A,FALSE,"Spec";#N/A,#N/A,FALSE,"Breakdown";#N/A,#N/A,FALSE,"Cost Plan"}</definedName>
    <definedName name="wrn.OCS._.REPORT." localSheetId="4" hidden="1">{#N/A,#N/A,FALSE,"Cover";#N/A,#N/A,FALSE,"Index";#N/A,#N/A,FALSE,"Spec";#N/A,#N/A,FALSE,"Breakdown";#N/A,#N/A,FALSE,"Cost Plan"}</definedName>
    <definedName name="wrn.OCS._.REPORT." hidden="1">{#N/A,#N/A,FALSE,"Cover";#N/A,#N/A,FALSE,"Index";#N/A,#N/A,FALSE,"Spec";#N/A,#N/A,FALSE,"Breakdown";#N/A,#N/A,FALSE,"Cost Plan"}</definedName>
    <definedName name="wrn.OpCostIn." localSheetId="1" hidden="1">{"OpCostIn Technical",#N/A,FALSE,"Operations Cost Inputs";"OpCostIn V plus F",#N/A,FALSE,"Operations Cost Inputs";"OpCostIn Maint",#N/A,FALSE,"Operations Cost Inputs";"OpCostIn LDs Add Cost",#N/A,FALSE,"Operations Cost Inputs"}</definedName>
    <definedName name="wrn.OpCostIn." localSheetId="3" hidden="1">{"OpCostIn Technical",#N/A,FALSE,"Operations Cost Inputs";"OpCostIn V plus F",#N/A,FALSE,"Operations Cost Inputs";"OpCostIn Maint",#N/A,FALSE,"Operations Cost Inputs";"OpCostIn LDs Add Cost",#N/A,FALSE,"Operations Cost Inputs"}</definedName>
    <definedName name="wrn.OpCostIn." localSheetId="7" hidden="1">{"OpCostIn Technical",#N/A,FALSE,"Operations Cost Inputs";"OpCostIn V plus F",#N/A,FALSE,"Operations Cost Inputs";"OpCostIn Maint",#N/A,FALSE,"Operations Cost Inputs";"OpCostIn LDs Add Cost",#N/A,FALSE,"Operations Cost Inputs"}</definedName>
    <definedName name="wrn.OpCostIn." localSheetId="5" hidden="1">{"OpCostIn Technical",#N/A,FALSE,"Operations Cost Inputs";"OpCostIn V plus F",#N/A,FALSE,"Operations Cost Inputs";"OpCostIn Maint",#N/A,FALSE,"Operations Cost Inputs";"OpCostIn LDs Add Cost",#N/A,FALSE,"Operations Cost Inputs"}</definedName>
    <definedName name="wrn.OpCostIn." localSheetId="9" hidden="1">{"OpCostIn Technical",#N/A,FALSE,"Operations Cost Inputs";"OpCostIn V plus F",#N/A,FALSE,"Operations Cost Inputs";"OpCostIn Maint",#N/A,FALSE,"Operations Cost Inputs";"OpCostIn LDs Add Cost",#N/A,FALSE,"Operations Cost Inputs"}</definedName>
    <definedName name="wrn.OpCostIn." localSheetId="11" hidden="1">{"OpCostIn Technical",#N/A,FALSE,"Operations Cost Inputs";"OpCostIn V plus F",#N/A,FALSE,"Operations Cost Inputs";"OpCostIn Maint",#N/A,FALSE,"Operations Cost Inputs";"OpCostIn LDs Add Cost",#N/A,FALSE,"Operations Cost Inputs"}</definedName>
    <definedName name="wrn.OpCostIn." localSheetId="13" hidden="1">{"OpCostIn Technical",#N/A,FALSE,"Operations Cost Inputs";"OpCostIn V plus F",#N/A,FALSE,"Operations Cost Inputs";"OpCostIn Maint",#N/A,FALSE,"Operations Cost Inputs";"OpCostIn LDs Add Cost",#N/A,FALSE,"Operations Cost Inputs"}</definedName>
    <definedName name="wrn.OpCostIn." localSheetId="8" hidden="1">{"OpCostIn Technical",#N/A,FALSE,"Operations Cost Inputs";"OpCostIn V plus F",#N/A,FALSE,"Operations Cost Inputs";"OpCostIn Maint",#N/A,FALSE,"Operations Cost Inputs";"OpCostIn LDs Add Cost",#N/A,FALSE,"Operations Cost Inputs"}</definedName>
    <definedName name="wrn.OpCostIn." localSheetId="10" hidden="1">{"OpCostIn Technical",#N/A,FALSE,"Operations Cost Inputs";"OpCostIn V plus F",#N/A,FALSE,"Operations Cost Inputs";"OpCostIn Maint",#N/A,FALSE,"Operations Cost Inputs";"OpCostIn LDs Add Cost",#N/A,FALSE,"Operations Cost Inputs"}</definedName>
    <definedName name="wrn.OpCostIn." localSheetId="12" hidden="1">{"OpCostIn Technical",#N/A,FALSE,"Operations Cost Inputs";"OpCostIn V plus F",#N/A,FALSE,"Operations Cost Inputs";"OpCostIn Maint",#N/A,FALSE,"Operations Cost Inputs";"OpCostIn LDs Add Cost",#N/A,FALSE,"Operations Cost Inputs"}</definedName>
    <definedName name="wrn.OpCostIn." localSheetId="4" hidden="1">{"OpCostIn Technical",#N/A,FALSE,"Operations Cost Inputs";"OpCostIn V plus F",#N/A,FALSE,"Operations Cost Inputs";"OpCostIn Maint",#N/A,FALSE,"Operations Cost Inputs";"OpCostIn LDs Add Cost",#N/A,FALSE,"Operations Cost Inputs"}</definedName>
    <definedName name="wrn.OpCostIn." hidden="1">{"OpCostIn Technical",#N/A,FALSE,"Operations Cost Inputs";"OpCostIn V plus F",#N/A,FALSE,"Operations Cost Inputs";"OpCostIn Maint",#N/A,FALSE,"Operations Cost Inputs";"OpCostIn LDs Add Cost",#N/A,FALSE,"Operations Cost Inputs"}</definedName>
    <definedName name="wrn.Print." localSheetId="1" hidden="1">{#N/A,#N/A,TRUE,"Cover";#N/A,#N/A,TRUE,"Stack";#N/A,#N/A,TRUE,"Cost S";#N/A,#N/A,TRUE,"Financing";#N/A,#N/A,TRUE," CF";#N/A,#N/A,TRUE,"CF Mnthly";#N/A,#N/A,TRUE,"CF assum";#N/A,#N/A,TRUE,"Unit Sales";#N/A,#N/A,TRUE,"REV";#N/A,#N/A,TRUE,"Bdgt Backup"}</definedName>
    <definedName name="wrn.Print." localSheetId="3" hidden="1">{#N/A,#N/A,TRUE,"Cover";#N/A,#N/A,TRUE,"Stack";#N/A,#N/A,TRUE,"Cost S";#N/A,#N/A,TRUE,"Financing";#N/A,#N/A,TRUE," CF";#N/A,#N/A,TRUE,"CF Mnthly";#N/A,#N/A,TRUE,"CF assum";#N/A,#N/A,TRUE,"Unit Sales";#N/A,#N/A,TRUE,"REV";#N/A,#N/A,TRUE,"Bdgt Backup"}</definedName>
    <definedName name="wrn.Print." localSheetId="7" hidden="1">{#N/A,#N/A,TRUE,"Cover";#N/A,#N/A,TRUE,"Stack";#N/A,#N/A,TRUE,"Cost S";#N/A,#N/A,TRUE,"Financing";#N/A,#N/A,TRUE," CF";#N/A,#N/A,TRUE,"CF Mnthly";#N/A,#N/A,TRUE,"CF assum";#N/A,#N/A,TRUE,"Unit Sales";#N/A,#N/A,TRUE,"REV";#N/A,#N/A,TRUE,"Bdgt Backup"}</definedName>
    <definedName name="wrn.Print." localSheetId="5" hidden="1">{#N/A,#N/A,TRUE,"Cover";#N/A,#N/A,TRUE,"Stack";#N/A,#N/A,TRUE,"Cost S";#N/A,#N/A,TRUE,"Financing";#N/A,#N/A,TRUE," CF";#N/A,#N/A,TRUE,"CF Mnthly";#N/A,#N/A,TRUE,"CF assum";#N/A,#N/A,TRUE,"Unit Sales";#N/A,#N/A,TRUE,"REV";#N/A,#N/A,TRUE,"Bdgt Backup"}</definedName>
    <definedName name="wrn.Print." localSheetId="9" hidden="1">{#N/A,#N/A,TRUE,"Cover";#N/A,#N/A,TRUE,"Stack";#N/A,#N/A,TRUE,"Cost S";#N/A,#N/A,TRUE,"Financing";#N/A,#N/A,TRUE," CF";#N/A,#N/A,TRUE,"CF Mnthly";#N/A,#N/A,TRUE,"CF assum";#N/A,#N/A,TRUE,"Unit Sales";#N/A,#N/A,TRUE,"REV";#N/A,#N/A,TRUE,"Bdgt Backup"}</definedName>
    <definedName name="wrn.Print." localSheetId="11" hidden="1">{#N/A,#N/A,TRUE,"Cover";#N/A,#N/A,TRUE,"Stack";#N/A,#N/A,TRUE,"Cost S";#N/A,#N/A,TRUE,"Financing";#N/A,#N/A,TRUE," CF";#N/A,#N/A,TRUE,"CF Mnthly";#N/A,#N/A,TRUE,"CF assum";#N/A,#N/A,TRUE,"Unit Sales";#N/A,#N/A,TRUE,"REV";#N/A,#N/A,TRUE,"Bdgt Backup"}</definedName>
    <definedName name="wrn.Print." localSheetId="13" hidden="1">{#N/A,#N/A,TRUE,"Cover";#N/A,#N/A,TRUE,"Stack";#N/A,#N/A,TRUE,"Cost S";#N/A,#N/A,TRUE,"Financing";#N/A,#N/A,TRUE," CF";#N/A,#N/A,TRUE,"CF Mnthly";#N/A,#N/A,TRUE,"CF assum";#N/A,#N/A,TRUE,"Unit Sales";#N/A,#N/A,TRUE,"REV";#N/A,#N/A,TRUE,"Bdgt Backup"}</definedName>
    <definedName name="wrn.Print." localSheetId="8" hidden="1">{#N/A,#N/A,TRUE,"Cover";#N/A,#N/A,TRUE,"Stack";#N/A,#N/A,TRUE,"Cost S";#N/A,#N/A,TRUE,"Financing";#N/A,#N/A,TRUE," CF";#N/A,#N/A,TRUE,"CF Mnthly";#N/A,#N/A,TRUE,"CF assum";#N/A,#N/A,TRUE,"Unit Sales";#N/A,#N/A,TRUE,"REV";#N/A,#N/A,TRUE,"Bdgt Backup"}</definedName>
    <definedName name="wrn.Print." localSheetId="10" hidden="1">{#N/A,#N/A,TRUE,"Cover";#N/A,#N/A,TRUE,"Stack";#N/A,#N/A,TRUE,"Cost S";#N/A,#N/A,TRUE,"Financing";#N/A,#N/A,TRUE," CF";#N/A,#N/A,TRUE,"CF Mnthly";#N/A,#N/A,TRUE,"CF assum";#N/A,#N/A,TRUE,"Unit Sales";#N/A,#N/A,TRUE,"REV";#N/A,#N/A,TRUE,"Bdgt Backup"}</definedName>
    <definedName name="wrn.Print." localSheetId="12" hidden="1">{#N/A,#N/A,TRUE,"Cover";#N/A,#N/A,TRUE,"Stack";#N/A,#N/A,TRUE,"Cost S";#N/A,#N/A,TRUE,"Financing";#N/A,#N/A,TRUE," CF";#N/A,#N/A,TRUE,"CF Mnthly";#N/A,#N/A,TRUE,"CF assum";#N/A,#N/A,TRUE,"Unit Sales";#N/A,#N/A,TRUE,"REV";#N/A,#N/A,TRUE,"Bdgt Backup"}</definedName>
    <definedName name="wrn.Print." localSheetId="4" hidden="1">{#N/A,#N/A,TRUE,"Cover";#N/A,#N/A,TRUE,"Stack";#N/A,#N/A,TRUE,"Cost S";#N/A,#N/A,TRUE,"Financing";#N/A,#N/A,TRUE," CF";#N/A,#N/A,TRUE,"CF Mnthly";#N/A,#N/A,TRUE,"CF assum";#N/A,#N/A,TRUE,"Unit Sales";#N/A,#N/A,TRUE,"REV";#N/A,#N/A,TRUE,"Bdgt Backup"}</definedName>
    <definedName name="wrn.Print." hidden="1">{#N/A,#N/A,TRUE,"Cover";#N/A,#N/A,TRUE,"Stack";#N/A,#N/A,TRUE,"Cost S";#N/A,#N/A,TRUE,"Financing";#N/A,#N/A,TRUE," CF";#N/A,#N/A,TRUE,"CF Mnthly";#N/A,#N/A,TRUE,"CF assum";#N/A,#N/A,TRUE,"Unit Sales";#N/A,#N/A,TRUE,"REV";#N/A,#N/A,TRUE,"Bdgt Backup"}</definedName>
    <definedName name="wrn.Short._.Print." localSheetId="1" hidden="1">{#N/A,#N/A,FALSE,"Cover";#N/A,#N/A,FALSE,"Stack";#N/A,#N/A,FALSE,"Cost S";#N/A,#N/A,FALSE," CF";#N/A,#N/A,FALSE,"Investor"}</definedName>
    <definedName name="wrn.Short._.Print." localSheetId="3" hidden="1">{#N/A,#N/A,FALSE,"Cover";#N/A,#N/A,FALSE,"Stack";#N/A,#N/A,FALSE,"Cost S";#N/A,#N/A,FALSE," CF";#N/A,#N/A,FALSE,"Investor"}</definedName>
    <definedName name="wrn.Short._.Print." localSheetId="7" hidden="1">{#N/A,#N/A,FALSE,"Cover";#N/A,#N/A,FALSE,"Stack";#N/A,#N/A,FALSE,"Cost S";#N/A,#N/A,FALSE," CF";#N/A,#N/A,FALSE,"Investor"}</definedName>
    <definedName name="wrn.Short._.Print." localSheetId="5" hidden="1">{#N/A,#N/A,FALSE,"Cover";#N/A,#N/A,FALSE,"Stack";#N/A,#N/A,FALSE,"Cost S";#N/A,#N/A,FALSE," CF";#N/A,#N/A,FALSE,"Investor"}</definedName>
    <definedName name="wrn.Short._.Print." localSheetId="9" hidden="1">{#N/A,#N/A,FALSE,"Cover";#N/A,#N/A,FALSE,"Stack";#N/A,#N/A,FALSE,"Cost S";#N/A,#N/A,FALSE," CF";#N/A,#N/A,FALSE,"Investor"}</definedName>
    <definedName name="wrn.Short._.Print." localSheetId="11" hidden="1">{#N/A,#N/A,FALSE,"Cover";#N/A,#N/A,FALSE,"Stack";#N/A,#N/A,FALSE,"Cost S";#N/A,#N/A,FALSE," CF";#N/A,#N/A,FALSE,"Investor"}</definedName>
    <definedName name="wrn.Short._.Print." localSheetId="13" hidden="1">{#N/A,#N/A,FALSE,"Cover";#N/A,#N/A,FALSE,"Stack";#N/A,#N/A,FALSE,"Cost S";#N/A,#N/A,FALSE," CF";#N/A,#N/A,FALSE,"Investor"}</definedName>
    <definedName name="wrn.Short._.Print." localSheetId="8" hidden="1">{#N/A,#N/A,FALSE,"Cover";#N/A,#N/A,FALSE,"Stack";#N/A,#N/A,FALSE,"Cost S";#N/A,#N/A,FALSE," CF";#N/A,#N/A,FALSE,"Investor"}</definedName>
    <definedName name="wrn.Short._.Print." localSheetId="10" hidden="1">{#N/A,#N/A,FALSE,"Cover";#N/A,#N/A,FALSE,"Stack";#N/A,#N/A,FALSE,"Cost S";#N/A,#N/A,FALSE," CF";#N/A,#N/A,FALSE,"Investor"}</definedName>
    <definedName name="wrn.Short._.Print." localSheetId="12" hidden="1">{#N/A,#N/A,FALSE,"Cover";#N/A,#N/A,FALSE,"Stack";#N/A,#N/A,FALSE,"Cost S";#N/A,#N/A,FALSE," CF";#N/A,#N/A,FALSE,"Investor"}</definedName>
    <definedName name="wrn.Short._.Print." localSheetId="4" hidden="1">{#N/A,#N/A,FALSE,"Cover";#N/A,#N/A,FALSE,"Stack";#N/A,#N/A,FALSE,"Cost S";#N/A,#N/A,FALSE," CF";#N/A,#N/A,FALSE,"Investor"}</definedName>
    <definedName name="wrn.Short._.Print." hidden="1">{#N/A,#N/A,FALSE,"Cover";#N/A,#N/A,FALSE,"Stack";#N/A,#N/A,FALSE,"Cost S";#N/A,#N/A,FALSE," CF";#N/A,#N/A,FALSE,"Investor"}</definedName>
    <definedName name="wrn.Summary._.results." localSheetId="1" hidden="1">{"key inputs",#N/A,TRUE,"Key Inputs";"key outputs",#N/A,TRUE,"Outputs";"Other inputs",#N/A,TRUE,"Other Inputs";"Revenue",#N/A,TRUE,"Rev"}</definedName>
    <definedName name="wrn.Summary._.results." localSheetId="3" hidden="1">{"key inputs",#N/A,TRUE,"Key Inputs";"key outputs",#N/A,TRUE,"Outputs";"Other inputs",#N/A,TRUE,"Other Inputs";"Revenue",#N/A,TRUE,"Rev"}</definedName>
    <definedName name="wrn.Summary._.results." localSheetId="7" hidden="1">{"key inputs",#N/A,TRUE,"Key Inputs";"key outputs",#N/A,TRUE,"Outputs";"Other inputs",#N/A,TRUE,"Other Inputs";"Revenue",#N/A,TRUE,"Rev"}</definedName>
    <definedName name="wrn.Summary._.results." localSheetId="5" hidden="1">{"key inputs",#N/A,TRUE,"Key Inputs";"key outputs",#N/A,TRUE,"Outputs";"Other inputs",#N/A,TRUE,"Other Inputs";"Revenue",#N/A,TRUE,"Rev"}</definedName>
    <definedName name="wrn.Summary._.results." localSheetId="9" hidden="1">{"key inputs",#N/A,TRUE,"Key Inputs";"key outputs",#N/A,TRUE,"Outputs";"Other inputs",#N/A,TRUE,"Other Inputs";"Revenue",#N/A,TRUE,"Rev"}</definedName>
    <definedName name="wrn.Summary._.results." localSheetId="11" hidden="1">{"key inputs",#N/A,TRUE,"Key Inputs";"key outputs",#N/A,TRUE,"Outputs";"Other inputs",#N/A,TRUE,"Other Inputs";"Revenue",#N/A,TRUE,"Rev"}</definedName>
    <definedName name="wrn.Summary._.results." localSheetId="13" hidden="1">{"key inputs",#N/A,TRUE,"Key Inputs";"key outputs",#N/A,TRUE,"Outputs";"Other inputs",#N/A,TRUE,"Other Inputs";"Revenue",#N/A,TRUE,"Rev"}</definedName>
    <definedName name="wrn.Summary._.results." localSheetId="8" hidden="1">{"key inputs",#N/A,TRUE,"Key Inputs";"key outputs",#N/A,TRUE,"Outputs";"Other inputs",#N/A,TRUE,"Other Inputs";"Revenue",#N/A,TRUE,"Rev"}</definedName>
    <definedName name="wrn.Summary._.results." localSheetId="10" hidden="1">{"key inputs",#N/A,TRUE,"Key Inputs";"key outputs",#N/A,TRUE,"Outputs";"Other inputs",#N/A,TRUE,"Other Inputs";"Revenue",#N/A,TRUE,"Rev"}</definedName>
    <definedName name="wrn.Summary._.results." localSheetId="12" hidden="1">{"key inputs",#N/A,TRUE,"Key Inputs";"key outputs",#N/A,TRUE,"Outputs";"Other inputs",#N/A,TRUE,"Other Inputs";"Revenue",#N/A,TRUE,"Rev"}</definedName>
    <definedName name="wrn.Summary._.results." localSheetId="4" hidden="1">{"key inputs",#N/A,TRUE,"Key Inputs";"key outputs",#N/A,TRUE,"Outputs";"Other inputs",#N/A,TRUE,"Other Inputs";"Revenue",#N/A,TRUE,"Rev"}</definedName>
    <definedName name="wrn.Summary._.results." hidden="1">{"key inputs",#N/A,TRUE,"Key Inputs";"key outputs",#N/A,TRUE,"Outputs";"Other inputs",#N/A,TRUE,"Other Inputs";"Revenue",#N/A,TRUE,"Rev"}</definedName>
    <definedName name="WS" localSheetId="1">#REF!</definedName>
    <definedName name="WS" localSheetId="2">#REF!</definedName>
    <definedName name="WS" localSheetId="3">#REF!</definedName>
    <definedName name="WS" localSheetId="7">#REF!</definedName>
    <definedName name="WS" localSheetId="5">#REF!</definedName>
    <definedName name="WS" localSheetId="9">#REF!</definedName>
    <definedName name="WS" localSheetId="11">#REF!</definedName>
    <definedName name="WS" localSheetId="13">#REF!</definedName>
    <definedName name="WS" localSheetId="10">#REF!</definedName>
    <definedName name="WS" localSheetId="12">#REF!</definedName>
    <definedName name="WS" localSheetId="4">#REF!</definedName>
    <definedName name="WS">#REF!</definedName>
    <definedName name="WS0" localSheetId="1">#REF!</definedName>
    <definedName name="WS0" localSheetId="3">#REF!</definedName>
    <definedName name="WS0" localSheetId="7">#REF!</definedName>
    <definedName name="WS0" localSheetId="5">#REF!</definedName>
    <definedName name="WS0" localSheetId="9">#REF!</definedName>
    <definedName name="WS0" localSheetId="11">#REF!</definedName>
    <definedName name="WS0" localSheetId="13">#REF!</definedName>
    <definedName name="WS0" localSheetId="10">#REF!</definedName>
    <definedName name="WS0" localSheetId="12">#REF!</definedName>
    <definedName name="WS0" localSheetId="4">#REF!</definedName>
    <definedName name="WS0">#REF!</definedName>
    <definedName name="xportrate">148</definedName>
    <definedName name="xxx" localSheetId="1">#REF!</definedName>
    <definedName name="xxx" localSheetId="3">#REF!</definedName>
    <definedName name="xxx" localSheetId="7">#REF!</definedName>
    <definedName name="xxx" localSheetId="5">#REF!</definedName>
    <definedName name="xxx" localSheetId="9">#REF!</definedName>
    <definedName name="xxx" localSheetId="11">#REF!</definedName>
    <definedName name="xxx" localSheetId="13">#REF!</definedName>
    <definedName name="xxx" localSheetId="10">#REF!</definedName>
    <definedName name="xxx" localSheetId="12">#REF!</definedName>
    <definedName name="xxx" localSheetId="4">#REF!</definedName>
    <definedName name="xxx">#REF!</definedName>
    <definedName name="YUOR" localSheetId="6">{#N/A,#N/A,FALSE,"AFR-ELC"}</definedName>
    <definedName name="YUOR" localSheetId="1">{#N/A,#N/A,FALSE,"AFR-ELC"}</definedName>
    <definedName name="YUOR" localSheetId="3">{#N/A,#N/A,FALSE,"AFR-ELC"}</definedName>
    <definedName name="YUOR" localSheetId="7">{#N/A,#N/A,FALSE,"AFR-ELC"}</definedName>
    <definedName name="YUOR" localSheetId="5">{#N/A,#N/A,FALSE,"AFR-ELC"}</definedName>
    <definedName name="YUOR" localSheetId="9">{#N/A,#N/A,FALSE,"AFR-ELC"}</definedName>
    <definedName name="YUOR" localSheetId="11">{#N/A,#N/A,FALSE,"AFR-ELC"}</definedName>
    <definedName name="YUOR" localSheetId="13">{#N/A,#N/A,FALSE,"AFR-ELC"}</definedName>
    <definedName name="YUOR" localSheetId="8">{#N/A,#N/A,FALSE,"AFR-ELC"}</definedName>
    <definedName name="YUOR" localSheetId="10">{#N/A,#N/A,FALSE,"AFR-ELC"}</definedName>
    <definedName name="YUOR" localSheetId="12">{#N/A,#N/A,FALSE,"AFR-ELC"}</definedName>
    <definedName name="YUOR" localSheetId="4">{#N/A,#N/A,FALSE,"AFR-ELC"}</definedName>
    <definedName name="YUOR">{#N/A,#N/A,FALSE,"AFR-ELC"}</definedName>
    <definedName name="Zenith" localSheetId="2" hidden="1">{#N/A,#N/A,FALSE,"Elect B.O.Q";#N/A,#N/A,FALSE,"Plumbing b.O.Q";#N/A,#N/A,FALSE,"Ac B.O.Q"}</definedName>
    <definedName name="Zenith" localSheetId="8" hidden="1">{#N/A,#N/A,FALSE,"Elect B.O.Q";#N/A,#N/A,FALSE,"Plumbing b.O.Q";#N/A,#N/A,FALSE,"Ac B.O.Q"}</definedName>
    <definedName name="Zenith" localSheetId="4" hidden="1">{#N/A,#N/A,FALSE,"Elect B.O.Q";#N/A,#N/A,FALSE,"Plumbing b.O.Q";#N/A,#N/A,FALSE,"Ac B.O.Q"}</definedName>
    <definedName name="Zenith" hidden="1">{#N/A,#N/A,FALSE,"Elect B.O.Q";#N/A,#N/A,FALSE,"Plumbing b.O.Q";#N/A,#N/A,FALSE,"Ac B.O.Q"}</definedName>
    <definedName name="Zinc_roof">[11]Prices!$B$579</definedName>
    <definedName name="ZX">"Best Answer Data - v1.5"</definedName>
    <definedName name="ZXA000" localSheetId="1">#REF!</definedName>
    <definedName name="ZXA000" localSheetId="3">#REF!</definedName>
    <definedName name="ZXA000" localSheetId="7">#REF!</definedName>
    <definedName name="ZXA000" localSheetId="5">#REF!</definedName>
    <definedName name="ZXA000" localSheetId="9">#REF!</definedName>
    <definedName name="ZXA000" localSheetId="11">#REF!</definedName>
    <definedName name="ZXA000" localSheetId="13">#REF!</definedName>
    <definedName name="ZXA000" localSheetId="10">#REF!</definedName>
    <definedName name="ZXA000" localSheetId="12">#REF!</definedName>
    <definedName name="ZXA000" localSheetId="4">#REF!</definedName>
    <definedName name="ZXA000">#REF!</definedName>
    <definedName name="ZXA001" localSheetId="1">#REF!</definedName>
    <definedName name="ZXA001" localSheetId="3">#REF!</definedName>
    <definedName name="ZXA001" localSheetId="7">#REF!</definedName>
    <definedName name="ZXA001" localSheetId="5">#REF!</definedName>
    <definedName name="ZXA001" localSheetId="9">#REF!</definedName>
    <definedName name="ZXA001" localSheetId="11">#REF!</definedName>
    <definedName name="ZXA001" localSheetId="13">#REF!</definedName>
    <definedName name="ZXA001" localSheetId="10">#REF!</definedName>
    <definedName name="ZXA001" localSheetId="12">#REF!</definedName>
    <definedName name="ZXA001" localSheetId="4">#REF!</definedName>
    <definedName name="ZXA001">#REF!</definedName>
    <definedName name="ZXC000" localSheetId="1">#REF!</definedName>
    <definedName name="ZXC000" localSheetId="3">#REF!</definedName>
    <definedName name="ZXC000" localSheetId="7">#REF!</definedName>
    <definedName name="ZXC000" localSheetId="5">#REF!</definedName>
    <definedName name="ZXC000" localSheetId="9">#REF!</definedName>
    <definedName name="ZXC000" localSheetId="11">#REF!</definedName>
    <definedName name="ZXC000" localSheetId="13">#REF!</definedName>
    <definedName name="ZXC000" localSheetId="10">#REF!</definedName>
    <definedName name="ZXC000" localSheetId="12">#REF!</definedName>
    <definedName name="ZXC000" localSheetId="4">#REF!</definedName>
    <definedName name="ZXC000">#REF!</definedName>
    <definedName name="ZXC001" localSheetId="4">#REF!</definedName>
    <definedName name="ZXC001">#REF!</definedName>
    <definedName name="ZXC002" localSheetId="4">#REF!</definedName>
    <definedName name="ZXC002">#REF!</definedName>
    <definedName name="ZXC003" localSheetId="4">#REF!</definedName>
    <definedName name="ZXC003">#REF!</definedName>
    <definedName name="ZXC004" localSheetId="4">#REF!</definedName>
    <definedName name="ZXC004">#REF!</definedName>
    <definedName name="ZXC005" localSheetId="4">#REF!</definedName>
    <definedName name="ZXC005">#REF!</definedName>
    <definedName name="ZXC006" localSheetId="4">#REF!</definedName>
    <definedName name="ZXC006">#REF!</definedName>
    <definedName name="ZXC007" localSheetId="4">#REF!</definedName>
    <definedName name="ZXC007">#REF!</definedName>
    <definedName name="ZXC008" localSheetId="4">#REF!</definedName>
    <definedName name="ZXC008">#REF!</definedName>
    <definedName name="ZXJ000" localSheetId="4">#REF!</definedName>
    <definedName name="ZXJ000">#REF!</definedName>
    <definedName name="ZXJ001" localSheetId="4">#REF!</definedName>
    <definedName name="ZXJ00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4" l="1"/>
  <c r="D21" i="14"/>
  <c r="D18" i="14"/>
  <c r="D15" i="14"/>
  <c r="D12" i="14"/>
  <c r="C342" i="37"/>
  <c r="E264" i="37"/>
  <c r="E219" i="37"/>
  <c r="F219" i="37" s="1"/>
  <c r="E128" i="37"/>
  <c r="F128" i="37" s="1"/>
  <c r="E124" i="37"/>
  <c r="F124" i="37" s="1"/>
  <c r="E232" i="36"/>
  <c r="E191" i="36"/>
  <c r="E189" i="36"/>
  <c r="E126" i="36"/>
  <c r="E124" i="36"/>
  <c r="F433" i="37"/>
  <c r="E456" i="37" s="1"/>
  <c r="F407" i="37"/>
  <c r="E454" i="37" s="1"/>
  <c r="F366" i="37"/>
  <c r="C363" i="37"/>
  <c r="F363" i="37" s="1"/>
  <c r="F359" i="37"/>
  <c r="E343" i="37"/>
  <c r="F342" i="37"/>
  <c r="F343" i="37"/>
  <c r="F337" i="37"/>
  <c r="C315" i="37"/>
  <c r="F315" i="37" s="1"/>
  <c r="C314" i="37"/>
  <c r="F314" i="37" s="1"/>
  <c r="E309" i="37"/>
  <c r="F309" i="37" s="1"/>
  <c r="C305" i="37"/>
  <c r="F305" i="37" s="1"/>
  <c r="F301" i="37"/>
  <c r="F300" i="37"/>
  <c r="C297" i="37"/>
  <c r="F297" i="37" s="1"/>
  <c r="C296" i="37"/>
  <c r="F296" i="37" s="1"/>
  <c r="E292" i="37"/>
  <c r="E310" i="37" s="1"/>
  <c r="F310" i="37" s="1"/>
  <c r="F291" i="37"/>
  <c r="C264" i="37"/>
  <c r="C262" i="37"/>
  <c r="F262" i="37" s="1"/>
  <c r="F246" i="37"/>
  <c r="E240" i="37"/>
  <c r="F240" i="37" s="1"/>
  <c r="C238" i="37"/>
  <c r="F238" i="37" s="1"/>
  <c r="F232" i="37"/>
  <c r="F225" i="37"/>
  <c r="F217" i="37"/>
  <c r="E210" i="37"/>
  <c r="F210" i="37" s="1"/>
  <c r="F208" i="37"/>
  <c r="F192" i="37"/>
  <c r="E184" i="37"/>
  <c r="E186" i="37" s="1"/>
  <c r="F186" i="37" s="1"/>
  <c r="F182" i="37"/>
  <c r="F176" i="37"/>
  <c r="F152" i="37"/>
  <c r="F150" i="37"/>
  <c r="F146" i="37"/>
  <c r="F122" i="37"/>
  <c r="F105" i="37"/>
  <c r="F98" i="37"/>
  <c r="E90" i="37"/>
  <c r="F90" i="37" s="1"/>
  <c r="F88" i="37"/>
  <c r="F82" i="37"/>
  <c r="F80" i="37"/>
  <c r="F55" i="37"/>
  <c r="F49" i="37"/>
  <c r="F43" i="37"/>
  <c r="F41" i="37"/>
  <c r="F40" i="37"/>
  <c r="E37" i="37"/>
  <c r="F37" i="37" s="1"/>
  <c r="F36" i="37"/>
  <c r="E33" i="37"/>
  <c r="F33" i="37" s="1"/>
  <c r="F32" i="37"/>
  <c r="E23" i="37"/>
  <c r="E24" i="37" s="1"/>
  <c r="F24" i="37" s="1"/>
  <c r="F22" i="37"/>
  <c r="F20" i="37"/>
  <c r="F16" i="37"/>
  <c r="F15" i="37"/>
  <c r="E14" i="37"/>
  <c r="F14" i="37" s="1"/>
  <c r="F13" i="37"/>
  <c r="F12" i="37"/>
  <c r="E11" i="37"/>
  <c r="F11" i="37" s="1"/>
  <c r="F10" i="37"/>
  <c r="F9" i="37"/>
  <c r="E221" i="37" l="1"/>
  <c r="F264" i="37"/>
  <c r="F267" i="37" s="1"/>
  <c r="E276" i="37" s="1"/>
  <c r="F137" i="37"/>
  <c r="E442" i="37" s="1"/>
  <c r="F165" i="37"/>
  <c r="E444" i="37" s="1"/>
  <c r="F350" i="37"/>
  <c r="E450" i="37" s="1"/>
  <c r="F58" i="37"/>
  <c r="E65" i="37" s="1"/>
  <c r="F384" i="37"/>
  <c r="E452" i="37" s="1"/>
  <c r="F23" i="37"/>
  <c r="F28" i="37" s="1"/>
  <c r="E63" i="37" s="1"/>
  <c r="E92" i="37"/>
  <c r="F92" i="37" s="1"/>
  <c r="F114" i="37" s="1"/>
  <c r="E440" i="37" s="1"/>
  <c r="F184" i="37"/>
  <c r="F203" i="37" s="1"/>
  <c r="E272" i="37" s="1"/>
  <c r="F292" i="37"/>
  <c r="F328" i="37" s="1"/>
  <c r="E448" i="37" s="1"/>
  <c r="F221" i="37" l="1"/>
  <c r="E223" i="37"/>
  <c r="F223" i="37" s="1"/>
  <c r="F71" i="37"/>
  <c r="E438" i="37" s="1"/>
  <c r="F255" i="37" l="1"/>
  <c r="E274" i="37" s="1"/>
  <c r="F283" i="37" s="1"/>
  <c r="E446" i="37" s="1"/>
  <c r="F472" i="37"/>
  <c r="E486" i="37" s="1"/>
  <c r="F479" i="37" l="1"/>
  <c r="F480" i="37"/>
  <c r="E488" i="37"/>
  <c r="E490" i="37" s="1"/>
  <c r="E492" i="37" l="1"/>
  <c r="E493" i="37" s="1"/>
  <c r="E497" i="37" l="1"/>
  <c r="E495" i="37"/>
  <c r="F397" i="36" l="1"/>
  <c r="E418" i="36" s="1"/>
  <c r="F371" i="36"/>
  <c r="E416" i="36" s="1"/>
  <c r="F330" i="36"/>
  <c r="C327" i="36"/>
  <c r="F327" i="36" s="1"/>
  <c r="F323" i="36"/>
  <c r="F305" i="36"/>
  <c r="C283" i="36"/>
  <c r="F283" i="36" s="1"/>
  <c r="C282" i="36"/>
  <c r="F282" i="36" s="1"/>
  <c r="E277" i="36"/>
  <c r="F277" i="36" s="1"/>
  <c r="C273" i="36"/>
  <c r="F273" i="36" s="1"/>
  <c r="F269" i="36"/>
  <c r="F268" i="36"/>
  <c r="C265" i="36"/>
  <c r="F265" i="36" s="1"/>
  <c r="C264" i="36"/>
  <c r="F264" i="36" s="1"/>
  <c r="E260" i="36"/>
  <c r="E278" i="36" s="1"/>
  <c r="F278" i="36" s="1"/>
  <c r="F259" i="36"/>
  <c r="C232" i="36"/>
  <c r="F232" i="36" s="1"/>
  <c r="C230" i="36"/>
  <c r="F230" i="36" s="1"/>
  <c r="F235" i="36" s="1"/>
  <c r="E244" i="36" s="1"/>
  <c r="F214" i="36"/>
  <c r="E208" i="36"/>
  <c r="F208" i="36" s="1"/>
  <c r="C206" i="36"/>
  <c r="F206" i="36" s="1"/>
  <c r="F200" i="36"/>
  <c r="F193" i="36"/>
  <c r="F191" i="36"/>
  <c r="F189" i="36"/>
  <c r="F187" i="36"/>
  <c r="F185" i="36"/>
  <c r="E178" i="36"/>
  <c r="F178" i="36" s="1"/>
  <c r="F176" i="36"/>
  <c r="F160" i="36"/>
  <c r="E152" i="36"/>
  <c r="E154" i="36" s="1"/>
  <c r="F154" i="36" s="1"/>
  <c r="F150" i="36"/>
  <c r="F144" i="36"/>
  <c r="F126" i="36"/>
  <c r="F124" i="36"/>
  <c r="F105" i="36"/>
  <c r="F98" i="36"/>
  <c r="E90" i="36"/>
  <c r="E92" i="36" s="1"/>
  <c r="F92" i="36" s="1"/>
  <c r="F88" i="36"/>
  <c r="F82" i="36"/>
  <c r="F80" i="36"/>
  <c r="F55" i="36"/>
  <c r="F49" i="36"/>
  <c r="F43" i="36"/>
  <c r="F41" i="36"/>
  <c r="F40" i="36"/>
  <c r="E37" i="36"/>
  <c r="F37" i="36" s="1"/>
  <c r="F36" i="36"/>
  <c r="E33" i="36"/>
  <c r="F33" i="36" s="1"/>
  <c r="F32" i="36"/>
  <c r="E23" i="36"/>
  <c r="F23" i="36" s="1"/>
  <c r="F22" i="36"/>
  <c r="F20" i="36"/>
  <c r="F16" i="36"/>
  <c r="F15" i="36"/>
  <c r="E14" i="36"/>
  <c r="F14" i="36" s="1"/>
  <c r="F13" i="36"/>
  <c r="F12" i="36"/>
  <c r="E11" i="36"/>
  <c r="F11" i="36" s="1"/>
  <c r="F10" i="36"/>
  <c r="F9" i="36"/>
  <c r="F133" i="36" l="1"/>
  <c r="E406" i="36" s="1"/>
  <c r="F223" i="36"/>
  <c r="E242" i="36" s="1"/>
  <c r="F58" i="36"/>
  <c r="E65" i="36" s="1"/>
  <c r="F348" i="36"/>
  <c r="E414" i="36" s="1"/>
  <c r="E24" i="36"/>
  <c r="F24" i="36" s="1"/>
  <c r="F28" i="36" s="1"/>
  <c r="E63" i="36" s="1"/>
  <c r="F90" i="36"/>
  <c r="F114" i="36" s="1"/>
  <c r="E404" i="36" s="1"/>
  <c r="F152" i="36"/>
  <c r="F171" i="36" s="1"/>
  <c r="E240" i="36" s="1"/>
  <c r="F260" i="36"/>
  <c r="F296" i="36" s="1"/>
  <c r="E410" i="36" s="1"/>
  <c r="F314" i="36" l="1"/>
  <c r="E412" i="36" s="1"/>
  <c r="F251" i="36"/>
  <c r="E408" i="36" s="1"/>
  <c r="F71" i="36"/>
  <c r="E402" i="36" s="1"/>
  <c r="F434" i="36" l="1"/>
  <c r="E448" i="36" s="1"/>
  <c r="F441" i="36" l="1"/>
  <c r="F442" i="36"/>
  <c r="E450" i="36"/>
  <c r="E452" i="36" s="1"/>
  <c r="E454" i="36" l="1"/>
  <c r="E455" i="36" s="1"/>
  <c r="E459" i="36" l="1"/>
  <c r="E457" i="36"/>
  <c r="E40" i="35" l="1"/>
  <c r="E531" i="34"/>
  <c r="C243" i="34"/>
  <c r="F243" i="34"/>
  <c r="C429" i="35"/>
  <c r="C309" i="35"/>
  <c r="F276" i="35"/>
  <c r="E270" i="35"/>
  <c r="E272" i="35" s="1"/>
  <c r="F268" i="35"/>
  <c r="E263" i="35"/>
  <c r="F263" i="35" s="1"/>
  <c r="C244" i="35"/>
  <c r="F244" i="35" s="1"/>
  <c r="C236" i="35"/>
  <c r="E202" i="35"/>
  <c r="E200" i="35"/>
  <c r="F202" i="35"/>
  <c r="F200" i="35"/>
  <c r="E143" i="35"/>
  <c r="E138" i="35"/>
  <c r="E136" i="35"/>
  <c r="E134" i="35"/>
  <c r="E132" i="35"/>
  <c r="E130" i="35"/>
  <c r="F143" i="35"/>
  <c r="F138" i="35"/>
  <c r="F136" i="35"/>
  <c r="F134" i="35"/>
  <c r="C106" i="35"/>
  <c r="C104" i="35"/>
  <c r="E104" i="35"/>
  <c r="F102" i="35"/>
  <c r="E47" i="35"/>
  <c r="F47" i="35" s="1"/>
  <c r="F45" i="35"/>
  <c r="F40" i="35"/>
  <c r="E38" i="35"/>
  <c r="E42" i="35" s="1"/>
  <c r="F42" i="35" s="1"/>
  <c r="F36" i="35"/>
  <c r="F503" i="35"/>
  <c r="E528" i="35" s="1"/>
  <c r="F477" i="35"/>
  <c r="E526" i="35" s="1"/>
  <c r="E416" i="35"/>
  <c r="C416" i="35"/>
  <c r="C415" i="35"/>
  <c r="F415" i="35" s="1"/>
  <c r="E411" i="35"/>
  <c r="F411" i="35" s="1"/>
  <c r="E407" i="35"/>
  <c r="C406" i="35"/>
  <c r="F400" i="35"/>
  <c r="F399" i="35"/>
  <c r="F396" i="35"/>
  <c r="E378" i="35"/>
  <c r="E374" i="35"/>
  <c r="C374" i="35"/>
  <c r="C379" i="35" s="1"/>
  <c r="F368" i="35"/>
  <c r="F365" i="35"/>
  <c r="E360" i="35"/>
  <c r="E361" i="35" s="1"/>
  <c r="F361" i="35" s="1"/>
  <c r="C360" i="35"/>
  <c r="E355" i="35"/>
  <c r="E379" i="35" s="1"/>
  <c r="C355" i="35"/>
  <c r="E351" i="35"/>
  <c r="C351" i="35"/>
  <c r="E345" i="35"/>
  <c r="F345" i="35" s="1"/>
  <c r="C344" i="35"/>
  <c r="C319" i="35"/>
  <c r="F319" i="35" s="1"/>
  <c r="F313" i="35"/>
  <c r="F311" i="35"/>
  <c r="F309" i="35"/>
  <c r="F295" i="35"/>
  <c r="C289" i="35"/>
  <c r="F289" i="35" s="1"/>
  <c r="H288" i="35" s="1"/>
  <c r="F283" i="35"/>
  <c r="F261" i="35"/>
  <c r="E236" i="35"/>
  <c r="E238" i="35" s="1"/>
  <c r="F234" i="35"/>
  <c r="E224" i="35"/>
  <c r="F224" i="35" s="1"/>
  <c r="F222" i="35"/>
  <c r="F183" i="35"/>
  <c r="E175" i="35"/>
  <c r="F173" i="35"/>
  <c r="F167" i="35"/>
  <c r="F161" i="35"/>
  <c r="F159" i="35"/>
  <c r="F132" i="35"/>
  <c r="F130" i="35"/>
  <c r="F112" i="35"/>
  <c r="E96" i="35"/>
  <c r="F96" i="35" s="1"/>
  <c r="F94" i="35"/>
  <c r="F87" i="35"/>
  <c r="F65" i="35"/>
  <c r="F58" i="35"/>
  <c r="F52" i="35"/>
  <c r="F49" i="35"/>
  <c r="E33" i="35"/>
  <c r="F33" i="35" s="1"/>
  <c r="F32" i="35"/>
  <c r="E23" i="35"/>
  <c r="F23" i="35" s="1"/>
  <c r="F22" i="35"/>
  <c r="F20" i="35"/>
  <c r="F16" i="35"/>
  <c r="C15" i="35"/>
  <c r="F15" i="35" s="1"/>
  <c r="E14" i="35"/>
  <c r="C14" i="35"/>
  <c r="C13" i="35" s="1"/>
  <c r="F13" i="35" s="1"/>
  <c r="F12" i="35"/>
  <c r="E11" i="35"/>
  <c r="F11" i="35" s="1"/>
  <c r="F10" i="35"/>
  <c r="F9" i="35"/>
  <c r="F270" i="35" l="1"/>
  <c r="E274" i="35"/>
  <c r="F274" i="35" s="1"/>
  <c r="F272" i="35"/>
  <c r="F104" i="35"/>
  <c r="E106" i="35"/>
  <c r="F106" i="35" s="1"/>
  <c r="F150" i="35"/>
  <c r="E512" i="35" s="1"/>
  <c r="F374" i="35"/>
  <c r="F211" i="35"/>
  <c r="E516" i="35" s="1"/>
  <c r="E226" i="35"/>
  <c r="F226" i="35" s="1"/>
  <c r="F38" i="35"/>
  <c r="F68" i="35" s="1"/>
  <c r="E75" i="35" s="1"/>
  <c r="F238" i="35"/>
  <c r="F351" i="35"/>
  <c r="F355" i="35"/>
  <c r="F401" i="35"/>
  <c r="F416" i="35"/>
  <c r="F14" i="35"/>
  <c r="E177" i="35"/>
  <c r="F177" i="35" s="1"/>
  <c r="F175" i="35"/>
  <c r="F322" i="35"/>
  <c r="E331" i="35" s="1"/>
  <c r="C373" i="35"/>
  <c r="F373" i="35" s="1"/>
  <c r="C378" i="35"/>
  <c r="F378" i="35" s="1"/>
  <c r="F360" i="35"/>
  <c r="F406" i="35"/>
  <c r="E24" i="35"/>
  <c r="F24" i="35" s="1"/>
  <c r="F236" i="35"/>
  <c r="C354" i="35"/>
  <c r="F354" i="35" s="1"/>
  <c r="F344" i="35"/>
  <c r="C350" i="35"/>
  <c r="F350" i="35" s="1"/>
  <c r="F379" i="35"/>
  <c r="E412" i="35"/>
  <c r="F412" i="35" s="1"/>
  <c r="C402" i="35"/>
  <c r="F402" i="35" s="1"/>
  <c r="F302" i="35" l="1"/>
  <c r="E329" i="35" s="1"/>
  <c r="F121" i="35"/>
  <c r="F192" i="35"/>
  <c r="E514" i="35" s="1"/>
  <c r="E510" i="35"/>
  <c r="E228" i="35"/>
  <c r="F228" i="35" s="1"/>
  <c r="F255" i="35" s="1"/>
  <c r="E327" i="35" s="1"/>
  <c r="C407" i="35"/>
  <c r="F407" i="35" s="1"/>
  <c r="F419" i="35" s="1"/>
  <c r="E522" i="35" s="1"/>
  <c r="F28" i="35"/>
  <c r="E73" i="35" s="1"/>
  <c r="F78" i="35" s="1"/>
  <c r="E508" i="35" s="1"/>
  <c r="F387" i="35"/>
  <c r="E520" i="35" s="1"/>
  <c r="F429" i="35"/>
  <c r="C436" i="35"/>
  <c r="F436" i="35" s="1"/>
  <c r="C433" i="35"/>
  <c r="F433" i="35" s="1"/>
  <c r="F336" i="35" l="1"/>
  <c r="E518" i="35" s="1"/>
  <c r="F454" i="35"/>
  <c r="E524" i="35" s="1"/>
  <c r="F544" i="35" l="1"/>
  <c r="E558" i="35" s="1"/>
  <c r="F551" i="35" l="1"/>
  <c r="F552" i="35"/>
  <c r="E560" i="35"/>
  <c r="E562" i="35" s="1"/>
  <c r="E564" i="35" l="1"/>
  <c r="E565" i="35" s="1"/>
  <c r="E569" i="35" l="1"/>
  <c r="E567" i="35"/>
  <c r="C531" i="34" l="1"/>
  <c r="C544" i="34" s="1"/>
  <c r="C527" i="34"/>
  <c r="C525" i="34"/>
  <c r="C453" i="34"/>
  <c r="E415" i="34"/>
  <c r="F415" i="34" s="1"/>
  <c r="E413" i="34"/>
  <c r="F413" i="34" s="1"/>
  <c r="E411" i="34"/>
  <c r="C387" i="34"/>
  <c r="C381" i="34"/>
  <c r="C379" i="34"/>
  <c r="E343" i="34"/>
  <c r="F343" i="34" s="1"/>
  <c r="E341" i="34"/>
  <c r="F341" i="34" s="1"/>
  <c r="E339" i="34"/>
  <c r="F339" i="34" s="1"/>
  <c r="E337" i="34"/>
  <c r="F337" i="34" s="1"/>
  <c r="E335" i="34"/>
  <c r="F335" i="34" s="1"/>
  <c r="E333" i="34"/>
  <c r="F333" i="34" s="1"/>
  <c r="E331" i="34"/>
  <c r="F331" i="34" s="1"/>
  <c r="E329" i="34"/>
  <c r="F329" i="34" s="1"/>
  <c r="E327" i="34"/>
  <c r="E348" i="34"/>
  <c r="F348" i="34" s="1"/>
  <c r="C221" i="34"/>
  <c r="C247" i="34" s="1"/>
  <c r="C181" i="34"/>
  <c r="C165" i="34"/>
  <c r="C141" i="34"/>
  <c r="C227" i="34" l="1"/>
  <c r="E131" i="34"/>
  <c r="F44" i="34"/>
  <c r="C15" i="34"/>
  <c r="F15" i="34" s="1"/>
  <c r="F611" i="34"/>
  <c r="E640" i="34" s="1"/>
  <c r="F594" i="34"/>
  <c r="E638" i="34" s="1"/>
  <c r="C523" i="34"/>
  <c r="E522" i="34"/>
  <c r="E521" i="34"/>
  <c r="C521" i="34"/>
  <c r="F520" i="34"/>
  <c r="F518" i="34"/>
  <c r="C490" i="34"/>
  <c r="F490" i="34" s="1"/>
  <c r="E489" i="34"/>
  <c r="C485" i="34"/>
  <c r="E484" i="34"/>
  <c r="C474" i="34"/>
  <c r="C489" i="34" s="1"/>
  <c r="C470" i="34"/>
  <c r="F470" i="34" s="1"/>
  <c r="E467" i="34"/>
  <c r="F467" i="34" s="1"/>
  <c r="E463" i="34"/>
  <c r="C459" i="34"/>
  <c r="C463" i="34" s="1"/>
  <c r="E453" i="34"/>
  <c r="E454" i="34" s="1"/>
  <c r="E476" i="34" s="1"/>
  <c r="F476" i="34" s="1"/>
  <c r="F439" i="34"/>
  <c r="F435" i="34"/>
  <c r="F411" i="34"/>
  <c r="F428" i="34" s="1"/>
  <c r="E628" i="34" s="1"/>
  <c r="F367" i="34"/>
  <c r="E365" i="34"/>
  <c r="F365" i="34" s="1"/>
  <c r="F327" i="34"/>
  <c r="F356" i="34" s="1"/>
  <c r="E624" i="34" s="1"/>
  <c r="P301" i="34"/>
  <c r="F277" i="34"/>
  <c r="E229" i="34"/>
  <c r="F229" i="34" s="1"/>
  <c r="F247" i="34"/>
  <c r="F250" i="34" s="1"/>
  <c r="E259" i="34" s="1"/>
  <c r="F221" i="34"/>
  <c r="F216" i="34"/>
  <c r="F214" i="34"/>
  <c r="E208" i="34"/>
  <c r="E210" i="34" s="1"/>
  <c r="E212" i="34" s="1"/>
  <c r="F212" i="34" s="1"/>
  <c r="F206" i="34"/>
  <c r="N200" i="34"/>
  <c r="E200" i="34"/>
  <c r="F200" i="34" s="1"/>
  <c r="N198" i="34"/>
  <c r="E198" i="34"/>
  <c r="F198" i="34" s="1"/>
  <c r="F196" i="34"/>
  <c r="I164" i="34"/>
  <c r="J164" i="34" s="1"/>
  <c r="E141" i="34"/>
  <c r="E181" i="34" s="1"/>
  <c r="F83" i="34"/>
  <c r="F78" i="34"/>
  <c r="F72" i="34"/>
  <c r="E56" i="34"/>
  <c r="F56" i="34" s="1"/>
  <c r="F54" i="34"/>
  <c r="F50" i="34"/>
  <c r="E42" i="34"/>
  <c r="F40" i="34"/>
  <c r="E34" i="34"/>
  <c r="E36" i="34" s="1"/>
  <c r="E121" i="34" s="1"/>
  <c r="E22" i="34"/>
  <c r="F22" i="34" s="1"/>
  <c r="F21" i="34"/>
  <c r="F19" i="34"/>
  <c r="F16" i="34"/>
  <c r="C13" i="34"/>
  <c r="F13" i="34" s="1"/>
  <c r="F12" i="34"/>
  <c r="E11" i="34"/>
  <c r="F11" i="34" s="1"/>
  <c r="F10" i="34"/>
  <c r="F9" i="34"/>
  <c r="C532" i="34" l="1"/>
  <c r="E523" i="34"/>
  <c r="E524" i="34"/>
  <c r="E526" i="34" s="1"/>
  <c r="C458" i="34"/>
  <c r="C462" i="34" s="1"/>
  <c r="F462" i="34" s="1"/>
  <c r="E284" i="34"/>
  <c r="F284" i="34" s="1"/>
  <c r="E123" i="34"/>
  <c r="F123" i="34" s="1"/>
  <c r="F131" i="34"/>
  <c r="E173" i="34"/>
  <c r="F173" i="34" s="1"/>
  <c r="F459" i="34"/>
  <c r="F466" i="34"/>
  <c r="F521" i="34"/>
  <c r="F523" i="34"/>
  <c r="F208" i="34"/>
  <c r="F227" i="34"/>
  <c r="F181" i="34"/>
  <c r="E298" i="34"/>
  <c r="F298" i="34" s="1"/>
  <c r="E474" i="34"/>
  <c r="F34" i="34"/>
  <c r="F141" i="34"/>
  <c r="F444" i="34"/>
  <c r="E630" i="34" s="1"/>
  <c r="F463" i="34"/>
  <c r="F522" i="34"/>
  <c r="C14" i="34"/>
  <c r="F88" i="34"/>
  <c r="E98" i="34" s="1"/>
  <c r="F14" i="34"/>
  <c r="F30" i="34" s="1"/>
  <c r="E94" i="34" s="1"/>
  <c r="F453" i="34"/>
  <c r="F489" i="34"/>
  <c r="F36" i="34"/>
  <c r="E129" i="34"/>
  <c r="F42" i="34"/>
  <c r="F121" i="34"/>
  <c r="E165" i="34"/>
  <c r="F165" i="34" s="1"/>
  <c r="F210" i="34"/>
  <c r="E46" i="34"/>
  <c r="F454" i="34"/>
  <c r="E485" i="34"/>
  <c r="F485" i="34" s="1"/>
  <c r="F532" i="34"/>
  <c r="F544" i="34"/>
  <c r="C552" i="34"/>
  <c r="F552" i="34" s="1"/>
  <c r="C549" i="34"/>
  <c r="F549" i="34" s="1"/>
  <c r="F531" i="34"/>
  <c r="C484" i="34"/>
  <c r="F484" i="34" s="1"/>
  <c r="E527" i="34" l="1"/>
  <c r="F527" i="34" s="1"/>
  <c r="F526" i="34"/>
  <c r="E525" i="34"/>
  <c r="F525" i="34" s="1"/>
  <c r="F524" i="34"/>
  <c r="F458" i="34"/>
  <c r="E373" i="34"/>
  <c r="F373" i="34" s="1"/>
  <c r="F46" i="34"/>
  <c r="F67" i="34" s="1"/>
  <c r="E96" i="34" s="1"/>
  <c r="F110" i="34" s="1"/>
  <c r="E615" i="34" s="1"/>
  <c r="E133" i="34"/>
  <c r="F133" i="34" s="1"/>
  <c r="F238" i="34"/>
  <c r="E257" i="34" s="1"/>
  <c r="F492" i="34"/>
  <c r="E498" i="34" s="1"/>
  <c r="E387" i="34"/>
  <c r="F387" i="34" s="1"/>
  <c r="F474" i="34"/>
  <c r="E475" i="34"/>
  <c r="F475" i="34" s="1"/>
  <c r="F576" i="34"/>
  <c r="E636" i="34" s="1"/>
  <c r="E135" i="34"/>
  <c r="F135" i="34" s="1"/>
  <c r="E171" i="34"/>
  <c r="F129" i="34"/>
  <c r="F535" i="34" l="1"/>
  <c r="E634" i="34" s="1"/>
  <c r="F154" i="34"/>
  <c r="E617" i="34" s="1"/>
  <c r="F479" i="34"/>
  <c r="E496" i="34" s="1"/>
  <c r="F511" i="34" s="1"/>
  <c r="E632" i="34" s="1"/>
  <c r="F171" i="34"/>
  <c r="E290" i="34"/>
  <c r="E175" i="34"/>
  <c r="F175" i="34" s="1"/>
  <c r="F191" i="34" l="1"/>
  <c r="E255" i="34" s="1"/>
  <c r="F268" i="34" s="1"/>
  <c r="E620" i="34" s="1"/>
  <c r="F290" i="34"/>
  <c r="E292" i="34"/>
  <c r="F292" i="34" s="1"/>
  <c r="E379" i="34"/>
  <c r="F316" i="34" l="1"/>
  <c r="E622" i="34" s="1"/>
  <c r="F379" i="34"/>
  <c r="E381" i="34"/>
  <c r="F381" i="34" s="1"/>
  <c r="F403" i="34" l="1"/>
  <c r="E626" i="34" s="1"/>
  <c r="F643" i="34" s="1"/>
  <c r="F644" i="34" l="1"/>
  <c r="F645" i="34" s="1"/>
  <c r="F646" i="34" l="1"/>
  <c r="F647" i="34" s="1"/>
  <c r="H647" i="34" l="1"/>
  <c r="E651" i="34"/>
  <c r="E652" i="34" l="1"/>
  <c r="E653" i="34"/>
  <c r="E654" i="34" s="1"/>
  <c r="E634" i="25"/>
  <c r="E631" i="25"/>
  <c r="E629" i="25"/>
  <c r="E576" i="25"/>
  <c r="E574" i="25"/>
  <c r="E572" i="25"/>
  <c r="E569" i="25"/>
  <c r="E567" i="25"/>
  <c r="E565" i="25"/>
  <c r="E563" i="25"/>
  <c r="E561" i="25"/>
  <c r="E559" i="25"/>
  <c r="E557" i="25"/>
  <c r="E555" i="25"/>
  <c r="E553" i="25"/>
  <c r="E551" i="25"/>
  <c r="E549" i="25"/>
  <c r="E547" i="25"/>
  <c r="E545" i="25"/>
  <c r="E543" i="25"/>
  <c r="E541" i="25"/>
  <c r="E539" i="25"/>
  <c r="E537" i="25"/>
  <c r="E535" i="25"/>
  <c r="E533" i="25"/>
  <c r="E531" i="25"/>
  <c r="E529" i="25"/>
  <c r="E527" i="25"/>
  <c r="E525" i="25"/>
  <c r="E523" i="25"/>
  <c r="C165" i="25"/>
  <c r="C798" i="25"/>
  <c r="C756" i="25"/>
  <c r="C754" i="25"/>
  <c r="C752" i="25"/>
  <c r="C702" i="25" l="1"/>
  <c r="C698" i="25"/>
  <c r="C681" i="25"/>
  <c r="C569" i="25"/>
  <c r="F569" i="25" s="1"/>
  <c r="F545" i="25"/>
  <c r="F576" i="25"/>
  <c r="C567" i="25"/>
  <c r="F567" i="25" s="1"/>
  <c r="C565" i="25"/>
  <c r="F565" i="25" s="1"/>
  <c r="C563" i="25"/>
  <c r="F563" i="25" s="1"/>
  <c r="C561" i="25"/>
  <c r="F561" i="25" s="1"/>
  <c r="C559" i="25"/>
  <c r="F559" i="25" s="1"/>
  <c r="C557" i="25"/>
  <c r="F557" i="25" s="1"/>
  <c r="F543" i="25"/>
  <c r="F541" i="25"/>
  <c r="F539" i="25"/>
  <c r="F537" i="25"/>
  <c r="F535" i="25"/>
  <c r="F533" i="25"/>
  <c r="C363" i="25"/>
  <c r="C370" i="25"/>
  <c r="C417" i="25" s="1"/>
  <c r="C349" i="25"/>
  <c r="C268" i="25"/>
  <c r="C180" i="25"/>
  <c r="C178" i="25"/>
  <c r="C172" i="25"/>
  <c r="C146" i="25"/>
  <c r="C138" i="25"/>
  <c r="C132" i="25"/>
  <c r="C134" i="25"/>
  <c r="C122" i="25" l="1"/>
  <c r="E50" i="25"/>
  <c r="C13" i="25"/>
  <c r="C37" i="25"/>
  <c r="C16" i="25"/>
  <c r="E270" i="25" l="1"/>
  <c r="E687" i="25"/>
  <c r="E771" i="25"/>
  <c r="E120" i="25"/>
  <c r="E24" i="14" l="1"/>
  <c r="E30" i="14" l="1"/>
  <c r="I8" i="25" l="1"/>
  <c r="F9" i="25"/>
  <c r="I9" i="25"/>
  <c r="F10" i="25"/>
  <c r="I10" i="25"/>
  <c r="E11" i="25"/>
  <c r="F11" i="25" s="1"/>
  <c r="I11" i="25"/>
  <c r="E12" i="25"/>
  <c r="F12" i="25" s="1"/>
  <c r="E13" i="25"/>
  <c r="F13" i="25" s="1"/>
  <c r="F14" i="25"/>
  <c r="F15" i="25"/>
  <c r="F16" i="25"/>
  <c r="F17" i="25"/>
  <c r="E18" i="25"/>
  <c r="F18" i="25" s="1"/>
  <c r="F21" i="25"/>
  <c r="F36" i="25"/>
  <c r="E37" i="25"/>
  <c r="F37" i="25" s="1"/>
  <c r="F42" i="25"/>
  <c r="E43" i="25"/>
  <c r="F43" i="25" s="1"/>
  <c r="F49" i="25"/>
  <c r="F56" i="25"/>
  <c r="E57" i="25"/>
  <c r="F57" i="25" s="1"/>
  <c r="F60" i="25"/>
  <c r="F64" i="25"/>
  <c r="F78" i="25"/>
  <c r="F83" i="25"/>
  <c r="F86" i="25"/>
  <c r="E87" i="25"/>
  <c r="E122" i="25"/>
  <c r="E130" i="25"/>
  <c r="F130" i="25" s="1"/>
  <c r="E146" i="25"/>
  <c r="F146" i="25" s="1"/>
  <c r="E210" i="25"/>
  <c r="F210" i="25" s="1"/>
  <c r="F223" i="25"/>
  <c r="F252" i="25"/>
  <c r="E254" i="25"/>
  <c r="F254" i="25" s="1"/>
  <c r="E256" i="25"/>
  <c r="F256" i="25" s="1"/>
  <c r="E258" i="25"/>
  <c r="F258" i="25" s="1"/>
  <c r="C264" i="25"/>
  <c r="F264" i="25" s="1"/>
  <c r="C266" i="25"/>
  <c r="F266" i="25" s="1"/>
  <c r="F268" i="25"/>
  <c r="F270" i="25"/>
  <c r="C276" i="25"/>
  <c r="F276" i="25" s="1"/>
  <c r="C278" i="25"/>
  <c r="E278" i="25"/>
  <c r="C280" i="25"/>
  <c r="C301" i="25" s="1"/>
  <c r="C297" i="25"/>
  <c r="F297" i="25" s="1"/>
  <c r="C299" i="25"/>
  <c r="C309" i="25" s="1"/>
  <c r="E299" i="25"/>
  <c r="E309" i="25"/>
  <c r="E311" i="25" s="1"/>
  <c r="F386" i="25"/>
  <c r="F395" i="25"/>
  <c r="F397" i="25"/>
  <c r="E399" i="25"/>
  <c r="F399" i="25" s="1"/>
  <c r="F403" i="25"/>
  <c r="F409" i="25"/>
  <c r="C415" i="25"/>
  <c r="C448" i="25" s="1"/>
  <c r="F448" i="25" s="1"/>
  <c r="E415" i="25"/>
  <c r="F423" i="25"/>
  <c r="F433" i="25"/>
  <c r="E435" i="25"/>
  <c r="F435" i="25" s="1"/>
  <c r="F437" i="25"/>
  <c r="C441" i="25"/>
  <c r="F441" i="25" s="1"/>
  <c r="F443" i="25"/>
  <c r="E450" i="25"/>
  <c r="F450" i="25" s="1"/>
  <c r="E479" i="25"/>
  <c r="F481" i="25"/>
  <c r="F484" i="25"/>
  <c r="E489" i="25"/>
  <c r="F523" i="25"/>
  <c r="F525" i="25"/>
  <c r="F527" i="25"/>
  <c r="F529" i="25"/>
  <c r="F531" i="25"/>
  <c r="C547" i="25"/>
  <c r="F547" i="25" s="1"/>
  <c r="C549" i="25"/>
  <c r="F549" i="25" s="1"/>
  <c r="C551" i="25"/>
  <c r="F551" i="25" s="1"/>
  <c r="C553" i="25"/>
  <c r="F553" i="25" s="1"/>
  <c r="C555" i="25"/>
  <c r="F555" i="25" s="1"/>
  <c r="F572" i="25"/>
  <c r="F574" i="25"/>
  <c r="E590" i="25"/>
  <c r="F590" i="25" s="1"/>
  <c r="F629" i="25"/>
  <c r="F631" i="25"/>
  <c r="F634" i="25"/>
  <c r="F653" i="25"/>
  <c r="F657" i="25"/>
  <c r="F658" i="25"/>
  <c r="F661" i="25"/>
  <c r="F662" i="25"/>
  <c r="F667" i="25"/>
  <c r="E681" i="25"/>
  <c r="F681" i="25" s="1"/>
  <c r="E686" i="25"/>
  <c r="C687" i="25"/>
  <c r="F687" i="25" s="1"/>
  <c r="E690" i="25"/>
  <c r="E691" i="25" s="1"/>
  <c r="C691" i="25"/>
  <c r="E695" i="25"/>
  <c r="F694" i="25" s="1"/>
  <c r="C686" i="25"/>
  <c r="E698" i="25"/>
  <c r="C719" i="25"/>
  <c r="F713" i="25"/>
  <c r="F716" i="25"/>
  <c r="E719" i="25"/>
  <c r="C720" i="25"/>
  <c r="F720" i="25" s="1"/>
  <c r="E721" i="25"/>
  <c r="F721" i="25" s="1"/>
  <c r="E722" i="25"/>
  <c r="F722" i="25" s="1"/>
  <c r="E726" i="25"/>
  <c r="F728" i="25"/>
  <c r="F730" i="25"/>
  <c r="F750" i="25"/>
  <c r="F752" i="25"/>
  <c r="C753" i="25"/>
  <c r="E753" i="25"/>
  <c r="F754" i="25"/>
  <c r="C755" i="25"/>
  <c r="E755" i="25"/>
  <c r="E756" i="25"/>
  <c r="F756" i="25" s="1"/>
  <c r="C757" i="25"/>
  <c r="E759" i="25"/>
  <c r="F759" i="25" s="1"/>
  <c r="C760" i="25"/>
  <c r="C763" i="25"/>
  <c r="F763" i="25" s="1"/>
  <c r="E764" i="25"/>
  <c r="F770" i="25"/>
  <c r="C771" i="25"/>
  <c r="F771" i="25" s="1"/>
  <c r="C774" i="25"/>
  <c r="C794" i="25" s="1"/>
  <c r="E774" i="25"/>
  <c r="E775" i="25" s="1"/>
  <c r="F798" i="25"/>
  <c r="F845" i="25"/>
  <c r="E906" i="25" s="1"/>
  <c r="F875" i="25"/>
  <c r="E908" i="25" s="1"/>
  <c r="F644" i="25" l="1"/>
  <c r="C727" i="25"/>
  <c r="F727" i="25" s="1"/>
  <c r="F299" i="25"/>
  <c r="F755" i="25"/>
  <c r="C775" i="25"/>
  <c r="F775" i="25" s="1"/>
  <c r="E757" i="25"/>
  <c r="F757" i="25" s="1"/>
  <c r="F753" i="25"/>
  <c r="F698" i="25"/>
  <c r="E301" i="25"/>
  <c r="C726" i="25"/>
  <c r="F726" i="25" s="1"/>
  <c r="F719" i="25"/>
  <c r="E401" i="25"/>
  <c r="F401" i="25" s="1"/>
  <c r="F87" i="25"/>
  <c r="F90" i="25" s="1"/>
  <c r="E98" i="25" s="1"/>
  <c r="C690" i="25"/>
  <c r="F690" i="25" s="1"/>
  <c r="F686" i="25"/>
  <c r="F695" i="25"/>
  <c r="F691" i="25"/>
  <c r="F578" i="25"/>
  <c r="E892" i="25" s="1"/>
  <c r="C764" i="25"/>
  <c r="F764" i="25" s="1"/>
  <c r="E801" i="25"/>
  <c r="F774" i="25"/>
  <c r="E682" i="25"/>
  <c r="F682" i="25" s="1"/>
  <c r="F415" i="25"/>
  <c r="C307" i="25"/>
  <c r="F307" i="25" s="1"/>
  <c r="F309" i="25"/>
  <c r="E172" i="25"/>
  <c r="F172" i="25" s="1"/>
  <c r="F671" i="25"/>
  <c r="E898" i="25" s="1"/>
  <c r="E417" i="25"/>
  <c r="F417" i="25" s="1"/>
  <c r="F50" i="25"/>
  <c r="F31" i="25"/>
  <c r="E94" i="25" s="1"/>
  <c r="F794" i="25"/>
  <c r="C801" i="25"/>
  <c r="E896" i="25"/>
  <c r="F479" i="25"/>
  <c r="E588" i="25"/>
  <c r="F588" i="25" s="1"/>
  <c r="F452" i="25"/>
  <c r="E461" i="25" s="1"/>
  <c r="F278" i="25"/>
  <c r="E280" i="25"/>
  <c r="F280" i="25" s="1"/>
  <c r="F122" i="25"/>
  <c r="E349" i="25"/>
  <c r="F349" i="25" s="1"/>
  <c r="E760" i="25"/>
  <c r="F760" i="25" s="1"/>
  <c r="E729" i="25"/>
  <c r="F729" i="25" s="1"/>
  <c r="E702" i="25"/>
  <c r="F489" i="25"/>
  <c r="E596" i="25"/>
  <c r="F596" i="25" s="1"/>
  <c r="F301" i="25"/>
  <c r="C311" i="25"/>
  <c r="F311" i="25" s="1"/>
  <c r="E225" i="25"/>
  <c r="F144" i="25"/>
  <c r="E178" i="25"/>
  <c r="E136" i="25"/>
  <c r="F136" i="25" s="1"/>
  <c r="E132" i="25"/>
  <c r="E124" i="25"/>
  <c r="F124" i="25" s="1"/>
  <c r="F120" i="25"/>
  <c r="E165" i="25"/>
  <c r="F165" i="25" s="1"/>
  <c r="E347" i="25"/>
  <c r="F347" i="25" s="1"/>
  <c r="F425" i="25" l="1"/>
  <c r="E459" i="25" s="1"/>
  <c r="F732" i="25"/>
  <c r="E738" i="25" s="1"/>
  <c r="F314" i="25"/>
  <c r="E321" i="25" s="1"/>
  <c r="E216" i="25"/>
  <c r="E359" i="25" s="1"/>
  <c r="E704" i="25"/>
  <c r="F704" i="25" s="1"/>
  <c r="F781" i="25"/>
  <c r="E902" i="25" s="1"/>
  <c r="F289" i="25"/>
  <c r="E319" i="25" s="1"/>
  <c r="F801" i="25"/>
  <c r="E51" i="25"/>
  <c r="F51" i="25" s="1"/>
  <c r="F70" i="25" s="1"/>
  <c r="E96" i="25" s="1"/>
  <c r="F108" i="25" s="1"/>
  <c r="E880" i="25" s="1"/>
  <c r="F225" i="25"/>
  <c r="E229" i="25"/>
  <c r="F229" i="25" s="1"/>
  <c r="E227" i="25"/>
  <c r="F227" i="25" s="1"/>
  <c r="E703" i="25"/>
  <c r="F703" i="25" s="1"/>
  <c r="E791" i="25"/>
  <c r="F791" i="25" s="1"/>
  <c r="F702" i="25"/>
  <c r="F132" i="25"/>
  <c r="E134" i="25"/>
  <c r="E180" i="25"/>
  <c r="E368" i="25"/>
  <c r="F178" i="25"/>
  <c r="F216" i="25" l="1"/>
  <c r="F810" i="25"/>
  <c r="E904" i="25" s="1"/>
  <c r="F707" i="25"/>
  <c r="E736" i="25" s="1"/>
  <c r="F743" i="25" s="1"/>
  <c r="E21" i="14"/>
  <c r="F368" i="25"/>
  <c r="E503" i="25"/>
  <c r="F134" i="25"/>
  <c r="E138" i="25"/>
  <c r="F138" i="25" s="1"/>
  <c r="E355" i="25"/>
  <c r="E361" i="25"/>
  <c r="F359" i="25"/>
  <c r="E495" i="25"/>
  <c r="E370" i="25"/>
  <c r="F370" i="25" s="1"/>
  <c r="F180" i="25"/>
  <c r="F198" i="25" s="1"/>
  <c r="E884" i="25" s="1"/>
  <c r="E231" i="25"/>
  <c r="E900" i="25" l="1"/>
  <c r="F153" i="25"/>
  <c r="E882" i="25" s="1"/>
  <c r="F231" i="25"/>
  <c r="E233" i="25"/>
  <c r="F233" i="25" s="1"/>
  <c r="E357" i="25"/>
  <c r="F357" i="25" s="1"/>
  <c r="F355" i="25"/>
  <c r="F495" i="25"/>
  <c r="E602" i="25"/>
  <c r="E497" i="25"/>
  <c r="F497" i="25" s="1"/>
  <c r="E363" i="25"/>
  <c r="F363" i="25" s="1"/>
  <c r="F361" i="25"/>
  <c r="F503" i="25"/>
  <c r="E610" i="25"/>
  <c r="F610" i="25" s="1"/>
  <c r="F513" i="25" l="1"/>
  <c r="E890" i="25" s="1"/>
  <c r="F380" i="25"/>
  <c r="E457" i="25" s="1"/>
  <c r="F469" i="25" s="1"/>
  <c r="E888" i="25" s="1"/>
  <c r="E604" i="25"/>
  <c r="F604" i="25" s="1"/>
  <c r="F602" i="25"/>
  <c r="F244" i="25"/>
  <c r="E317" i="25" s="1"/>
  <c r="F334" i="25" s="1"/>
  <c r="E886" i="25" s="1"/>
  <c r="F619" i="25" l="1"/>
  <c r="E894" i="25" s="1"/>
  <c r="F911" i="25" s="1"/>
  <c r="F912" i="25" l="1"/>
  <c r="F913" i="25" s="1"/>
  <c r="F914" i="25" l="1"/>
  <c r="F915" i="25" s="1"/>
  <c r="F916" i="25" l="1"/>
  <c r="F917" i="25" s="1"/>
  <c r="E925" i="25" s="1"/>
  <c r="E12" i="14" l="1"/>
  <c r="E15" i="14"/>
  <c r="C351" i="8" l="1"/>
  <c r="H1004" i="8" l="1"/>
  <c r="F1004" i="8"/>
  <c r="H1003" i="8"/>
  <c r="F1003" i="8"/>
  <c r="H1002" i="8"/>
  <c r="F1002" i="8"/>
  <c r="H1001" i="8"/>
  <c r="F1001" i="8"/>
  <c r="H1000" i="8"/>
  <c r="F1000" i="8"/>
  <c r="H999" i="8"/>
  <c r="F999" i="8"/>
  <c r="H998" i="8"/>
  <c r="F998" i="8"/>
  <c r="H997" i="8"/>
  <c r="H996" i="8"/>
  <c r="E996" i="8"/>
  <c r="F996" i="8" s="1"/>
  <c r="H995" i="8"/>
  <c r="F995" i="8"/>
  <c r="H994" i="8"/>
  <c r="F994" i="8"/>
  <c r="H993" i="8"/>
  <c r="F993" i="8"/>
  <c r="H992" i="8"/>
  <c r="F992" i="8"/>
  <c r="H991" i="8"/>
  <c r="F991" i="8"/>
  <c r="H990" i="8"/>
  <c r="F990" i="8"/>
  <c r="H989" i="8"/>
  <c r="F989" i="8"/>
  <c r="H988" i="8"/>
  <c r="F988" i="8"/>
  <c r="H987" i="8"/>
  <c r="F987" i="8"/>
  <c r="H986" i="8"/>
  <c r="F986" i="8"/>
  <c r="H985" i="8"/>
  <c r="F985" i="8"/>
  <c r="H984" i="8"/>
  <c r="F984" i="8"/>
  <c r="H983" i="8"/>
  <c r="F983" i="8"/>
  <c r="H982" i="8"/>
  <c r="F982" i="8"/>
  <c r="H981" i="8"/>
  <c r="F981" i="8"/>
  <c r="H980" i="8"/>
  <c r="F980" i="8"/>
  <c r="H979" i="8"/>
  <c r="F979" i="8"/>
  <c r="H978" i="8"/>
  <c r="F978" i="8"/>
  <c r="H977" i="8"/>
  <c r="F977" i="8"/>
  <c r="H976" i="8"/>
  <c r="F976" i="8"/>
  <c r="H975" i="8"/>
  <c r="F975" i="8"/>
  <c r="H974" i="8"/>
  <c r="F974" i="8"/>
  <c r="H973" i="8"/>
  <c r="F973" i="8"/>
  <c r="H972" i="8"/>
  <c r="F972" i="8"/>
  <c r="H971" i="8"/>
  <c r="H970" i="8"/>
  <c r="H969" i="8"/>
  <c r="H968" i="8"/>
  <c r="H967" i="8"/>
  <c r="H966" i="8"/>
  <c r="F966" i="8"/>
  <c r="H965" i="8"/>
  <c r="F965" i="8"/>
  <c r="H964" i="8"/>
  <c r="F964" i="8"/>
  <c r="H963" i="8"/>
  <c r="F963" i="8"/>
  <c r="H962" i="8"/>
  <c r="F962" i="8"/>
  <c r="H961" i="8"/>
  <c r="E961" i="8"/>
  <c r="F961" i="8" s="1"/>
  <c r="H960" i="8"/>
  <c r="F960" i="8"/>
  <c r="H959" i="8"/>
  <c r="F959" i="8"/>
  <c r="E959" i="8"/>
  <c r="H958" i="8"/>
  <c r="F958" i="8"/>
  <c r="H957" i="8"/>
  <c r="E957" i="8"/>
  <c r="F957" i="8" s="1"/>
  <c r="H956" i="8"/>
  <c r="F956" i="8"/>
  <c r="H955" i="8"/>
  <c r="F955" i="8"/>
  <c r="H954" i="8"/>
  <c r="H953" i="8"/>
  <c r="H952" i="8"/>
  <c r="H951" i="8"/>
  <c r="H950" i="8"/>
  <c r="H949" i="8"/>
  <c r="E949" i="8"/>
  <c r="F949" i="8" s="1"/>
  <c r="H948" i="8"/>
  <c r="F948" i="8"/>
  <c r="H947" i="8"/>
  <c r="F947" i="8"/>
  <c r="H946" i="8"/>
  <c r="F946" i="8"/>
  <c r="H945" i="8"/>
  <c r="F945" i="8"/>
  <c r="H944" i="8"/>
  <c r="H943" i="8"/>
  <c r="H942" i="8"/>
  <c r="E942" i="8"/>
  <c r="E943" i="8" s="1"/>
  <c r="F943" i="8" s="1"/>
  <c r="H941" i="8"/>
  <c r="F941" i="8"/>
  <c r="H940" i="8"/>
  <c r="E940" i="8"/>
  <c r="F940" i="8" s="1"/>
  <c r="H939" i="8"/>
  <c r="F939" i="8"/>
  <c r="H938" i="8"/>
  <c r="H937" i="8"/>
  <c r="E937" i="8"/>
  <c r="F937" i="8" s="1"/>
  <c r="H936" i="8"/>
  <c r="F936" i="8"/>
  <c r="H935" i="8"/>
  <c r="H934" i="8"/>
  <c r="E934" i="8"/>
  <c r="E935" i="8" s="1"/>
  <c r="F935" i="8" s="1"/>
  <c r="H933" i="8"/>
  <c r="F933" i="8"/>
  <c r="H932" i="8"/>
  <c r="H931" i="8"/>
  <c r="H930" i="8"/>
  <c r="H929" i="8"/>
  <c r="H928" i="8"/>
  <c r="H927" i="8"/>
  <c r="E927" i="8"/>
  <c r="F927" i="8" s="1"/>
  <c r="H926" i="8"/>
  <c r="H925" i="8"/>
  <c r="E925" i="8"/>
  <c r="E926" i="8" s="1"/>
  <c r="F926" i="8" s="1"/>
  <c r="H924" i="8"/>
  <c r="E924" i="8"/>
  <c r="F924" i="8" s="1"/>
  <c r="H923" i="8"/>
  <c r="E923" i="8"/>
  <c r="F923" i="8" s="1"/>
  <c r="H922" i="8"/>
  <c r="H921" i="8"/>
  <c r="F921" i="8"/>
  <c r="H920" i="8"/>
  <c r="E920" i="8"/>
  <c r="F920" i="8" s="1"/>
  <c r="H919" i="8"/>
  <c r="E919" i="8"/>
  <c r="F919" i="8" s="1"/>
  <c r="H918" i="8"/>
  <c r="E918" i="8"/>
  <c r="F918" i="8" s="1"/>
  <c r="H917" i="8"/>
  <c r="E917" i="8"/>
  <c r="F917" i="8" s="1"/>
  <c r="H916" i="8"/>
  <c r="E916" i="8"/>
  <c r="F916" i="8" s="1"/>
  <c r="H915" i="8"/>
  <c r="E915" i="8"/>
  <c r="F915" i="8" s="1"/>
  <c r="H914" i="8"/>
  <c r="E914" i="8"/>
  <c r="F914" i="8" s="1"/>
  <c r="H913" i="8"/>
  <c r="H912" i="8"/>
  <c r="H911" i="8"/>
  <c r="H910" i="8"/>
  <c r="H909" i="8"/>
  <c r="H908" i="8"/>
  <c r="F908" i="8"/>
  <c r="H907" i="8"/>
  <c r="F907" i="8"/>
  <c r="H906" i="8"/>
  <c r="F906" i="8"/>
  <c r="H905" i="8"/>
  <c r="F905" i="8"/>
  <c r="H904" i="8"/>
  <c r="F904" i="8"/>
  <c r="H903" i="8"/>
  <c r="F903" i="8"/>
  <c r="F910" i="8" s="1"/>
  <c r="F1010" i="8" s="1"/>
  <c r="H902" i="8"/>
  <c r="H901" i="8"/>
  <c r="H900" i="8"/>
  <c r="H899" i="8"/>
  <c r="H898" i="8"/>
  <c r="F898" i="8"/>
  <c r="H897" i="8"/>
  <c r="F897" i="8"/>
  <c r="H896" i="8"/>
  <c r="F896" i="8"/>
  <c r="H895" i="8"/>
  <c r="E895" i="8"/>
  <c r="F895" i="8" s="1"/>
  <c r="H894" i="8"/>
  <c r="F894" i="8"/>
  <c r="H893" i="8"/>
  <c r="F893" i="8"/>
  <c r="H892" i="8"/>
  <c r="F892" i="8"/>
  <c r="H891" i="8"/>
  <c r="F891" i="8"/>
  <c r="H890" i="8"/>
  <c r="F890" i="8"/>
  <c r="H889" i="8"/>
  <c r="E889" i="8"/>
  <c r="E922" i="8" s="1"/>
  <c r="F922" i="8" s="1"/>
  <c r="H888" i="8"/>
  <c r="F888" i="8"/>
  <c r="H887" i="8"/>
  <c r="F887" i="8"/>
  <c r="H886" i="8"/>
  <c r="F886" i="8"/>
  <c r="H885" i="8"/>
  <c r="F885" i="8"/>
  <c r="H884" i="8"/>
  <c r="F884" i="8"/>
  <c r="H883" i="8"/>
  <c r="F883" i="8"/>
  <c r="H882" i="8"/>
  <c r="F882" i="8"/>
  <c r="H881" i="8"/>
  <c r="F881" i="8"/>
  <c r="H880" i="8"/>
  <c r="F880" i="8"/>
  <c r="H879" i="8"/>
  <c r="E879" i="8"/>
  <c r="F879" i="8" s="1"/>
  <c r="H878" i="8"/>
  <c r="F878" i="8"/>
  <c r="H877" i="8"/>
  <c r="F877" i="8"/>
  <c r="H876" i="8"/>
  <c r="F876" i="8"/>
  <c r="C847" i="8"/>
  <c r="F847" i="8" s="1"/>
  <c r="F843" i="8"/>
  <c r="F842" i="8"/>
  <c r="F841" i="8"/>
  <c r="F839" i="8"/>
  <c r="F837" i="8"/>
  <c r="F835" i="8"/>
  <c r="F833" i="8"/>
  <c r="F832" i="8"/>
  <c r="F831" i="8"/>
  <c r="F830" i="8"/>
  <c r="F829" i="8"/>
  <c r="F828" i="8"/>
  <c r="F827" i="8"/>
  <c r="F826" i="8"/>
  <c r="C825" i="8"/>
  <c r="F825" i="8" s="1"/>
  <c r="F816" i="8"/>
  <c r="F815" i="8"/>
  <c r="F814" i="8"/>
  <c r="F813" i="8"/>
  <c r="F812" i="8"/>
  <c r="F811" i="8"/>
  <c r="F810" i="8"/>
  <c r="F809" i="8"/>
  <c r="F808" i="8"/>
  <c r="F807" i="8"/>
  <c r="F806" i="8"/>
  <c r="F805" i="8"/>
  <c r="F804" i="8"/>
  <c r="F803" i="8"/>
  <c r="F802" i="8"/>
  <c r="F801" i="8"/>
  <c r="F800" i="8"/>
  <c r="F799" i="8"/>
  <c r="F798" i="8"/>
  <c r="F797" i="8"/>
  <c r="F796" i="8"/>
  <c r="F795" i="8"/>
  <c r="F794" i="8"/>
  <c r="F793" i="8"/>
  <c r="F792" i="8"/>
  <c r="C791" i="8"/>
  <c r="F791" i="8" s="1"/>
  <c r="C790" i="8"/>
  <c r="F790" i="8" s="1"/>
  <c r="C789" i="8"/>
  <c r="F789" i="8" s="1"/>
  <c r="C788" i="8"/>
  <c r="F788" i="8" s="1"/>
  <c r="F787" i="8"/>
  <c r="F761" i="8"/>
  <c r="C757" i="8"/>
  <c r="C764" i="8" s="1"/>
  <c r="F754" i="8"/>
  <c r="E742" i="8"/>
  <c r="E741" i="8"/>
  <c r="C741" i="8"/>
  <c r="E738" i="8"/>
  <c r="C738" i="8"/>
  <c r="C742" i="8" s="1"/>
  <c r="F742" i="8" s="1"/>
  <c r="F737" i="8"/>
  <c r="C731" i="8"/>
  <c r="F731" i="8" s="1"/>
  <c r="C727" i="8"/>
  <c r="E726" i="8"/>
  <c r="E727" i="8" s="1"/>
  <c r="F727" i="8" s="1"/>
  <c r="C723" i="8"/>
  <c r="E722" i="8"/>
  <c r="E723" i="8" s="1"/>
  <c r="F723" i="8" s="1"/>
  <c r="E721" i="8"/>
  <c r="F721" i="8" s="1"/>
  <c r="F720" i="8"/>
  <c r="E719" i="8"/>
  <c r="C719" i="8"/>
  <c r="F718" i="8"/>
  <c r="F716" i="8"/>
  <c r="E684" i="8"/>
  <c r="E680" i="8"/>
  <c r="F680" i="8" s="1"/>
  <c r="C678" i="8"/>
  <c r="C685" i="8" s="1"/>
  <c r="F685" i="8" s="1"/>
  <c r="E677" i="8"/>
  <c r="E679" i="8" s="1"/>
  <c r="F679" i="8" s="1"/>
  <c r="F674" i="8"/>
  <c r="F671" i="8"/>
  <c r="E663" i="8"/>
  <c r="F663" i="8" s="1"/>
  <c r="E662" i="8"/>
  <c r="F662" i="8" s="1"/>
  <c r="E661" i="8"/>
  <c r="F661" i="8" s="1"/>
  <c r="E655" i="8"/>
  <c r="E652" i="8"/>
  <c r="C652" i="8"/>
  <c r="C651" i="8"/>
  <c r="F651" i="8" s="1"/>
  <c r="E648" i="8"/>
  <c r="E647" i="8"/>
  <c r="E764" i="8" s="1"/>
  <c r="E644" i="8"/>
  <c r="C644" i="8"/>
  <c r="C648" i="8" s="1"/>
  <c r="E643" i="8"/>
  <c r="F639" i="8"/>
  <c r="E621" i="8"/>
  <c r="F621" i="8" s="1"/>
  <c r="F619" i="8"/>
  <c r="F617" i="8"/>
  <c r="C592" i="8"/>
  <c r="C578" i="8"/>
  <c r="E572" i="8"/>
  <c r="F572" i="8" s="1"/>
  <c r="C570" i="8"/>
  <c r="F559" i="8"/>
  <c r="F558" i="8"/>
  <c r="G556" i="8"/>
  <c r="H556" i="8" s="1"/>
  <c r="F556" i="8"/>
  <c r="H555" i="8"/>
  <c r="G554" i="8"/>
  <c r="H554" i="8" s="1"/>
  <c r="F554" i="8"/>
  <c r="H553" i="8"/>
  <c r="G552" i="8"/>
  <c r="H552" i="8" s="1"/>
  <c r="F552" i="8"/>
  <c r="G550" i="8"/>
  <c r="H550" i="8" s="1"/>
  <c r="F550" i="8"/>
  <c r="G548" i="8"/>
  <c r="H548" i="8" s="1"/>
  <c r="F548" i="8"/>
  <c r="G546" i="8"/>
  <c r="H546" i="8" s="1"/>
  <c r="F546" i="8"/>
  <c r="G544" i="8"/>
  <c r="H544" i="8" s="1"/>
  <c r="F544" i="8"/>
  <c r="G542" i="8"/>
  <c r="H542" i="8" s="1"/>
  <c r="F542" i="8"/>
  <c r="H538" i="8"/>
  <c r="G537" i="8"/>
  <c r="H537" i="8" s="1"/>
  <c r="C537" i="8"/>
  <c r="F537" i="8" s="1"/>
  <c r="H536" i="8"/>
  <c r="G535" i="8"/>
  <c r="H535" i="8" s="1"/>
  <c r="C535" i="8"/>
  <c r="F535" i="8" s="1"/>
  <c r="H534" i="8"/>
  <c r="G533" i="8"/>
  <c r="H533" i="8" s="1"/>
  <c r="C533" i="8"/>
  <c r="F533" i="8" s="1"/>
  <c r="G529" i="8"/>
  <c r="H529" i="8" s="1"/>
  <c r="F529" i="8"/>
  <c r="H527" i="8"/>
  <c r="G527" i="8"/>
  <c r="F527" i="8"/>
  <c r="G525" i="8"/>
  <c r="H525" i="8" s="1"/>
  <c r="F525" i="8"/>
  <c r="C502" i="8"/>
  <c r="C488" i="8"/>
  <c r="F482" i="8"/>
  <c r="I480" i="8"/>
  <c r="E480" i="8"/>
  <c r="E570" i="8" s="1"/>
  <c r="C480" i="8"/>
  <c r="C659" i="8" s="1"/>
  <c r="C677" i="8" s="1"/>
  <c r="C684" i="8" s="1"/>
  <c r="E450" i="8"/>
  <c r="F450" i="8" s="1"/>
  <c r="C448" i="8"/>
  <c r="C660" i="8" s="1"/>
  <c r="C443" i="8"/>
  <c r="F443" i="8" s="1"/>
  <c r="F437" i="8"/>
  <c r="E435" i="8"/>
  <c r="E415" i="8"/>
  <c r="E417" i="8" s="1"/>
  <c r="F417" i="8" s="1"/>
  <c r="C415" i="8"/>
  <c r="C435" i="8" s="1"/>
  <c r="C441" i="8" s="1"/>
  <c r="F441" i="8" s="1"/>
  <c r="F409" i="8"/>
  <c r="F402" i="8"/>
  <c r="F400" i="8"/>
  <c r="E396" i="8"/>
  <c r="F396" i="8" s="1"/>
  <c r="F394" i="8"/>
  <c r="F392" i="8"/>
  <c r="N384" i="8"/>
  <c r="E384" i="8"/>
  <c r="F384" i="8" s="1"/>
  <c r="N382" i="8"/>
  <c r="E382" i="8"/>
  <c r="F382" i="8" s="1"/>
  <c r="F380" i="8"/>
  <c r="C358" i="8"/>
  <c r="C357" i="8"/>
  <c r="F357" i="8" s="1"/>
  <c r="C343" i="8"/>
  <c r="C341" i="8"/>
  <c r="I340" i="8"/>
  <c r="J340" i="8" s="1"/>
  <c r="E302" i="8"/>
  <c r="E304" i="8" s="1"/>
  <c r="E292" i="8"/>
  <c r="E294" i="8" s="1"/>
  <c r="E270" i="8"/>
  <c r="E272" i="8" s="1"/>
  <c r="E262" i="8"/>
  <c r="C262" i="8"/>
  <c r="C260" i="8"/>
  <c r="F260" i="8" s="1"/>
  <c r="E250" i="8"/>
  <c r="F250" i="8" s="1"/>
  <c r="E248" i="8"/>
  <c r="E246" i="8"/>
  <c r="F246" i="8" s="1"/>
  <c r="C226" i="8"/>
  <c r="C224" i="8"/>
  <c r="C248" i="8" s="1"/>
  <c r="C222" i="8"/>
  <c r="C220" i="8"/>
  <c r="C218" i="8"/>
  <c r="C270" i="8" s="1"/>
  <c r="E216" i="8"/>
  <c r="E218" i="8" s="1"/>
  <c r="C216" i="8"/>
  <c r="C268" i="8" s="1"/>
  <c r="C203" i="8"/>
  <c r="E174" i="8"/>
  <c r="E224" i="8" s="1"/>
  <c r="E226" i="8" s="1"/>
  <c r="C174" i="8"/>
  <c r="F174" i="8" s="1"/>
  <c r="C172" i="8"/>
  <c r="C159" i="8"/>
  <c r="H159" i="8" s="1"/>
  <c r="I158" i="8"/>
  <c r="C137" i="8"/>
  <c r="E135" i="8"/>
  <c r="C135" i="8"/>
  <c r="C129" i="8"/>
  <c r="C125" i="8"/>
  <c r="C123" i="8"/>
  <c r="E121" i="8"/>
  <c r="F121" i="8" s="1"/>
  <c r="C121" i="8"/>
  <c r="C113" i="8"/>
  <c r="C111" i="8"/>
  <c r="E73" i="8"/>
  <c r="C73" i="8"/>
  <c r="F68" i="8"/>
  <c r="C62" i="8"/>
  <c r="F62" i="8" s="1"/>
  <c r="C53" i="8"/>
  <c r="E52" i="8"/>
  <c r="E53" i="8" s="1"/>
  <c r="C52" i="8"/>
  <c r="C51" i="8"/>
  <c r="F51" i="8" s="1"/>
  <c r="C44" i="8"/>
  <c r="C43" i="8"/>
  <c r="E42" i="8"/>
  <c r="E43" i="8" s="1"/>
  <c r="E44" i="8" s="1"/>
  <c r="C42" i="8"/>
  <c r="C41" i="8"/>
  <c r="F41" i="8" s="1"/>
  <c r="E36" i="8"/>
  <c r="C36" i="8"/>
  <c r="F36" i="8" s="1"/>
  <c r="E35" i="8"/>
  <c r="E111" i="8" s="1"/>
  <c r="C35" i="8"/>
  <c r="C34" i="8"/>
  <c r="F34" i="8" s="1"/>
  <c r="E24" i="8"/>
  <c r="C24" i="8"/>
  <c r="F23" i="8"/>
  <c r="C21" i="8"/>
  <c r="F21" i="8" s="1"/>
  <c r="E18" i="8"/>
  <c r="F18" i="8" s="1"/>
  <c r="C17" i="8"/>
  <c r="F17" i="8" s="1"/>
  <c r="C16" i="8"/>
  <c r="F16" i="8" s="1"/>
  <c r="E13" i="8"/>
  <c r="F13" i="8" s="1"/>
  <c r="E12" i="8"/>
  <c r="F12" i="8" s="1"/>
  <c r="E11" i="8"/>
  <c r="C11" i="8"/>
  <c r="F11" i="8" s="1"/>
  <c r="C10" i="8"/>
  <c r="F10" i="8" s="1"/>
  <c r="C9" i="8"/>
  <c r="F9" i="8" s="1"/>
  <c r="F24" i="8" l="1"/>
  <c r="F42" i="8"/>
  <c r="F53" i="8"/>
  <c r="F262" i="8"/>
  <c r="F448" i="8"/>
  <c r="F570" i="8"/>
  <c r="E638" i="8"/>
  <c r="E659" i="8" s="1"/>
  <c r="F644" i="8"/>
  <c r="F719" i="8"/>
  <c r="F726" i="8"/>
  <c r="F741" i="8"/>
  <c r="F764" i="8"/>
  <c r="F850" i="8"/>
  <c r="E864" i="8" s="1"/>
  <c r="F942" i="8"/>
  <c r="E997" i="8"/>
  <c r="F997" i="8" s="1"/>
  <c r="F1006" i="8" s="1"/>
  <c r="F1014" i="8" s="1"/>
  <c r="E37" i="8"/>
  <c r="F37" i="8" s="1"/>
  <c r="F43" i="8"/>
  <c r="F111" i="8"/>
  <c r="C166" i="8"/>
  <c r="E398" i="8"/>
  <c r="F398" i="8" s="1"/>
  <c r="F415" i="8"/>
  <c r="C423" i="8"/>
  <c r="C433" i="8" s="1"/>
  <c r="F433" i="8" s="1"/>
  <c r="F629" i="8"/>
  <c r="E1037" i="8" s="1"/>
  <c r="E944" i="8"/>
  <c r="F944" i="8" s="1"/>
  <c r="F35" i="8"/>
  <c r="E123" i="8"/>
  <c r="E125" i="8" s="1"/>
  <c r="F125" i="8" s="1"/>
  <c r="F135" i="8"/>
  <c r="I162" i="8"/>
  <c r="F226" i="8"/>
  <c r="F561" i="8"/>
  <c r="E1033" i="8" s="1"/>
  <c r="F648" i="8"/>
  <c r="F652" i="8"/>
  <c r="C732" i="8"/>
  <c r="F732" i="8" s="1"/>
  <c r="F722" i="8"/>
  <c r="F889" i="8"/>
  <c r="F900" i="8" s="1"/>
  <c r="F1009" i="8" s="1"/>
  <c r="F934" i="8"/>
  <c r="E938" i="8"/>
  <c r="F938" i="8" s="1"/>
  <c r="F73" i="8"/>
  <c r="F78" i="8" s="1"/>
  <c r="E88" i="8" s="1"/>
  <c r="E688" i="8"/>
  <c r="F688" i="8" s="1"/>
  <c r="F684" i="8"/>
  <c r="C258" i="8"/>
  <c r="F258" i="8" s="1"/>
  <c r="F248" i="8"/>
  <c r="F821" i="8"/>
  <c r="E863" i="8" s="1"/>
  <c r="F870" i="8" s="1"/>
  <c r="E1045" i="8" s="1"/>
  <c r="E660" i="8"/>
  <c r="F660" i="8" s="1"/>
  <c r="F659" i="8"/>
  <c r="F44" i="8"/>
  <c r="C290" i="8"/>
  <c r="F268" i="8"/>
  <c r="F270" i="8"/>
  <c r="C292" i="8"/>
  <c r="E488" i="8"/>
  <c r="E341" i="8"/>
  <c r="F341" i="8" s="1"/>
  <c r="E159" i="8"/>
  <c r="F159" i="8" s="1"/>
  <c r="E203" i="8"/>
  <c r="F203" i="8" s="1"/>
  <c r="E113" i="8"/>
  <c r="E220" i="8"/>
  <c r="F220" i="8" s="1"/>
  <c r="E222" i="8"/>
  <c r="F222" i="8" s="1"/>
  <c r="F969" i="8"/>
  <c r="F1013" i="8" s="1"/>
  <c r="F480" i="8"/>
  <c r="C14" i="8"/>
  <c r="F14" i="8" s="1"/>
  <c r="C655" i="8"/>
  <c r="F655" i="8" s="1"/>
  <c r="E686" i="8"/>
  <c r="F686" i="8" s="1"/>
  <c r="C15" i="8"/>
  <c r="F15" i="8" s="1"/>
  <c r="E166" i="8"/>
  <c r="E209" i="8" s="1"/>
  <c r="F216" i="8"/>
  <c r="C272" i="8"/>
  <c r="F435" i="8"/>
  <c r="E687" i="8"/>
  <c r="F687" i="8" s="1"/>
  <c r="C244" i="8"/>
  <c r="F52" i="8"/>
  <c r="E127" i="8"/>
  <c r="F127" i="8" s="1"/>
  <c r="E172" i="8"/>
  <c r="F218" i="8"/>
  <c r="F757" i="8"/>
  <c r="F925" i="8"/>
  <c r="F929" i="8" s="1"/>
  <c r="F1011" i="8" s="1"/>
  <c r="C638" i="8"/>
  <c r="F738" i="8"/>
  <c r="F677" i="8"/>
  <c r="C47" i="8"/>
  <c r="F47" i="8" s="1"/>
  <c r="E137" i="8"/>
  <c r="F137" i="8" s="1"/>
  <c r="F224" i="8"/>
  <c r="F678" i="8"/>
  <c r="F452" i="8" l="1"/>
  <c r="E461" i="8" s="1"/>
  <c r="C643" i="8"/>
  <c r="F643" i="8" s="1"/>
  <c r="F666" i="8" s="1"/>
  <c r="E129" i="8"/>
  <c r="F129" i="8" s="1"/>
  <c r="F951" i="8"/>
  <c r="F1012" i="8" s="1"/>
  <c r="F783" i="8"/>
  <c r="E1043" i="8" s="1"/>
  <c r="F423" i="8"/>
  <c r="F745" i="8"/>
  <c r="E1041" i="8" s="1"/>
  <c r="F1016" i="8"/>
  <c r="E1047" i="8" s="1"/>
  <c r="F638" i="8"/>
  <c r="F426" i="8"/>
  <c r="E459" i="8" s="1"/>
  <c r="F30" i="8"/>
  <c r="E84" i="8" s="1"/>
  <c r="F57" i="8"/>
  <c r="E86" i="8" s="1"/>
  <c r="F123" i="8"/>
  <c r="F690" i="8"/>
  <c r="E696" i="8" s="1"/>
  <c r="F209" i="8"/>
  <c r="E351" i="8"/>
  <c r="E578" i="8"/>
  <c r="F578" i="8" s="1"/>
  <c r="F488" i="8"/>
  <c r="F166" i="8"/>
  <c r="F292" i="8"/>
  <c r="C302" i="8"/>
  <c r="F302" i="8" s="1"/>
  <c r="E358" i="8"/>
  <c r="E139" i="8"/>
  <c r="F139" i="8" s="1"/>
  <c r="C647" i="8"/>
  <c r="F647" i="8" s="1"/>
  <c r="C256" i="8"/>
  <c r="F256" i="8" s="1"/>
  <c r="F244" i="8"/>
  <c r="F237" i="8"/>
  <c r="F113" i="8"/>
  <c r="E343" i="8"/>
  <c r="F343" i="8" s="1"/>
  <c r="E115" i="8"/>
  <c r="F290" i="8"/>
  <c r="C300" i="8"/>
  <c r="F300" i="8" s="1"/>
  <c r="F272" i="8"/>
  <c r="C294" i="8"/>
  <c r="F172" i="8"/>
  <c r="F192" i="8" l="1"/>
  <c r="E1025" i="8" s="1"/>
  <c r="F100" i="8"/>
  <c r="E1021" i="8" s="1"/>
  <c r="F283" i="8"/>
  <c r="E312" i="8" s="1"/>
  <c r="E310" i="8"/>
  <c r="E1027" i="8"/>
  <c r="C304" i="8"/>
  <c r="F304" i="8" s="1"/>
  <c r="F294" i="8"/>
  <c r="E345" i="8"/>
  <c r="F345" i="8" s="1"/>
  <c r="F115" i="8"/>
  <c r="F148" i="8" s="1"/>
  <c r="E1023" i="8" s="1"/>
  <c r="E494" i="8"/>
  <c r="F351" i="8"/>
  <c r="E694" i="8"/>
  <c r="F709" i="8" s="1"/>
  <c r="E1039" i="8"/>
  <c r="E502" i="8"/>
  <c r="F358" i="8"/>
  <c r="F307" i="8" l="1"/>
  <c r="E314" i="8" s="1"/>
  <c r="F375" i="8"/>
  <c r="E1029" i="8" s="1"/>
  <c r="E592" i="8"/>
  <c r="F592" i="8" s="1"/>
  <c r="F502" i="8"/>
  <c r="E584" i="8"/>
  <c r="E496" i="8"/>
  <c r="F496" i="8" s="1"/>
  <c r="F494" i="8"/>
  <c r="F329" i="8"/>
  <c r="E457" i="8" l="1"/>
  <c r="F471" i="8" s="1"/>
  <c r="F516" i="8"/>
  <c r="E1031" i="8" s="1"/>
  <c r="F584" i="8"/>
  <c r="E586" i="8"/>
  <c r="F586" i="8" s="1"/>
  <c r="F608" i="8" l="1"/>
  <c r="E1035" i="8" s="1"/>
  <c r="F1050" i="8"/>
  <c r="F1051" i="8" s="1"/>
  <c r="F1052" i="8" s="1"/>
  <c r="F1053" i="8" l="1"/>
  <c r="F1054" i="8" s="1"/>
  <c r="F1055" i="8" l="1"/>
  <c r="F1056" i="8" s="1"/>
  <c r="E1061" i="8" l="1"/>
  <c r="E1060" i="8"/>
  <c r="C812" i="3" l="1"/>
  <c r="C883" i="3" l="1"/>
  <c r="C876" i="3"/>
  <c r="C866" i="3"/>
  <c r="C862" i="3"/>
  <c r="C858" i="3"/>
  <c r="C814" i="3"/>
  <c r="C823" i="3"/>
  <c r="C821" i="3"/>
  <c r="C829" i="3"/>
  <c r="C831" i="3"/>
  <c r="C757" i="3"/>
  <c r="C753" i="3"/>
  <c r="C744" i="3"/>
  <c r="C742" i="3"/>
  <c r="C735" i="3"/>
  <c r="C733" i="3"/>
  <c r="C720" i="3"/>
  <c r="C706" i="3"/>
  <c r="C704" i="3"/>
  <c r="C702" i="3"/>
  <c r="C700" i="3"/>
  <c r="C623" i="3"/>
  <c r="C621" i="3"/>
  <c r="C615" i="3"/>
  <c r="C613" i="3"/>
  <c r="C608" i="3"/>
  <c r="C602" i="3"/>
  <c r="C553" i="3"/>
  <c r="C551" i="3"/>
  <c r="C529" i="3"/>
  <c r="C527" i="3"/>
  <c r="C496" i="3"/>
  <c r="C494" i="3"/>
  <c r="C489" i="3"/>
  <c r="C483" i="3"/>
  <c r="C432" i="3"/>
  <c r="C380" i="3"/>
  <c r="C378" i="3"/>
  <c r="C376" i="3"/>
  <c r="C370" i="3"/>
  <c r="C368" i="3"/>
  <c r="C366" i="3"/>
  <c r="C355" i="3"/>
  <c r="C348" i="3"/>
  <c r="C336" i="3"/>
  <c r="C303" i="3"/>
  <c r="C291" i="3"/>
  <c r="C285" i="3"/>
  <c r="C295" i="3" s="1"/>
  <c r="C283" i="3"/>
  <c r="C293" i="3" s="1"/>
  <c r="C281" i="3"/>
  <c r="C274" i="3"/>
  <c r="C272" i="3"/>
  <c r="C270" i="3"/>
  <c r="C268" i="3"/>
  <c r="C264" i="3"/>
  <c r="C262" i="3"/>
  <c r="C260" i="3"/>
  <c r="C258" i="3"/>
  <c r="C253" i="3"/>
  <c r="C251" i="3"/>
  <c r="C249" i="3"/>
  <c r="C238" i="3"/>
  <c r="C242" i="3"/>
  <c r="C240" i="3"/>
  <c r="C236" i="3"/>
  <c r="C228" i="3"/>
  <c r="C195" i="3"/>
  <c r="C193" i="3"/>
  <c r="C181" i="3"/>
  <c r="C177" i="3"/>
  <c r="C142" i="3"/>
  <c r="C138" i="3"/>
  <c r="C136" i="3"/>
  <c r="C129" i="3"/>
  <c r="C127" i="3"/>
  <c r="C121" i="3"/>
  <c r="C119" i="3"/>
  <c r="C98" i="3"/>
  <c r="C93" i="3"/>
  <c r="C85" i="3"/>
  <c r="C77" i="3"/>
  <c r="C73" i="3"/>
  <c r="C71" i="3"/>
  <c r="C61" i="3"/>
  <c r="C59" i="3"/>
  <c r="C57" i="3"/>
  <c r="C55" i="3"/>
  <c r="C42" i="3"/>
  <c r="C40" i="3"/>
  <c r="C38" i="3"/>
  <c r="C34" i="3"/>
  <c r="C32" i="3"/>
  <c r="C26" i="3"/>
  <c r="C24" i="3"/>
  <c r="C21" i="3"/>
  <c r="C18" i="3"/>
  <c r="C15" i="3"/>
  <c r="C13" i="3"/>
  <c r="C10" i="3"/>
  <c r="C8" i="3"/>
  <c r="E18" i="14" l="1"/>
  <c r="H1117" i="3"/>
  <c r="H516" i="3"/>
  <c r="H520" i="3"/>
  <c r="H518" i="3"/>
  <c r="H514" i="3"/>
  <c r="H512" i="3"/>
  <c r="H510" i="3"/>
  <c r="H508" i="3"/>
  <c r="H506" i="3"/>
  <c r="H504" i="3"/>
  <c r="F621" i="3" l="1"/>
  <c r="F623" i="3"/>
  <c r="F518" i="3"/>
  <c r="E35" i="14" l="1"/>
  <c r="F712" i="3"/>
  <c r="F689" i="3" l="1"/>
  <c r="C409" i="3" l="1"/>
  <c r="C727" i="3"/>
  <c r="F636" i="3" l="1"/>
  <c r="F525" i="3" l="1"/>
  <c r="F531" i="3"/>
  <c r="F715" i="3"/>
  <c r="E134" i="3" l="1"/>
  <c r="F134" i="3" s="1"/>
  <c r="F69" i="3"/>
  <c r="H1136" i="3"/>
  <c r="I1119" i="3"/>
  <c r="H1119" i="3"/>
  <c r="I1117"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2" i="3"/>
  <c r="F1041" i="3"/>
  <c r="F1040" i="3"/>
  <c r="F1039" i="3"/>
  <c r="F1038" i="3"/>
  <c r="F1037" i="3"/>
  <c r="F1036" i="3"/>
  <c r="F1035" i="3"/>
  <c r="F1034" i="3"/>
  <c r="F1033" i="3"/>
  <c r="F1032" i="3"/>
  <c r="F1031" i="3"/>
  <c r="F1030" i="3"/>
  <c r="F1029"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79" i="3"/>
  <c r="F977" i="3"/>
  <c r="F972" i="3"/>
  <c r="F968" i="3"/>
  <c r="F967" i="3"/>
  <c r="F966" i="3"/>
  <c r="F965" i="3"/>
  <c r="F964" i="3"/>
  <c r="F963" i="3"/>
  <c r="F962" i="3"/>
  <c r="F961" i="3"/>
  <c r="F960" i="3"/>
  <c r="F959" i="3"/>
  <c r="F958" i="3"/>
  <c r="F957" i="3"/>
  <c r="F956" i="3"/>
  <c r="F955" i="3"/>
  <c r="F954" i="3"/>
  <c r="F953" i="3"/>
  <c r="F952" i="3"/>
  <c r="F951" i="3"/>
  <c r="F950" i="3"/>
  <c r="F943" i="3"/>
  <c r="F942" i="3"/>
  <c r="F941" i="3"/>
  <c r="F940" i="3"/>
  <c r="F939" i="3"/>
  <c r="F938" i="3"/>
  <c r="F937" i="3"/>
  <c r="F936" i="3"/>
  <c r="F935" i="3"/>
  <c r="F934" i="3"/>
  <c r="F933" i="3"/>
  <c r="F932" i="3"/>
  <c r="F931" i="3"/>
  <c r="F930" i="3"/>
  <c r="F929" i="3"/>
  <c r="F928" i="3"/>
  <c r="F927" i="3"/>
  <c r="F926" i="3"/>
  <c r="F925" i="3"/>
  <c r="F924" i="3"/>
  <c r="F923" i="3"/>
  <c r="F922" i="3"/>
  <c r="F921" i="3"/>
  <c r="F918" i="3"/>
  <c r="F917" i="3"/>
  <c r="F916" i="3"/>
  <c r="F915" i="3"/>
  <c r="F914" i="3"/>
  <c r="F913" i="3"/>
  <c r="F912" i="3"/>
  <c r="F911" i="3"/>
  <c r="F910" i="3"/>
  <c r="F909" i="3"/>
  <c r="F908" i="3"/>
  <c r="F907" i="3"/>
  <c r="F906" i="3"/>
  <c r="F905" i="3"/>
  <c r="F869" i="3"/>
  <c r="F866" i="3"/>
  <c r="F862" i="3"/>
  <c r="E829" i="3"/>
  <c r="F829" i="3" s="1"/>
  <c r="E823" i="3"/>
  <c r="E814" i="3"/>
  <c r="E757" i="3"/>
  <c r="E755" i="3"/>
  <c r="F753" i="3"/>
  <c r="C746" i="3"/>
  <c r="E742" i="3"/>
  <c r="E883" i="3" s="1"/>
  <c r="F710" i="3"/>
  <c r="F666" i="3"/>
  <c r="F661" i="3"/>
  <c r="F659" i="3"/>
  <c r="E640" i="3"/>
  <c r="F640" i="3" s="1"/>
  <c r="F638" i="3"/>
  <c r="F629" i="3"/>
  <c r="F625" i="3"/>
  <c r="E553" i="3"/>
  <c r="F553" i="3" s="1"/>
  <c r="E551" i="3"/>
  <c r="F551" i="3" s="1"/>
  <c r="F529" i="3"/>
  <c r="F527" i="3"/>
  <c r="F520" i="3"/>
  <c r="F516" i="3"/>
  <c r="F514" i="3"/>
  <c r="F512" i="3"/>
  <c r="F510" i="3"/>
  <c r="F508" i="3"/>
  <c r="F506" i="3"/>
  <c r="F504" i="3"/>
  <c r="E494" i="3"/>
  <c r="E613" i="3" s="1"/>
  <c r="F434" i="3"/>
  <c r="F432" i="3"/>
  <c r="E408" i="3"/>
  <c r="E406" i="3"/>
  <c r="F406" i="3" s="1"/>
  <c r="E404" i="3"/>
  <c r="F402" i="3"/>
  <c r="F389" i="3"/>
  <c r="E387" i="3"/>
  <c r="F387" i="3" s="1"/>
  <c r="F385" i="3"/>
  <c r="E378" i="3"/>
  <c r="E380" i="3" s="1"/>
  <c r="F380" i="3" s="1"/>
  <c r="F376" i="3"/>
  <c r="E359" i="3"/>
  <c r="E361" i="3" s="1"/>
  <c r="F361" i="3" s="1"/>
  <c r="F353" i="3"/>
  <c r="F348" i="3"/>
  <c r="E305" i="3"/>
  <c r="E744" i="3" s="1"/>
  <c r="E746" i="3" s="1"/>
  <c r="E295" i="3"/>
  <c r="E735" i="3" s="1"/>
  <c r="E293" i="3"/>
  <c r="E733" i="3" s="1"/>
  <c r="E876" i="3" s="1"/>
  <c r="E283" i="3"/>
  <c r="E700" i="3" s="1"/>
  <c r="F700" i="3" s="1"/>
  <c r="E270" i="3"/>
  <c r="E274" i="3" s="1"/>
  <c r="F268" i="3"/>
  <c r="F264" i="3"/>
  <c r="F262" i="3"/>
  <c r="F260" i="3"/>
  <c r="F258" i="3"/>
  <c r="E240" i="3"/>
  <c r="E355" i="3" s="1"/>
  <c r="E489" i="3" s="1"/>
  <c r="E238" i="3"/>
  <c r="F238" i="3" s="1"/>
  <c r="F195" i="3"/>
  <c r="F193" i="3"/>
  <c r="E187" i="3"/>
  <c r="F187" i="3" s="1"/>
  <c r="F173" i="3"/>
  <c r="E127" i="3"/>
  <c r="F127" i="3" s="1"/>
  <c r="F98" i="3"/>
  <c r="F93" i="3"/>
  <c r="F85" i="3"/>
  <c r="E77" i="3"/>
  <c r="F77" i="3" s="1"/>
  <c r="E75" i="3"/>
  <c r="F75" i="3" s="1"/>
  <c r="E73" i="3"/>
  <c r="F73" i="3" s="1"/>
  <c r="F71" i="3"/>
  <c r="E59" i="3"/>
  <c r="F59" i="3" s="1"/>
  <c r="F57" i="3"/>
  <c r="E55" i="3"/>
  <c r="F55" i="3" s="1"/>
  <c r="E42" i="3"/>
  <c r="E119" i="3" s="1"/>
  <c r="E40" i="3"/>
  <c r="F40" i="3" s="1"/>
  <c r="F38" i="3"/>
  <c r="E34" i="3"/>
  <c r="F34" i="3" s="1"/>
  <c r="F32" i="3"/>
  <c r="F28" i="3"/>
  <c r="F26" i="3"/>
  <c r="F24" i="3"/>
  <c r="F21" i="3"/>
  <c r="F18" i="3"/>
  <c r="F15" i="3"/>
  <c r="E13" i="3"/>
  <c r="F13" i="3" s="1"/>
  <c r="F10" i="3"/>
  <c r="F8" i="3"/>
  <c r="F475" i="3" l="1"/>
  <c r="F1101" i="3" s="1"/>
  <c r="E121" i="3"/>
  <c r="F121" i="3" s="1"/>
  <c r="E177" i="3"/>
  <c r="F177" i="3" s="1"/>
  <c r="F883" i="3"/>
  <c r="F876" i="3"/>
  <c r="F735" i="3"/>
  <c r="F291" i="3"/>
  <c r="E285" i="3"/>
  <c r="F285" i="3" s="1"/>
  <c r="E136" i="3"/>
  <c r="F136" i="3" s="1"/>
  <c r="F404" i="3"/>
  <c r="F410" i="3" s="1"/>
  <c r="E416" i="3" s="1"/>
  <c r="F755" i="3"/>
  <c r="F359" i="3"/>
  <c r="F946" i="3"/>
  <c r="E987" i="3" s="1"/>
  <c r="F984" i="3"/>
  <c r="E989" i="3" s="1"/>
  <c r="F1024" i="3"/>
  <c r="E1081" i="3" s="1"/>
  <c r="F274" i="3"/>
  <c r="F42" i="3"/>
  <c r="F49" i="3" s="1"/>
  <c r="E103" i="3" s="1"/>
  <c r="E129" i="3"/>
  <c r="E236" i="3" s="1"/>
  <c r="F236" i="3" s="1"/>
  <c r="E242" i="3"/>
  <c r="E272" i="3"/>
  <c r="F272" i="3" s="1"/>
  <c r="F281" i="3"/>
  <c r="F240" i="3"/>
  <c r="F270" i="3"/>
  <c r="F283" i="3"/>
  <c r="F305" i="3"/>
  <c r="F594" i="3"/>
  <c r="F1105" i="3" s="1"/>
  <c r="F1044" i="3"/>
  <c r="E1083" i="3" s="1"/>
  <c r="F1079" i="3"/>
  <c r="E1085" i="3" s="1"/>
  <c r="E615" i="3"/>
  <c r="F615" i="3" s="1"/>
  <c r="F613" i="3"/>
  <c r="F489" i="3"/>
  <c r="E608" i="3"/>
  <c r="F608" i="3" s="1"/>
  <c r="F100" i="3"/>
  <c r="E105" i="3" s="1"/>
  <c r="F744" i="3"/>
  <c r="E228" i="3"/>
  <c r="F119" i="3"/>
  <c r="F727" i="3"/>
  <c r="F746" i="3"/>
  <c r="E858" i="3"/>
  <c r="F858" i="3" s="1"/>
  <c r="F295" i="3"/>
  <c r="F378" i="3"/>
  <c r="F494" i="3"/>
  <c r="F720" i="3"/>
  <c r="F355" i="3"/>
  <c r="E496" i="3"/>
  <c r="F496" i="3" s="1"/>
  <c r="E702" i="3"/>
  <c r="E831" i="3"/>
  <c r="F831" i="3" s="1"/>
  <c r="F129" i="3" l="1"/>
  <c r="F900" i="3"/>
  <c r="F1115" i="3" s="1"/>
  <c r="F1109" i="3"/>
  <c r="F757" i="3"/>
  <c r="F759" i="3" s="1"/>
  <c r="E765" i="3" s="1"/>
  <c r="F293" i="3"/>
  <c r="E138" i="3"/>
  <c r="E181" i="3" s="1"/>
  <c r="E244" i="3"/>
  <c r="F244" i="3" s="1"/>
  <c r="E357" i="3"/>
  <c r="F357" i="3" s="1"/>
  <c r="F1087" i="3"/>
  <c r="F994" i="3"/>
  <c r="F242" i="3"/>
  <c r="F303" i="3"/>
  <c r="F733" i="3"/>
  <c r="E336" i="3"/>
  <c r="E230" i="3"/>
  <c r="F230" i="3" s="1"/>
  <c r="F228" i="3"/>
  <c r="F702" i="3"/>
  <c r="E704" i="3"/>
  <c r="E708" i="3"/>
  <c r="F708" i="3" s="1"/>
  <c r="F112" i="3"/>
  <c r="F1091" i="3" s="1"/>
  <c r="E249" i="3" l="1"/>
  <c r="F181" i="3"/>
  <c r="F138" i="3"/>
  <c r="F307" i="3"/>
  <c r="E313" i="3" s="1"/>
  <c r="F742" i="3"/>
  <c r="E140" i="3"/>
  <c r="F219" i="3"/>
  <c r="F1095" i="3" s="1"/>
  <c r="E706" i="3"/>
  <c r="F706" i="3" s="1"/>
  <c r="F704" i="3"/>
  <c r="E483" i="3"/>
  <c r="F336" i="3"/>
  <c r="E338" i="3"/>
  <c r="F249" i="3" l="1"/>
  <c r="E251" i="3"/>
  <c r="F338" i="3"/>
  <c r="E340" i="3"/>
  <c r="F748" i="3"/>
  <c r="E763" i="3" s="1"/>
  <c r="F800" i="3" s="1"/>
  <c r="F1111" i="3" s="1"/>
  <c r="E142" i="3"/>
  <c r="F142" i="3" s="1"/>
  <c r="F140" i="3"/>
  <c r="E602" i="3"/>
  <c r="F602" i="3" s="1"/>
  <c r="F646" i="3" s="1"/>
  <c r="F1107" i="3" s="1"/>
  <c r="F483" i="3"/>
  <c r="F541" i="3" s="1"/>
  <c r="F1103" i="3" s="1"/>
  <c r="E368" i="3" l="1"/>
  <c r="F368" i="3" s="1"/>
  <c r="E253" i="3"/>
  <c r="F251" i="3"/>
  <c r="E342" i="3"/>
  <c r="F342" i="3" s="1"/>
  <c r="F340" i="3"/>
  <c r="F166" i="3"/>
  <c r="F1093" i="3" s="1"/>
  <c r="E366" i="3" l="1"/>
  <c r="F366" i="3" s="1"/>
  <c r="E370" i="3"/>
  <c r="F370" i="3" s="1"/>
  <c r="F253" i="3"/>
  <c r="F276" i="3" s="1"/>
  <c r="E311" i="3" s="1"/>
  <c r="F328" i="3" s="1"/>
  <c r="F1097" i="3" s="1"/>
  <c r="F395" i="3" l="1"/>
  <c r="E414" i="3" s="1"/>
  <c r="F422" i="3" s="1"/>
  <c r="F1099" i="3" s="1"/>
  <c r="F814" i="3" l="1"/>
  <c r="F812" i="3"/>
  <c r="F821" i="3" l="1"/>
  <c r="F823" i="3" l="1"/>
  <c r="F847" i="3" s="1"/>
  <c r="F1113" i="3" s="1"/>
  <c r="F1136" i="3" s="1"/>
  <c r="H1134" i="3" l="1"/>
  <c r="F1139" i="3"/>
  <c r="E1140" i="3"/>
  <c r="E1142" i="3" l="1"/>
  <c r="E1144" i="3" s="1"/>
  <c r="E1146" i="3" l="1"/>
  <c r="E1147" i="3" s="1"/>
  <c r="E1151" i="3" l="1"/>
  <c r="E1149" i="3"/>
</calcChain>
</file>

<file path=xl/sharedStrings.xml><?xml version="1.0" encoding="utf-8"?>
<sst xmlns="http://schemas.openxmlformats.org/spreadsheetml/2006/main" count="5051" uniqueCount="1125">
  <si>
    <t>Labour</t>
  </si>
  <si>
    <t>Edges of ground floor bed 150mm high</t>
  </si>
  <si>
    <t>A</t>
  </si>
  <si>
    <t>Nr</t>
  </si>
  <si>
    <t>B</t>
  </si>
  <si>
    <t>C</t>
  </si>
  <si>
    <t>D</t>
  </si>
  <si>
    <t>E</t>
  </si>
  <si>
    <t>F</t>
  </si>
  <si>
    <t>G</t>
  </si>
  <si>
    <t>H</t>
  </si>
  <si>
    <t>J</t>
  </si>
  <si>
    <t>K</t>
  </si>
  <si>
    <t>L</t>
  </si>
  <si>
    <t>M</t>
  </si>
  <si>
    <t>N</t>
  </si>
  <si>
    <t>P</t>
  </si>
  <si>
    <t>Q</t>
  </si>
  <si>
    <r>
      <t>m</t>
    </r>
    <r>
      <rPr>
        <vertAlign val="superscript"/>
        <sz val="9"/>
        <rFont val="Times New Roman"/>
        <family val="1"/>
      </rPr>
      <t>2</t>
    </r>
  </si>
  <si>
    <t>Level and compact bottom of excavation to receive concrete in foundation.</t>
  </si>
  <si>
    <t xml:space="preserve"> </t>
  </si>
  <si>
    <t>length</t>
  </si>
  <si>
    <t>m</t>
  </si>
  <si>
    <t>Raft</t>
  </si>
  <si>
    <t>Parapet wall</t>
  </si>
  <si>
    <t>Lintel</t>
  </si>
  <si>
    <t>R</t>
  </si>
  <si>
    <t>S</t>
  </si>
  <si>
    <t>T</t>
  </si>
  <si>
    <t>U</t>
  </si>
  <si>
    <t>V</t>
  </si>
  <si>
    <t>W</t>
  </si>
  <si>
    <t>X</t>
  </si>
  <si>
    <t>Y</t>
  </si>
  <si>
    <t>Roof beam</t>
  </si>
  <si>
    <t>m2</t>
  </si>
  <si>
    <t>sum</t>
  </si>
  <si>
    <t>Sides of staircases</t>
  </si>
  <si>
    <t>Soffit of landing</t>
  </si>
  <si>
    <t>Bed</t>
  </si>
  <si>
    <t>Soffit of suspended slab</t>
  </si>
  <si>
    <t>4BEDROOM SEMI DETACHED DUPLEX</t>
  </si>
  <si>
    <t>ELEMENT Nr. 1</t>
  </si>
  <si>
    <t>SUBSTRUCTURE</t>
  </si>
  <si>
    <t>D20: EXCAVATING AND FILLING</t>
  </si>
  <si>
    <t xml:space="preserve">Excavate oversite to remove vegetable soil average 150mm deep. </t>
  </si>
  <si>
    <t>Excavate trenches, width exceeding 0.3m maximum</t>
  </si>
  <si>
    <t>m3</t>
  </si>
  <si>
    <t>deepth not exceeding 2.00m (1000mm deep)</t>
  </si>
  <si>
    <t xml:space="preserve">Excavate pit for column bases starting from stripped level and not exceeding 1.50m deep. </t>
  </si>
  <si>
    <t xml:space="preserve">Disposal excavated materials in temporary spoil </t>
  </si>
  <si>
    <t>heaps located at Contractor's direction for re-use</t>
  </si>
  <si>
    <t>Filling to excavations, thickness exceeding 250mm,</t>
  </si>
  <si>
    <t>material arising from excavations</t>
  </si>
  <si>
    <t xml:space="preserve">Filling to make up levels,  thickness exceeding </t>
  </si>
  <si>
    <t>250mm laterite material obtained on site</t>
  </si>
  <si>
    <t>Filling to make up levels,  thickness exceeding 150mm hardcore material obtained off site</t>
  </si>
  <si>
    <t>Level and compacting bottom of excavations</t>
  </si>
  <si>
    <t>`Dieldrex 20' or other approved anti-termite treatment to surfaces of excavation and earth filling</t>
  </si>
  <si>
    <t>Plain in situ concrete (1:3:6)-19mm aggregate</t>
  </si>
  <si>
    <t>Blinding beds,thickness not exceeding 150mm(Column Bases )</t>
  </si>
  <si>
    <t>Foundations footing</t>
  </si>
  <si>
    <t>Reinforced in situ concrete (1:2:4) 19mm aggregate</t>
  </si>
  <si>
    <t>Beds; thickness not exceeding 150mm, slope</t>
  </si>
  <si>
    <t xml:space="preserve">Column bases </t>
  </si>
  <si>
    <t>Columns</t>
  </si>
  <si>
    <t xml:space="preserve">Carried to collection </t>
  </si>
  <si>
    <t>E20: Formwork for in situ concrete</t>
  </si>
  <si>
    <t>Plain vertical sawn formwork</t>
  </si>
  <si>
    <t>Edge of beds, height not exceeding 150mm</t>
  </si>
  <si>
    <t>Column bases 350mm high</t>
  </si>
  <si>
    <t>Columns attached to walls (4 - sides)</t>
  </si>
  <si>
    <t>E30: Reinforcement for situ concrete</t>
  </si>
  <si>
    <t>High tensile bars to BS 4449, straight</t>
  </si>
  <si>
    <t>20mm Diamater in column</t>
  </si>
  <si>
    <t>kg</t>
  </si>
  <si>
    <t>16mm Diamater in column</t>
  </si>
  <si>
    <t xml:space="preserve">12mm Diamater in Columns base </t>
  </si>
  <si>
    <t>10mm Diamater in Stirrups</t>
  </si>
  <si>
    <t>Fabric Reinforcement</t>
  </si>
  <si>
    <t>BRC mesh fabric reinforcement to BS 4483 ref: Nr. A142</t>
  </si>
  <si>
    <t>weighing 2.22kg/m2 laid with and including 300mm side</t>
  </si>
  <si>
    <t>and end laps (measured net with no allowance for laps)</t>
  </si>
  <si>
    <t xml:space="preserve">Floor slab </t>
  </si>
  <si>
    <t>F10: Brick/Block walling</t>
  </si>
  <si>
    <t>Sandcrete blockwork in stretcher bond bedded In</t>
  </si>
  <si>
    <t>cement and sand mortar mix (1:6) flush pointed,</t>
  </si>
  <si>
    <t>filed solid lean concrete</t>
  </si>
  <si>
    <t>Walls, 255mm thick vertical</t>
  </si>
  <si>
    <t>Damp Proof Membrane</t>
  </si>
  <si>
    <t>Polythene sheeting, visqueen 1000 guage laid on compacted</t>
  </si>
  <si>
    <t>hardcore</t>
  </si>
  <si>
    <t>Collection</t>
  </si>
  <si>
    <t>Page /1</t>
  </si>
  <si>
    <t>Page /2</t>
  </si>
  <si>
    <t>CARRIED TO SUMMARY</t>
  </si>
  <si>
    <t>ELEMENT Nr. 2</t>
  </si>
  <si>
    <t>FRAMES</t>
  </si>
  <si>
    <t>E10: In situ concrete</t>
  </si>
  <si>
    <t xml:space="preserve">Beams </t>
  </si>
  <si>
    <t>Columns attached to walls (4 sides)</t>
  </si>
  <si>
    <t>Beams attached to slabs (3 sides)</t>
  </si>
  <si>
    <t>E30: Reinforcement for in situ concrete</t>
  </si>
  <si>
    <t>High tensile bars to BS 4449 straight.</t>
  </si>
  <si>
    <t>20mm Diameter</t>
  </si>
  <si>
    <t>16mm ditto</t>
  </si>
  <si>
    <t>12mm Diameter</t>
  </si>
  <si>
    <t>10mm ditto</t>
  </si>
  <si>
    <t>FRAME</t>
  </si>
  <si>
    <t>ELEMENT Nr. 3</t>
  </si>
  <si>
    <t>E10: HOLLOW POT</t>
  </si>
  <si>
    <t xml:space="preserve">Ref CP2 suspended floor system with ribbed clay 
pots size L400xH165xW250mm ribbed velox beam 
unit as pots laid in rows on beam units, reinforced 
in-situ concrete grade 20 filling to beam and 50mm 
overall topping on pots; BRC ref 142 mesh top layer 
reinforcement
</t>
  </si>
  <si>
    <t>Suspended floor slab</t>
  </si>
  <si>
    <t>E30: Reinforcement to BS 4449</t>
  </si>
  <si>
    <t>High yield deformed bars to BS 4449 in suspended slab</t>
  </si>
  <si>
    <t xml:space="preserve"> 12mm diameter bar</t>
  </si>
  <si>
    <t>Plain vertical sawn formwork to the following</t>
  </si>
  <si>
    <t>Edges of suspended slabs, height 150mm</t>
  </si>
  <si>
    <t>Plain sawn formwork comprises of vertical struct and</t>
  </si>
  <si>
    <t>runners</t>
  </si>
  <si>
    <t>Sawn formwork to:</t>
  </si>
  <si>
    <t>Horizontal soffit of suspended floor slab +props</t>
  </si>
  <si>
    <t>Edge of suspended floor slab 250mm wide</t>
  </si>
  <si>
    <t xml:space="preserve">UPPER FLOORS </t>
  </si>
  <si>
    <t>ELEMENT Nr. 4</t>
  </si>
  <si>
    <t>STAIRCASES</t>
  </si>
  <si>
    <t>Reinforcement in situ concrete (1:2:4)-19mm aggregate</t>
  </si>
  <si>
    <t>Staircases</t>
  </si>
  <si>
    <t>Landings + beam</t>
  </si>
  <si>
    <t>Plain vertical sawn formwork:</t>
  </si>
  <si>
    <t>Sloping soffit of staircase</t>
  </si>
  <si>
    <t>Landing of staircases</t>
  </si>
  <si>
    <t>Sides of staircases including cutting and fitting to risers.</t>
  </si>
  <si>
    <t>Risers of steps 150mm high</t>
  </si>
  <si>
    <t>High tensile bars to BS 4449 straight and vertical</t>
  </si>
  <si>
    <t>16mm Diameter</t>
  </si>
  <si>
    <t>10mm Diameter</t>
  </si>
  <si>
    <t>M4O: Stone/Concrete/Quarry/Ceramic Tiling/Mosaic</t>
  </si>
  <si>
    <t>600 x 300mm Vitrified tilling on cement  and sand bed</t>
  </si>
  <si>
    <t>Ditto treads of staircase 300mm wide</t>
  </si>
  <si>
    <t>Ditto risers of staircase 150mm high</t>
  </si>
  <si>
    <t>Ditto 75mm wide skirting along risers and tread</t>
  </si>
  <si>
    <t>M10: Sand cement/Concrete/Sceeds/Toppings</t>
  </si>
  <si>
    <t>44mm thick screed (Landing)</t>
  </si>
  <si>
    <t>30mm thick screed not exceeding 300mm wide (Tread)</t>
  </si>
  <si>
    <t>15mm thick backing 150mm high (Risers)</t>
  </si>
  <si>
    <t>15mm thick backing 75mm high (Skirting)</t>
  </si>
  <si>
    <t>M20: Plastered/Rendered/Roughcast coatings</t>
  </si>
  <si>
    <t>Mortar,cement and sand (1:3), steel trowelled smooth finish</t>
  </si>
  <si>
    <t>Sloping soffit of staircases</t>
  </si>
  <si>
    <t>Floating</t>
  </si>
  <si>
    <t>Prepare and apply white POP floating materials including sand paper and clean ready for paint on</t>
  </si>
  <si>
    <t>M60: Painting/Clear finishing</t>
  </si>
  <si>
    <t>Vinyl mat emulsion paint as manufactured by</t>
  </si>
  <si>
    <t>Dulux in 3 coats to floated surfaces,</t>
  </si>
  <si>
    <t>Rate including floating to Archited's details.</t>
  </si>
  <si>
    <t>Rendered surface, width exceeding 300mm</t>
  </si>
  <si>
    <t>Rendered surface, width not exceeding 300mm</t>
  </si>
  <si>
    <t>To collection</t>
  </si>
  <si>
    <t>Page / 5</t>
  </si>
  <si>
    <t>Page / 6</t>
  </si>
  <si>
    <t xml:space="preserve">STAIRCASE </t>
  </si>
  <si>
    <t>ELEMENT Nr. 5</t>
  </si>
  <si>
    <t>ROOF</t>
  </si>
  <si>
    <t>E10 In-situ Concrete</t>
  </si>
  <si>
    <t>Reinforced in-situ concrete (1:2:4)-19mm aggregate</t>
  </si>
  <si>
    <t>Roof beam/gutter</t>
  </si>
  <si>
    <t>Concrete facial</t>
  </si>
  <si>
    <t>F10: Brick/Block parapet</t>
  </si>
  <si>
    <t xml:space="preserve">Parapet, 225mm thick </t>
  </si>
  <si>
    <t>Soffit of roof gutter</t>
  </si>
  <si>
    <t>Edge of slab 150mm high</t>
  </si>
  <si>
    <t>Edges of concrete facia</t>
  </si>
  <si>
    <t xml:space="preserve">16mm Diameter </t>
  </si>
  <si>
    <t xml:space="preserve">10mm Diameter </t>
  </si>
  <si>
    <t>Roofing</t>
  </si>
  <si>
    <t>0.55mm thick approved Stucco Aluminium Roofsheeting Powdercoated and accessories with approved colour finish lapped and fixed in accordance with manufacturer's instructions to timber purlins (measured separately)</t>
  </si>
  <si>
    <t xml:space="preserve">Roofing </t>
  </si>
  <si>
    <t>Eaves angle</t>
  </si>
  <si>
    <t>Facia Flashing</t>
  </si>
  <si>
    <t xml:space="preserve">H70. Bitumen Felt Roofing </t>
  </si>
  <si>
    <t xml:space="preserve">Paralon NT4 water proof material </t>
  </si>
  <si>
    <t>Roofing to falls and cross falls</t>
  </si>
  <si>
    <t>Lining to vertical sides</t>
  </si>
  <si>
    <t>Dishing in around rainwater outlet</t>
  </si>
  <si>
    <t>nr</t>
  </si>
  <si>
    <t>Carpentry</t>
  </si>
  <si>
    <t>Sawn hardwood roof carcass treated with solignum</t>
  </si>
  <si>
    <t>100 x 50mm tie beam</t>
  </si>
  <si>
    <t>100 x 50mm  rafter</t>
  </si>
  <si>
    <t xml:space="preserve">100 x 50mm struts </t>
  </si>
  <si>
    <t>50 x 75mm hardwood purlins</t>
  </si>
  <si>
    <t>Page / 7</t>
  </si>
  <si>
    <t>Page / 8</t>
  </si>
  <si>
    <t>ELEMENT Nr. 6</t>
  </si>
  <si>
    <t>EXTERNAL WALLS</t>
  </si>
  <si>
    <t xml:space="preserve">Walls, 225mm thick </t>
  </si>
  <si>
    <t xml:space="preserve">Walls, 150mm thick </t>
  </si>
  <si>
    <t xml:space="preserve"> EXTERNAL WALLS </t>
  </si>
  <si>
    <t>ELEMENT Nr. 7</t>
  </si>
  <si>
    <t>WINDOWS AND EXTERNAL DOORS</t>
  </si>
  <si>
    <t>Reinforced in situ concrete (1:2:4)-19mm aggregate</t>
  </si>
  <si>
    <t>Sides and soffits of lintel</t>
  </si>
  <si>
    <t>L11: Metal windows/rooflights/screens/louvres</t>
  </si>
  <si>
    <t>Powder coated aluminium casement windows in 5mm</t>
  </si>
  <si>
    <t>thick clear glass coupled with</t>
  </si>
  <si>
    <t>sliding net, including metal subframes</t>
  </si>
  <si>
    <t>Metal doors/shutters/hatches</t>
  </si>
  <si>
    <t>Security door complete with frame, ironmongery &amp; accessories to Architect's details</t>
  </si>
  <si>
    <t>ELEMENT Nr. 8</t>
  </si>
  <si>
    <t>INTERNAL WALLS</t>
  </si>
  <si>
    <t xml:space="preserve">INTERNAL WALLS </t>
  </si>
  <si>
    <t>ELEMENT Nr. 9</t>
  </si>
  <si>
    <t>INTERNAL DOORS</t>
  </si>
  <si>
    <t xml:space="preserve">Lintels </t>
  </si>
  <si>
    <t>High tensile bars to BS 4449, straight.</t>
  </si>
  <si>
    <t>Door 900 x 2100mm high</t>
  </si>
  <si>
    <t>Door 750 x 2100mm high</t>
  </si>
  <si>
    <t>Door 1200 x 2100mm high</t>
  </si>
  <si>
    <t>Factory glazed natural anodised aluminium sliding door with clear glass complete with ironmongery including cutting and pinning or building in lugs to blockwork or concretework and pointing all round with approved mastic</t>
  </si>
  <si>
    <t>Ditto size 1800x2100mm high</t>
  </si>
  <si>
    <t>Joinery</t>
  </si>
  <si>
    <t>High quality Flush door complete with archtrave, locks</t>
  </si>
  <si>
    <t>and all necessary accessories</t>
  </si>
  <si>
    <t>ELEMENT Nr. 10</t>
  </si>
  <si>
    <t>FIXTURES AND FITTINGS</t>
  </si>
  <si>
    <t>N10:General fixtures/furnishing/equipment</t>
  </si>
  <si>
    <t>METAL WORKS</t>
  </si>
  <si>
    <t>Fabricate, Weld and Install metal raillings</t>
  </si>
  <si>
    <t>Metal hand rails in</t>
  </si>
  <si>
    <t>Supply &amp; install  in staircase</t>
  </si>
  <si>
    <t xml:space="preserve">Supply &amp; install  in balconies </t>
  </si>
  <si>
    <t>High quality laminated Kitchen Carbinet</t>
  </si>
  <si>
    <t>Complete Wall &amp; Base Kitchen Cabinet</t>
  </si>
  <si>
    <t xml:space="preserve">FIXTURES AND FITTINGS </t>
  </si>
  <si>
    <t>ELEMENT Nr. 11</t>
  </si>
  <si>
    <t>WALL FINISHES</t>
  </si>
  <si>
    <t>Plastered/Randered/Roughcast coatings</t>
  </si>
  <si>
    <t>12mm thick cement and send (1:5) floated smooth</t>
  </si>
  <si>
    <t>synthetic rendering to general surface complying</t>
  </si>
  <si>
    <t>to Architect's details.</t>
  </si>
  <si>
    <t>Walls, width exceeding 300mm internally</t>
  </si>
  <si>
    <t xml:space="preserve">Walls, externally width exceeding 300mm </t>
  </si>
  <si>
    <t xml:space="preserve">Walls, internally  width not exceeding 300mm </t>
  </si>
  <si>
    <t xml:space="preserve">Walls, externally width not exceeding 300mm </t>
  </si>
  <si>
    <t xml:space="preserve">Parapet wall </t>
  </si>
  <si>
    <t>c</t>
  </si>
  <si>
    <t>100mm wide hoods arround doors and windows</t>
  </si>
  <si>
    <t>12mm thick cement and sand (1:4) floated backing</t>
  </si>
  <si>
    <t>to surfaces to receive further finishes</t>
  </si>
  <si>
    <t xml:space="preserve">Walls, width exceeding 300mm </t>
  </si>
  <si>
    <t>Stone/Concrete Quarry/Ceramic tilling/Mosaic</t>
  </si>
  <si>
    <t>High quality glazed ceramic wall tilling on cement</t>
  </si>
  <si>
    <t>and sand backing</t>
  </si>
  <si>
    <t>Prepare and apply aduplan or other approved wall floating  material on rendered wall</t>
  </si>
  <si>
    <t>Rendered surfaces, width exceeding 300mm internally</t>
  </si>
  <si>
    <t xml:space="preserve">Rendered surfaces, width not exceeding 300mm </t>
  </si>
  <si>
    <t>Painting/Clear finishing</t>
  </si>
  <si>
    <t>Dulux in 3 coats to floated surfaces</t>
  </si>
  <si>
    <t>Prepare and apply standard coat of "Caplux" Texture paint</t>
  </si>
  <si>
    <t>Rendered surfaces, width exceeding 300mm extrnlly</t>
  </si>
  <si>
    <t>Page /13</t>
  </si>
  <si>
    <t>Page /14</t>
  </si>
  <si>
    <t xml:space="preserve">WALL FINISHES </t>
  </si>
  <si>
    <t>ELEMENT Nr. 12</t>
  </si>
  <si>
    <t>FLOOR FINISHES</t>
  </si>
  <si>
    <t>Sand cement/Concrete/Granolithic</t>
  </si>
  <si>
    <t>screeds/flooring</t>
  </si>
  <si>
    <t>Cement and sand (1:4) floated bed</t>
  </si>
  <si>
    <t>to general surfaces to receive further finishes</t>
  </si>
  <si>
    <t>Floors, 42mm level and to falls only not exceeding</t>
  </si>
  <si>
    <t>15% from horinzontal</t>
  </si>
  <si>
    <t>15mm thick backing 100mm high</t>
  </si>
  <si>
    <t>Vitrified tiles of approved colour bedded and jointed in cement and sand floated bed</t>
  </si>
  <si>
    <t>Floors; level and to falls only not exceeding</t>
  </si>
  <si>
    <t xml:space="preserve">15% from horinzontal </t>
  </si>
  <si>
    <t>Vitrified skirtings to walls, width 100mm including bedding</t>
  </si>
  <si>
    <t xml:space="preserve">Unglazed ceramic tilling on cement </t>
  </si>
  <si>
    <t>and sand bed</t>
  </si>
  <si>
    <t xml:space="preserve">FLOOR FINISHES </t>
  </si>
  <si>
    <t>ELEMENT NR 13</t>
  </si>
  <si>
    <t>CEILING FINISHES</t>
  </si>
  <si>
    <t>Internal and External works</t>
  </si>
  <si>
    <t>M20: Plastered/Randered/Roughcast coatings</t>
  </si>
  <si>
    <t>12mm thick rendering finished fair and smooth on:</t>
  </si>
  <si>
    <t xml:space="preserve">Soffit of suspended floor slab </t>
  </si>
  <si>
    <t>G20: Carpentary/Timber framing/First fixing</t>
  </si>
  <si>
    <t>50 x 50mm noggins</t>
  </si>
  <si>
    <t>Plaster of Paris (POP) ceiling</t>
  </si>
  <si>
    <t xml:space="preserve">P.O.P decorative ceiling finish fixed to hardwood </t>
  </si>
  <si>
    <t>noggings (M/S)including cornices (Full  P.O.P)</t>
  </si>
  <si>
    <t xml:space="preserve">P.O.P screeding to plastered soffit of ceiling </t>
  </si>
  <si>
    <t>(measured separately) including cornices (Half  P.O.P)</t>
  </si>
  <si>
    <t>Prepare and apply aduplan or other approved ceiling floating material on soffit of slab</t>
  </si>
  <si>
    <t>Dulux 3 coats to floated surfaces,</t>
  </si>
  <si>
    <t xml:space="preserve">CEILING FINISHES </t>
  </si>
  <si>
    <t>ELEMENT Nr. 14</t>
  </si>
  <si>
    <t>MECHANICAL &amp; PLUMBING INSTALLATION</t>
  </si>
  <si>
    <t>MATERIALS FOR WASTE PIPE FROM DPC TO FINISHING</t>
  </si>
  <si>
    <t>4'' pvc pipe {6 bar}</t>
  </si>
  <si>
    <t>2'' pvc pipe {6 bar}</t>
  </si>
  <si>
    <t>3'' pvc pipe (6 bar)</t>
  </si>
  <si>
    <t>4'' pvc bend</t>
  </si>
  <si>
    <t>4'' pvc tee</t>
  </si>
  <si>
    <t>4x2 tee</t>
  </si>
  <si>
    <t>4x2 socket</t>
  </si>
  <si>
    <t>2'' pvc bend</t>
  </si>
  <si>
    <t>2'' pvc tee</t>
  </si>
  <si>
    <t>2x45 bend</t>
  </si>
  <si>
    <t>4x45 bend</t>
  </si>
  <si>
    <t>Big tin of abro gum</t>
  </si>
  <si>
    <t>Gasket gum</t>
  </si>
  <si>
    <t>yarn rope</t>
  </si>
  <si>
    <t>MATERIALS FOR WATER SUPPLY PIPING</t>
  </si>
  <si>
    <t>1'' Technogreen Pipe with socket</t>
  </si>
  <si>
    <t>3/4'' Technogreen pipe with socket</t>
  </si>
  <si>
    <t>1/2'' Technogreen pipe with socket</t>
  </si>
  <si>
    <t>1'' Technogreen Pipe tee</t>
  </si>
  <si>
    <t>1'' Technogreen elbow</t>
  </si>
  <si>
    <t>1x3/4'' Technogreen elbow</t>
  </si>
  <si>
    <t>1x3/4'' Technogreen tee</t>
  </si>
  <si>
    <t>1'' gate valve Technogreen</t>
  </si>
  <si>
    <t>1'' union Technogreen</t>
  </si>
  <si>
    <t>3/4''x 1/2'' Technogreen tee</t>
  </si>
  <si>
    <t>3/4''x 1/2'' Technogreen elbow</t>
  </si>
  <si>
    <t>3/4'' Technogreen tee</t>
  </si>
  <si>
    <t>3/4'' Technogreen elbow</t>
  </si>
  <si>
    <t xml:space="preserve">3/4'' gate valve Technogreen </t>
  </si>
  <si>
    <t>1/2''Technogreen tee</t>
  </si>
  <si>
    <t>1/2'' Technogreen elbow</t>
  </si>
  <si>
    <t>1/2'' male &amp; female Technogreen elbow</t>
  </si>
  <si>
    <t>3/4''x1/2''Technogreen tee</t>
  </si>
  <si>
    <t>3/4''x1/2''Technogreen elbow</t>
  </si>
  <si>
    <t>1/2''male &amp; female G.I socket</t>
  </si>
  <si>
    <t>Yarn robe</t>
  </si>
  <si>
    <t>boundle</t>
  </si>
  <si>
    <t>Abrogum</t>
  </si>
  <si>
    <t>Abrogum gasket gum</t>
  </si>
  <si>
    <t>PLUMBING FITTINGS</t>
  </si>
  <si>
    <t>Mini set wc-close coulpe{sweet home}</t>
  </si>
  <si>
    <t>15 litres of water heater{sweet home}</t>
  </si>
  <si>
    <t>shower set with mixer</t>
  </si>
  <si>
    <t>bath tub{twyford}</t>
  </si>
  <si>
    <t>pan connector{sweet home}</t>
  </si>
  <si>
    <t>magic waste{ venus}</t>
  </si>
  <si>
    <t xml:space="preserve">1/2''  femal flexible  </t>
  </si>
  <si>
    <t>1/2'' Angle valve{bimix}</t>
  </si>
  <si>
    <t>floor drain{foreign}</t>
  </si>
  <si>
    <t>silicon gum</t>
  </si>
  <si>
    <t>complete box for towel rail,tissue paper holder,soap dish holder</t>
  </si>
  <si>
    <t xml:space="preserve">kitchen sink </t>
  </si>
  <si>
    <t>kitchen sink mixer tap</t>
  </si>
  <si>
    <t>kitchen sink waste</t>
  </si>
  <si>
    <t>1/2'' male &amp; female G.I socket</t>
  </si>
  <si>
    <t>1/2'' wash hand basin mixer tap</t>
  </si>
  <si>
    <t>1/2'' wash hand basin  tap</t>
  </si>
  <si>
    <t>bath mixer</t>
  </si>
  <si>
    <t>Standing tap</t>
  </si>
  <si>
    <t>Sundries</t>
  </si>
  <si>
    <t>Fire Fighting Installations</t>
  </si>
  <si>
    <t>9kg `Angus' Carbon-dioxide (CO2)  fire extinguisher to BS 1382 complete with holder bracket mounted on blockwork or concretework</t>
  </si>
  <si>
    <t>Airconditioning Installation</t>
  </si>
  <si>
    <t>Supply and install the following for airconditioning  piping only</t>
  </si>
  <si>
    <t>Airconditioning piping</t>
  </si>
  <si>
    <t xml:space="preserve">Perforated face diffusers/Extractor Fan complete with manual opposed blade balancing dampers,   in Toilets </t>
  </si>
  <si>
    <t>Labour/Workmanship</t>
  </si>
  <si>
    <t xml:space="preserve">PLUMBING &amp; MECHANICAL WORKS </t>
  </si>
  <si>
    <t>ELEMENT Nr. 15</t>
  </si>
  <si>
    <t>ELECTRICAL INSTALLATION</t>
  </si>
  <si>
    <t>PIPING REQUIREMENT  REQUIREMENT USL INPUT</t>
  </si>
  <si>
    <t>20MM CONDUIT PVC PIPE , VEE-TEK BRAND &amp; NOTE: 45-LENGTH PER BUNDLE WITH 3-METER LENGTH PER PIPE</t>
  </si>
  <si>
    <t>BUNDLE</t>
  </si>
  <si>
    <t>20MM 4-WAY BOX, VEE-TEK BRAND</t>
  </si>
  <si>
    <t>PKT</t>
  </si>
  <si>
    <t>20MM Y-WAY BOX, VEE-TEK BRAND</t>
  </si>
  <si>
    <t>PCS</t>
  </si>
  <si>
    <t>20MM U-WAY BOX, VEE-TEK BRAND</t>
  </si>
  <si>
    <t>20MM JOINT COUPLER, VEE-TEK BRAND</t>
  </si>
  <si>
    <t>20MM M/F BUSHON, VEE-TEK BRAND</t>
  </si>
  <si>
    <t>25MM CONDUIT PVC PIPE , VEE-TEK BRAND &amp; NOTE: 30- LENGTH PER BUNDLE WITH 3-METER LENGTH PER PIPE</t>
  </si>
  <si>
    <t>25MM JOINT COUPLER, VEE-TEK BRAND</t>
  </si>
  <si>
    <t>25MM M/F BUSHON, VEE-TEK BRAND</t>
  </si>
  <si>
    <t>3" X 3" KNOCK OUT BOX, GENESIS BRAND</t>
  </si>
  <si>
    <t>3" X 6" KNOCKOUT  BOX, GENESIS BRAND</t>
  </si>
  <si>
    <t>3" X 3" PLASTIC KNOCK OUT BOX DIGINITY  BRAND</t>
  </si>
  <si>
    <t>6" X 6" UPVC DEEP ADAPTABLE BOX, DIGNITY BRAND</t>
  </si>
  <si>
    <t>6" X 6" UPVC SHALLOW ADAPTABLE BOX, DIGNITY BRAND</t>
  </si>
  <si>
    <t>6" X 9" UPVC DEEP ADAPTABLE BOX, DIGNITY BRAND</t>
  </si>
  <si>
    <t>9" X 9" ELCB PLASTIC ENCLOSURE CET-SAN BRAND</t>
  </si>
  <si>
    <t>PVC GUM SMALLER TIN WITH 0.236 LITRES, ABRO BRAND</t>
  </si>
  <si>
    <t>TIN</t>
  </si>
  <si>
    <t>25MM UPVC CORRUGATED WHITE THICK FLEXIBLE CONDUIT PIPE ELECTROFLEX ABC POLYMER, 50-METER LONG</t>
  </si>
  <si>
    <t>COIL</t>
  </si>
  <si>
    <t>20MM SADDLE CLIP</t>
  </si>
  <si>
    <t>25MM SADDLE CLIP</t>
  </si>
  <si>
    <t>75MM DIAMETER GREEN FLEXIBLE PIPE AS ARMOURED CABLE SLEEVE TO BUILDINGS</t>
  </si>
  <si>
    <t>LM</t>
  </si>
  <si>
    <t>50MM DIAMETER BLACK FLEXIBLE CONDUITS FOR TV WALL</t>
  </si>
  <si>
    <t>CEMENT &amp;SAND</t>
  </si>
  <si>
    <t>BAG</t>
  </si>
  <si>
    <t>INSTALLATION/LABOUR COST(A)</t>
  </si>
  <si>
    <t>SUM</t>
  </si>
  <si>
    <t>CABLE  REQUIREMENT USL INPUT</t>
  </si>
  <si>
    <t>COLEMAN BRAND</t>
  </si>
  <si>
    <t>1X 1MM RED PVC NIG CABLE</t>
  </si>
  <si>
    <t>1X 1MM BLACK  PVC NIG CABLE</t>
  </si>
  <si>
    <t>1X 1MM GREEN  PVC NIG CABLE</t>
  </si>
  <si>
    <t xml:space="preserve">1X 2.5MM RED PVC NIG CABLE, </t>
  </si>
  <si>
    <t>2.5MM BLACK PVC NIG CABLE</t>
  </si>
  <si>
    <t>1X 2.5MM GREEN  PVC NIG CABLE</t>
  </si>
  <si>
    <t>1X4MM RED PVC NIG CABLE STRANDED</t>
  </si>
  <si>
    <t>1X4MM BLACK PVC NIG CABLE STRANDED</t>
  </si>
  <si>
    <t>1X 10MM RED  PVC NIG CABLE, STRANDED</t>
  </si>
  <si>
    <t>1X 10MM YELLOW  PVC NIG CABLE, STRANDED</t>
  </si>
  <si>
    <t>1X 10MM BLUE PVC NIG CABLE, STRANDED</t>
  </si>
  <si>
    <t>1X 10MM BLACK  PVC NIG CABLE, STRANDED</t>
  </si>
  <si>
    <t>COMPLETE 3 PHASE DISTRIBUTION BOARD WITH   18-MCB D6 SIZE, , AV-LEGEND RANGE/S.S &amp; C-TECH BRAND</t>
  </si>
  <si>
    <t>NR</t>
  </si>
  <si>
    <t>LIGHT FIXTURES/LUMINAIRES REQUIREMENT USL INPUT</t>
  </si>
  <si>
    <t>1 GANG 2-WAY LIGHT SWITCH, BIG ROCKER, AV-TECH UK MODEL SCREWLESS</t>
  </si>
  <si>
    <t>2 GANG 2-WAY LIGHT SWITCH, BIG ROCKER, AV-TECH UK MODEL SCREWLESS</t>
  </si>
  <si>
    <t>3 GANG 2-WAY LIGHT SWITCH BIG ROCKER, AV-TECH UK MODEL SCREWLESS</t>
  </si>
  <si>
    <t>20A DP WATER HEATER SWITCH WITH WATER HEATER MARKING BIG ROCKER, AV-TECH UK MODEL SCREWLESS</t>
  </si>
  <si>
    <t>20A DP AIR CONDITIONER SWITCH WITH AIR CONDITIONER MARKING BIG ROCKER, AV-TECH UK MODEL SCREWLESS</t>
  </si>
  <si>
    <t>45A DP SWITCH WITH RED ROCKER TO BE DEDICATED TO FRIDGE/FREEZER/OVEN/MICRO DISH WARSHER/JACCUZZI . LEGRAND MODEL</t>
  </si>
  <si>
    <t>1 GANG 13A SINGLE SOCKET OUTLET , AV-TECH UK MODEL SCREWLESS</t>
  </si>
  <si>
    <t>1 GANG 15A SINGLE SOCKET OUTLET,  AV-TECH UK MODEL SCREWLESS</t>
  </si>
  <si>
    <t>2 GANG 13A DOUBLE SOCKET OUTLET,  AV-TECH UK MODEL SCREWLESS</t>
  </si>
  <si>
    <t>45A DP SWITCH WITH RED ROCKER AS COOKER UNIT AS CCU, LEGRAND MODEL</t>
  </si>
  <si>
    <t>TELEVSION DATA SOCKET, AV-TECH UK MODEL SCREWLESS</t>
  </si>
  <si>
    <t>INTERCOM/TELEPHONE DATA SOCKET, AV-TECH UK MODEL SCREWLESS</t>
  </si>
  <si>
    <t>2X9WATTS DUAL LUMENS UP &amp; DOWN LED WALL MOUNTED SECURITY/ FAÇADE LIGHT, CHUNIC BRAND</t>
  </si>
  <si>
    <t>1X6WATTS DUAL LUMENS(85V-265V) SMD LED CEILING FITTINGS ROUNDED SHAPE,RECCESSED MOUNTING,RHOS BRAND</t>
  </si>
  <si>
    <t>1X6WATTS DUAL LUMENS(85V-265V) SMD LED CEILING FITTINGS ROUNDED SHAPE,SURFACE MOUNTING,RHOS BRAND</t>
  </si>
  <si>
    <t>1X12WATTS DUAL LUMENS(85V-265V) SMD LED CEILING FITTINGS ROUNDED SHAPE,RECCESSED MOUNTING,RHOS BRAND</t>
  </si>
  <si>
    <t>1X12WATTS DUAL LUMENS(85V-265V) SMD LED CEILING FITTINGS ROUNDED SHAPE,SURFACE MOUNTING,RHOS BRAND</t>
  </si>
  <si>
    <t>1X18WATTS DUAL LUMENS(85V-265V) SMD LED CEILING FITTINGS ROUNDED SHAPE,RECCESSED MOUNTING,RHOS BRAND</t>
  </si>
  <si>
    <t>IP44 RATED 13A SINGLE SOCKET WITH SPLASH PROOF COVER WITH PLUG ENGAGED, LEGRAND MODEL OR ABG MODEL</t>
  </si>
  <si>
    <t>20MM CEILING ROSE, DIGNITY BRAND</t>
  </si>
  <si>
    <t>BA SCREWS LONG&amp;SHORT</t>
  </si>
  <si>
    <t>4" GERMAN SCREW</t>
  </si>
  <si>
    <t>3X3 COVER BOX FLATTEN TYPE, DIGINITY BRAND</t>
  </si>
  <si>
    <t>3X6 COVER BOX FLATTEN TYPE, DIGINITY BRAND</t>
  </si>
  <si>
    <t>20MM ROUND COVER BOX, DIGINITY BRAND</t>
  </si>
  <si>
    <t>INSULATION TAPE/BLACK CELLOTAPE,(RYB) COSCHARIS BRAND</t>
  </si>
  <si>
    <t>2.5MM X3-CORE FLEXIBLE, COLEMAN BRAND</t>
  </si>
  <si>
    <t>0.5X2CORE FLEXIBLE, COLEMAN BRAND</t>
  </si>
  <si>
    <t>AV-TECH ELCB MOULDED TYPE</t>
  </si>
  <si>
    <t>4 INCHES EXTRACTOR FAN, HORNET, HORNET BRAND</t>
  </si>
  <si>
    <t xml:space="preserve">ELECTRICAL WORKS </t>
  </si>
  <si>
    <t>SUMMARY</t>
  </si>
  <si>
    <t>page /2</t>
  </si>
  <si>
    <t>page /3</t>
  </si>
  <si>
    <t>UPPER FLOORS</t>
  </si>
  <si>
    <t>page /4</t>
  </si>
  <si>
    <t>STAIRCASE</t>
  </si>
  <si>
    <t>Page /8</t>
  </si>
  <si>
    <t>page /9</t>
  </si>
  <si>
    <t>page /10</t>
  </si>
  <si>
    <t>page /11</t>
  </si>
  <si>
    <t>page /12</t>
  </si>
  <si>
    <t>page /13</t>
  </si>
  <si>
    <t>Page /15</t>
  </si>
  <si>
    <t>page /16</t>
  </si>
  <si>
    <t>page /17</t>
  </si>
  <si>
    <t>MECHANICAL INSTALLATION</t>
  </si>
  <si>
    <t>page /19</t>
  </si>
  <si>
    <t>page /22</t>
  </si>
  <si>
    <t>4 BEDROOM SEMI-DETACHED DUPLEX</t>
  </si>
  <si>
    <t>CARRIED TO GENERAL SUMMARY</t>
  </si>
  <si>
    <t>GROSS FLOOR Area = 565m2</t>
  </si>
  <si>
    <t>GFA</t>
  </si>
  <si>
    <t>M2</t>
  </si>
  <si>
    <t>Net construction cost</t>
  </si>
  <si>
    <t>Add</t>
  </si>
  <si>
    <t>Prelims @ 2.5%</t>
  </si>
  <si>
    <t>Estimated total cost</t>
  </si>
  <si>
    <t>Vat @ 7.5%</t>
  </si>
  <si>
    <t>COST/UNIT {_with prelim &amp; vat }</t>
  </si>
  <si>
    <t>Cost/GFA {_with prelim &amp; vat }</t>
  </si>
  <si>
    <t xml:space="preserve">step </t>
  </si>
  <si>
    <t>ground beam</t>
  </si>
  <si>
    <t>25mm Diamater in column</t>
  </si>
  <si>
    <t>25mm Diameter</t>
  </si>
  <si>
    <t xml:space="preserve">12mm Diameter </t>
  </si>
  <si>
    <t>concrete slab</t>
  </si>
  <si>
    <t>Roof slab 150mm high</t>
  </si>
  <si>
    <t xml:space="preserve">Rendered surfaces, parapet </t>
  </si>
  <si>
    <t>Waterock stones tiles bedded and jointed in cement and sand (1:3) screeded backing (measured separately) and well pointed on walls</t>
  </si>
  <si>
    <t>Facing bricks</t>
  </si>
  <si>
    <t>1500 x 2100mm high</t>
  </si>
  <si>
    <t xml:space="preserve"> Ditto: 750 x 2100mm high</t>
  </si>
  <si>
    <t>Sides of Ground beam</t>
  </si>
  <si>
    <t>Sides of step</t>
  </si>
  <si>
    <t>O</t>
  </si>
  <si>
    <t>Dressing of groves on wall</t>
  </si>
  <si>
    <t>Slidind door size: 1800 x 2400mm high</t>
  </si>
  <si>
    <t>Slidind door size: 3000 x 2400mm high</t>
  </si>
  <si>
    <t xml:space="preserve"> Ditto: 900 x 2400mm high</t>
  </si>
  <si>
    <t>Ditto: 1100 x 2400mm high</t>
  </si>
  <si>
    <t xml:space="preserve">Ditto size 3000 x 1800 mm high </t>
  </si>
  <si>
    <t>Ditto size 1500 x 1800mm high</t>
  </si>
  <si>
    <t xml:space="preserve">Ditto size 1200 x 1200 mm high </t>
  </si>
  <si>
    <t>Ditto size 600 x 750mm high</t>
  </si>
  <si>
    <t>Ditto size 2250 x 1800mm high</t>
  </si>
  <si>
    <t xml:space="preserve">Ditto size 1200 x 1800 mm high </t>
  </si>
  <si>
    <t>Ditto size 900 x 750mm high</t>
  </si>
  <si>
    <t>Sides of Landing + beam</t>
  </si>
  <si>
    <t>ELEMENT NR. 1</t>
  </si>
  <si>
    <t>SUBSTRUCTURE (All Provisional)</t>
  </si>
  <si>
    <t>General Site Clearance</t>
  </si>
  <si>
    <r>
      <t>m</t>
    </r>
    <r>
      <rPr>
        <vertAlign val="superscript"/>
        <sz val="10"/>
        <rFont val="Comic Sans MS"/>
        <family val="4"/>
      </rPr>
      <t>2</t>
    </r>
  </si>
  <si>
    <t xml:space="preserve">Excavate trench to receive foundation starting from stripped level and not exceeding 2.00m deep. </t>
  </si>
  <si>
    <r>
      <t>m</t>
    </r>
    <r>
      <rPr>
        <vertAlign val="superscript"/>
        <sz val="10"/>
        <rFont val="Comic Sans MS"/>
        <family val="4"/>
      </rPr>
      <t>3</t>
    </r>
  </si>
  <si>
    <t xml:space="preserve">Excavate for working space including back filling arround retaining walls starting from stripped level and not exceeding 1.50m deep. </t>
  </si>
  <si>
    <t>Remove surplus excavated material from site.</t>
  </si>
  <si>
    <t>Return, fill and consolidate selected excavated material around foundation.</t>
  </si>
  <si>
    <t>Dieldrex 20" anti-termites to surfaces of excavation</t>
  </si>
  <si>
    <t>Foundation &amp; steps</t>
  </si>
  <si>
    <t>150mm horizontal bed</t>
  </si>
  <si>
    <t>Carried to Collection</t>
  </si>
  <si>
    <t>SUBSTRUCTURE CONT'D</t>
  </si>
  <si>
    <t>Reinforced  insitu concrete</t>
  </si>
  <si>
    <t>10mm diameter links and stirrups</t>
  </si>
  <si>
    <t>BRC Fabric mesh reinforcement to BS 4483 ref.No A.142 weighing 2.22kg/sq.m lapped 200mm at all joints in:</t>
  </si>
  <si>
    <t>Carried to collection</t>
  </si>
  <si>
    <t xml:space="preserve">Hollow sandcrete blockwork filled solid with vibrated concrete grade 15 and jointed in cement mortar </t>
  </si>
  <si>
    <t>225mm wall</t>
  </si>
  <si>
    <t>Damp Proofing</t>
  </si>
  <si>
    <t>Damp proof membrane</t>
  </si>
  <si>
    <t>0.26mm polythene damp proof membrane lapped 450mm at all welted joints, laid on hardcore</t>
  </si>
  <si>
    <t>COLLECTION</t>
  </si>
  <si>
    <t>page /1</t>
  </si>
  <si>
    <t xml:space="preserve">SUBSTRUCTURE </t>
  </si>
  <si>
    <t>Carried to Summary</t>
  </si>
  <si>
    <t>Element Nr. 2</t>
  </si>
  <si>
    <t xml:space="preserve">Reinforced Insitu Concrete </t>
  </si>
  <si>
    <t>Beams</t>
  </si>
  <si>
    <t>20mm diameter bar</t>
  </si>
  <si>
    <t>16mm diameter bar</t>
  </si>
  <si>
    <t>Vertical sides of columns</t>
  </si>
  <si>
    <t>sides and soffits of beams</t>
  </si>
  <si>
    <t>carried to Summary</t>
  </si>
  <si>
    <t>Element Nr. 3</t>
  </si>
  <si>
    <t>UPPER FLOOR</t>
  </si>
  <si>
    <t>Suspended floor slabs</t>
  </si>
  <si>
    <t>Horizontal soffit of suspended floor slab</t>
  </si>
  <si>
    <t>Edge of slab 150mm wide</t>
  </si>
  <si>
    <t>Element Nr. 4</t>
  </si>
  <si>
    <t xml:space="preserve">STAIRCASES </t>
  </si>
  <si>
    <t>Staircases including landings and beams</t>
  </si>
  <si>
    <t>High yield deformed bars to BS 4449 in beams, staircases and landing</t>
  </si>
  <si>
    <t>Sloping soffit of staircases / ramps</t>
  </si>
  <si>
    <t>Soffits of landing</t>
  </si>
  <si>
    <t>Sides and soffits of beam</t>
  </si>
  <si>
    <t>Sides of staircases / ramps including cutting and fitting to risers.</t>
  </si>
  <si>
    <t>Sides of Landing</t>
  </si>
  <si>
    <t>STAIRCASES CONT'D</t>
  </si>
  <si>
    <t>Landings</t>
  </si>
  <si>
    <t>M10: Sand cement/ Concrete/ Screeds/ Toppings</t>
  </si>
  <si>
    <t>Cement and sand (1:3) mix:</t>
  </si>
  <si>
    <t>25mm thick floated bed (Landing)</t>
  </si>
  <si>
    <t>25mm thick floated bed 300mm wide (Tread)</t>
  </si>
  <si>
    <t>15mm Thick cement and sand (1:5) smooth rendering to:</t>
  </si>
  <si>
    <t>P.O.P Floating</t>
  </si>
  <si>
    <t>Prepare and apply aduplan or other approved floating  materials on rendered surfaces</t>
  </si>
  <si>
    <t>page /6</t>
  </si>
  <si>
    <t>page /7</t>
  </si>
  <si>
    <t>page /8</t>
  </si>
  <si>
    <t>Element Nr. 5</t>
  </si>
  <si>
    <t>High yield deformed bars to BS 4449 in beams, facia, slab, &amp; copping.</t>
  </si>
  <si>
    <t>12mm diameter bars</t>
  </si>
  <si>
    <t>Sides and soffits of roof beams</t>
  </si>
  <si>
    <t>ROOF CONT'D</t>
  </si>
  <si>
    <t>H72: 0.55mm longspan aluminium coloured roofing sheets or any other approved specification</t>
  </si>
  <si>
    <t>Aluminium Long span roof covering</t>
  </si>
  <si>
    <t xml:space="preserve">Eave angle flashing 150mm girth </t>
  </si>
  <si>
    <t>G20: Steel trusses/Timber framing/First fixing</t>
  </si>
  <si>
    <t>Allow provisional sum for steel roof trusses</t>
  </si>
  <si>
    <t>item</t>
  </si>
  <si>
    <t>100 x 50mm rafter</t>
  </si>
  <si>
    <t>100 x 50mm struts</t>
  </si>
  <si>
    <t xml:space="preserve">Hollow sandcrete blockwork jointed in cement mortar  </t>
  </si>
  <si>
    <t>12mm Thick cement and sand (1:5) smooth rendering to:</t>
  </si>
  <si>
    <t>Sides and soffits of concrete facia</t>
  </si>
  <si>
    <t>M10: Sand cement/Concrete/Screeds/Toppings</t>
  </si>
  <si>
    <t>50mm thick floated bed (roof slab)</t>
  </si>
  <si>
    <t>H66: Bitumen felt shingling</t>
  </si>
  <si>
    <t>3mm thick plasprufe or other approved bituminous felt</t>
  </si>
  <si>
    <t>Soffit of roof slabs</t>
  </si>
  <si>
    <t>Vertical sides of parapet walls/Gutter</t>
  </si>
  <si>
    <t xml:space="preserve">Dishing arround rainwater oulet  </t>
  </si>
  <si>
    <t>M60: Texture Paint</t>
  </si>
  <si>
    <t>Element Nr. 6</t>
  </si>
  <si>
    <t>Hollow sandcrete blockwork laid and jointed in cement mortar (1:3) mix:</t>
  </si>
  <si>
    <t xml:space="preserve">230mm wall </t>
  </si>
  <si>
    <t xml:space="preserve">150mm wall </t>
  </si>
  <si>
    <t>Lintels</t>
  </si>
  <si>
    <t>High yield deformed bars to BS 4449 in lintels</t>
  </si>
  <si>
    <t>10mm diameter bars in links and stirrups</t>
  </si>
  <si>
    <t>Sides and soffits of lintels</t>
  </si>
  <si>
    <t>Element Nr. 7</t>
  </si>
  <si>
    <t xml:space="preserve">WINDOWS AND EXTERNAL DOORS </t>
  </si>
  <si>
    <t>L10: Windows/roofing-lights/Screens/ Louvres</t>
  </si>
  <si>
    <t>Element Nr. 8</t>
  </si>
  <si>
    <t>Element Nr. 9</t>
  </si>
  <si>
    <t>Wood work - doors/shutters/hatches</t>
  </si>
  <si>
    <t xml:space="preserve">INTERNAL DOORS </t>
  </si>
  <si>
    <t>Element Nr. 10</t>
  </si>
  <si>
    <t>Element Nr. 11</t>
  </si>
  <si>
    <t>Internal work</t>
  </si>
  <si>
    <t>15mm thick cement and sand (1:4) smooth rendering to:</t>
  </si>
  <si>
    <t>Walls</t>
  </si>
  <si>
    <t>Ditto not exceeding 300mm girth including dressing around that arises.</t>
  </si>
  <si>
    <t>M31: Fibrous Plaster of Paris</t>
  </si>
  <si>
    <t>POP Wall Floating</t>
  </si>
  <si>
    <t>Prepare and apply ''aduplan'' or other equal and approved wall floating material on rendered walls</t>
  </si>
  <si>
    <t>Rendered surfaces</t>
  </si>
  <si>
    <t>Rendered surfaces, width not exceeding 300mm</t>
  </si>
  <si>
    <t>Prepare and apply two finishing coats of emulsion paint on:</t>
  </si>
  <si>
    <t>Ditto not exceeding 300mm girth</t>
  </si>
  <si>
    <t>M40: Stone/Concrete/Quarry/Ceramic/ Mosaic tiling</t>
  </si>
  <si>
    <t>Approved ceramic wall tiles bedded and jointed in cement and sand (1:3) screeded backing (measured separately) and pointed in matching coloured cement.</t>
  </si>
  <si>
    <t>Kitchen walls</t>
  </si>
  <si>
    <t>Toilet walls</t>
  </si>
  <si>
    <t>M10: Sand cement beds /Concrete/Screeds/ 
backings</t>
  </si>
  <si>
    <t>Cement and sand (1:3) in backings</t>
  </si>
  <si>
    <t>15mm screeded backings</t>
  </si>
  <si>
    <t>External work</t>
  </si>
  <si>
    <t>M20: Plastered/Rendered/Roughcast/ Coatings</t>
  </si>
  <si>
    <t>15mm thick cement and sand (1:5) smooth rendering to:</t>
  </si>
  <si>
    <t>Ditto not exceeding 300mm girth including dressing the arrises</t>
  </si>
  <si>
    <t>WALL FINISHES CONT'D</t>
  </si>
  <si>
    <t xml:space="preserve">Wall tiles </t>
  </si>
  <si>
    <t>M10: Sand cement beds /Concrete/Screeds/backings</t>
  </si>
  <si>
    <t>Prepare and apply two finishing coats of Dulux weather sheild paint and MC 50 wall screeding on:</t>
  </si>
  <si>
    <t>Window hoods</t>
  </si>
  <si>
    <t>page /18</t>
  </si>
  <si>
    <t>Carried to summary</t>
  </si>
  <si>
    <t>Element Nr. 12</t>
  </si>
  <si>
    <t>M40: Stone/Concrete Quarry/Ceramic tilling/Mosaic</t>
  </si>
  <si>
    <t>Fully vitrified ceramic tiles of approved colour bedded and jointed in cement and sand floated bed (measured separately) with and including pointing with matching cement mortar on:</t>
  </si>
  <si>
    <t>Ditto skirting 75mm high</t>
  </si>
  <si>
    <t>Vitrified tiles of approved colour bedded and jointed in cement and sand floated bed (measured separately) with and including pointing with matching cement mortar on:</t>
  </si>
  <si>
    <t>M10: Sand cement beds/Concrete/Screeds/ 
backings</t>
  </si>
  <si>
    <t>Cement and sand (1:3) mix</t>
  </si>
  <si>
    <t>44mm screeded bed</t>
  </si>
  <si>
    <t>M50: Rubber/Plastics/Cork/Lino/ Carpet tiling sheeting</t>
  </si>
  <si>
    <t>M10: Sand cement beds/Concrete/Screeds/ backings</t>
  </si>
  <si>
    <t>42mm floated bed to receive floor tiles</t>
  </si>
  <si>
    <t>Element Nr. 13</t>
  </si>
  <si>
    <t>15mm thick rendering finished fair and smooth on:</t>
  </si>
  <si>
    <t>Soffit of suspended floor slab</t>
  </si>
  <si>
    <t>G20: Carpentary/Timber framing/ First fixing</t>
  </si>
  <si>
    <t>Sawn Treated Hardwood</t>
  </si>
  <si>
    <t>Prepare, prime and apply two coats of emulsion paint on:</t>
  </si>
  <si>
    <t>Soffits of suspended POP board</t>
  </si>
  <si>
    <t>MECHANICAL INSTALLATIONS</t>
  </si>
  <si>
    <t>PLUMBING INSTALLATIONS</t>
  </si>
  <si>
    <t>ELECTRICAL INSTALLATIONS</t>
  </si>
  <si>
    <t>Net construction cost/Blk</t>
  </si>
  <si>
    <t>COST/M2</t>
  </si>
  <si>
    <t>Supply Steel Trusses Roof Members</t>
  </si>
  <si>
    <t>100mm thick approved rock hardcore filling well rammed and consolidated.</t>
  </si>
  <si>
    <t>Vibrated Ready Mix Concrete Grade 10 in:</t>
  </si>
  <si>
    <t>Vibrated Ready Mix Concrete grade 20 (1:3;6) mix in</t>
  </si>
  <si>
    <t>Vibrated Ready Mix Concrete grade 25 (1:2:4) in:</t>
  </si>
  <si>
    <t xml:space="preserve">Column </t>
  </si>
  <si>
    <t>Steps</t>
  </si>
  <si>
    <t xml:space="preserve">Lift Shaft </t>
  </si>
  <si>
    <t xml:space="preserve">High yield deformed bars to BS 4449 in beams, columns and lift shaft </t>
  </si>
  <si>
    <t>25mm diameter bar</t>
  </si>
  <si>
    <t>12mm diameter bar</t>
  </si>
  <si>
    <t>Vertical sides of lift shaft</t>
  </si>
  <si>
    <t>High yield deformed bars to BS 4449 in concrete floor slabs ,lift bases and wall.</t>
  </si>
  <si>
    <t>Prepare, prime and apply 3 coats of Dulux or other equal and approved  Silk paint on:</t>
  </si>
  <si>
    <t>gutter and copping</t>
  </si>
  <si>
    <t xml:space="preserve">Wall flashing 300mm girth </t>
  </si>
  <si>
    <t>100 x 50mm wall plate</t>
  </si>
  <si>
    <t>25 x 3600mm hardwood fascia board</t>
  </si>
  <si>
    <t>225mm in parapet wall</t>
  </si>
  <si>
    <t>Prepare and apply standard coat ofWeather Shield paint on</t>
  </si>
  <si>
    <t>Window Subframe</t>
  </si>
  <si>
    <t>Supply and fix Single leaf Decorative sound panel door complete with frame, architrave and accessories from approved manufacturers.</t>
  </si>
  <si>
    <t>Capping on canopy and outdoor wall</t>
  </si>
  <si>
    <t>Capping on canopy and outdoor dwarf wall</t>
  </si>
  <si>
    <t>Groves on wall</t>
  </si>
  <si>
    <t>POP Ceiling</t>
  </si>
  <si>
    <t>Gypsum Board Suspended Ceiling</t>
  </si>
  <si>
    <t>FLOOR FINISH</t>
  </si>
  <si>
    <t>CEILING FINISH</t>
  </si>
  <si>
    <t>MAIN BUILDING - HOTEL</t>
  </si>
  <si>
    <t>Prelims @ 5%</t>
  </si>
  <si>
    <t>Contingency 5%</t>
  </si>
  <si>
    <t>MAIN BUILDING</t>
  </si>
  <si>
    <t>Carried to General Summary</t>
  </si>
  <si>
    <t>fg</t>
  </si>
  <si>
    <t>pkt</t>
  </si>
  <si>
    <t>Ceramic floor tiles (Royal Tiles) of approved colour, bedded and jointed in cement and sand (1:3) mix floated bed (measured separately) with and including pointing with matching cement colour</t>
  </si>
  <si>
    <t>400x400x8mm unglazed tiles ( toilets)</t>
  </si>
  <si>
    <t>1200X1200X10mm porclelain floor tiles (public area)</t>
  </si>
  <si>
    <t>600/300x600x8mm glazed CDK Nigerian floor tiles (First-Second floor)</t>
  </si>
  <si>
    <t>Granite Floor Tiles</t>
  </si>
  <si>
    <t>300x600x12mm unglazed black verona granite floor tiles in entrance</t>
  </si>
  <si>
    <t>Supply and install Hi-Tech Security Door Complete with necessary accssories</t>
  </si>
  <si>
    <t>Door size 900x2400mm high</t>
  </si>
  <si>
    <t>Door size 1200x2400mm high</t>
  </si>
  <si>
    <t>Ditto 750x2400mm high</t>
  </si>
  <si>
    <t>Single openable pannel aluminium casement/Sliding  window coupled with top and bottom fixed light,EBM Profile,flyscreen, powder coated aluminium section and double  glazed with 10mm thick bronze tinted.</t>
  </si>
  <si>
    <t>Water supply and Waste water installation</t>
  </si>
  <si>
    <t>1" GREEN PPR pipe with socket</t>
  </si>
  <si>
    <t>3/4" GREEN PPR pipe with socket</t>
  </si>
  <si>
    <t>4" PVC pipe {4 bar}</t>
  </si>
  <si>
    <t>2" PVC pipe {4 bar}</t>
  </si>
  <si>
    <t>1" gate valve valve</t>
  </si>
  <si>
    <t>nos</t>
  </si>
  <si>
    <t>1" GREEN PPR tee</t>
  </si>
  <si>
    <t>1" GREEN PPR elbow</t>
  </si>
  <si>
    <t>1"x3/4"GREEN PPR tee</t>
  </si>
  <si>
    <t>1"x3/4"GREEN PPR elbow</t>
  </si>
  <si>
    <t>1" GREEN PPR nipple</t>
  </si>
  <si>
    <t>1" GREEN PPR union</t>
  </si>
  <si>
    <t>3/4" GREEN PPR tee</t>
  </si>
  <si>
    <t>3/4" GREEN PPR elbow</t>
  </si>
  <si>
    <t>3/4"x1/2" GREEN PPR tee</t>
  </si>
  <si>
    <t>3/4"x1/2" GREEN PPR elbow</t>
  </si>
  <si>
    <t xml:space="preserve">3/4" gate valve </t>
  </si>
  <si>
    <t>3/4" GREEN PPR Nipples</t>
  </si>
  <si>
    <t>3/4" GREEN PPR union</t>
  </si>
  <si>
    <t>4" PVC bend</t>
  </si>
  <si>
    <t>4"x2" PVC tee</t>
  </si>
  <si>
    <t>4"x2" PVC socket</t>
  </si>
  <si>
    <t>4" PVC tee</t>
  </si>
  <si>
    <t>4x45 degree bend</t>
  </si>
  <si>
    <t>Z</t>
  </si>
  <si>
    <t>2" pvc bend</t>
  </si>
  <si>
    <t>2" pvc tee</t>
  </si>
  <si>
    <t>Gasket Gum</t>
  </si>
  <si>
    <t>Bondle of yarn rope</t>
  </si>
  <si>
    <t>bundle</t>
  </si>
  <si>
    <t>MECHANICAL INSTALLATIONS continued ...</t>
  </si>
  <si>
    <t>Plumbing Fittings</t>
  </si>
  <si>
    <t>Eago or equal and approved 1700x700mm fibre bath tub complete with 38mm bath waste, telephone shower, waste plug and chain and bath mixer</t>
  </si>
  <si>
    <t>900mm fixed glass</t>
  </si>
  <si>
    <t>Water heater 15litres</t>
  </si>
  <si>
    <t>page /21</t>
  </si>
  <si>
    <t>1/2" GREEN PPR pipe with socket</t>
  </si>
  <si>
    <t>Big Agro gum</t>
  </si>
  <si>
    <t>"GEBERIT"  or other approved equal rimless closed-coupled wash-down Water Closet unit in vitreous China with Concealed Tank, horizontal outlet. Push button dual flush valve cistern (4 litres/2.5 litres), bottom supply and internal overflow; complete with seat and soft close cover. Dimension:620mm x365mm</t>
  </si>
  <si>
    <t>RAK or other approved wash hand basin in vitreous with single tap hole, concealed bracket with fixing clamps and centre waste bracket: Dimension 500 x 450mm. Mixer shall be Piccolo single basin mixer with chrome-plated pop-up waste. Bottle trap shall be 32mm chrome-plated with 75mm seal.</t>
  </si>
  <si>
    <t>High quality polished chrome mounted tissue holders to match the sanitary  fixtures supplied.</t>
  </si>
  <si>
    <t>High quality toilet brush to match the sanitary fittings, complete with holder.</t>
  </si>
  <si>
    <t>580 x 425mm high quality Oval shape mirror with fixing accessories.</t>
  </si>
  <si>
    <t>High quality automatic hand dryer</t>
  </si>
  <si>
    <t>High quality automatic soap dispenser</t>
  </si>
  <si>
    <t>RAK or other approved counter top wash hand basin with cabinet in vitreous with triple tap hole, concealed bracket with fixing clamps and centre waste bracket: Dimension 1600 x 450mm. Mixer shall be Piccolo 3 basin mixer with chrome-plated pop-up waste. Bottle trap shall be 32mm chrome-plated with 75mm seal.</t>
  </si>
  <si>
    <t>RAK or other approved counter top wash hand basin with cabinet in vitreous  with dual tap hole, concealed bracket with fixing clamps and centre waste bracket: Dimension 1000 x 450mm. Mixer shall be Piccolo 2 basin mixer with chrome-plated pop-up waste. Bottle trap shall be 32mm chrome-plated with 75mm seal.</t>
  </si>
  <si>
    <t>Double bowl and double tray sink with High quality Mixer</t>
  </si>
  <si>
    <t>Sum</t>
  </si>
  <si>
    <t>Labour for water supply and Waste Pipping</t>
  </si>
  <si>
    <t>2x45 degree bend</t>
  </si>
  <si>
    <t>Labour for installation of sanitary fittings</t>
  </si>
  <si>
    <t>Allow for accessories for sanitary fittings installation (i.e angle valves, flexible connectors,etc)</t>
  </si>
  <si>
    <t>SLAB INSTALLATION &amp; BLOCK WORK REQUIREMENT+ INVERTER PIPING)</t>
  </si>
  <si>
    <t>DESCRIPTION OF ITEMS</t>
  </si>
  <si>
    <t>UNIT</t>
  </si>
  <si>
    <t>QTY/UNIT</t>
  </si>
  <si>
    <t>RATE</t>
  </si>
  <si>
    <t>AMOUNT</t>
  </si>
  <si>
    <t>AC CONDUIT PIPING REQUIREMENTS</t>
  </si>
  <si>
    <t>ROLL</t>
  </si>
  <si>
    <t>LENGTH</t>
  </si>
  <si>
    <t>CABLE REQUIREMENT FOR RESIDENTIAL SYSTEM PIPING(FIRE PROTECTION/DETECTION/ALARM SYSYTEM +SURVEILLANCE SYSTEM(CCTV CAMERA) + TV SATELITE SYSTEM+ MULTI ZONE CENTRAL &amp; STAND-ALONE SOUND SYSTEM)</t>
  </si>
  <si>
    <t>QTY</t>
  </si>
  <si>
    <t>DRUM</t>
  </si>
  <si>
    <t>LIGHT FIXTURES/LUMINAIRES REQUIREMENT</t>
  </si>
  <si>
    <t>REEL</t>
  </si>
  <si>
    <t>COMMERCIAL SYSTEM PIPING(FIRE PROTECTION/DETECTION/ALARM SYSYTEM +SURVEILLANCE SYSTEM(CCTV CAMERA) + TV SATELITE SYSTEM + PABX INTERCOM TELEPHONE SYSTEM +  MULTI ZONE CENTRAL &amp; STAND-ALONE SOUND SYSTEM)</t>
  </si>
  <si>
    <t xml:space="preserve">CABLE  REQUIREMENT </t>
  </si>
  <si>
    <t>COLLECTIONS</t>
  </si>
  <si>
    <t>CABLE REQUIREMENT FOR (FIRE PROTECTION/DETECTION/ALARM SYSYTEM +SURVEILLANCE SYSTEM(CCTV CAMERA) + TV SATELITE SYSTEM+ MULTI ZONE CENTRAL &amp; STAND-ALONE SOUND SYSTEM)</t>
  </si>
  <si>
    <t>FITTINGS AND FIXTURES</t>
  </si>
  <si>
    <t>N11: Domestic kitchen fitting</t>
  </si>
  <si>
    <t>Kitchen carbinets  obtainable from approved manufacturers"</t>
  </si>
  <si>
    <t>L30: Stairs/Walkways/Balustrades</t>
  </si>
  <si>
    <t>Supply and fix the followings approved pattern 1000mm high stainless steel:</t>
  </si>
  <si>
    <t>Staircase handrails. 1200mm high</t>
  </si>
  <si>
    <t>Felt</t>
  </si>
  <si>
    <t xml:space="preserve">Single ply of paralon NT4 prefabricated membrane bitumen felt for water proofing on </t>
  </si>
  <si>
    <t>Toilet floor lapped on wall</t>
  </si>
  <si>
    <t>carried to summary</t>
  </si>
  <si>
    <t>Element Nr. 14</t>
  </si>
  <si>
    <t>Element Nr. 15</t>
  </si>
  <si>
    <t>Fabricate and install Aluminium duct cover</t>
  </si>
  <si>
    <t>Supply and fix the following:</t>
  </si>
  <si>
    <t>S/N</t>
  </si>
  <si>
    <t>Reinforced in-situ concrete</t>
  </si>
  <si>
    <t>REINFORCEMENT</t>
  </si>
  <si>
    <t>High yield deformed bars to BS 4449 in</t>
  </si>
  <si>
    <t>Wrought formwork using Marine board  to:</t>
  </si>
  <si>
    <t>Sides of pile cap</t>
  </si>
  <si>
    <t>Approved laterite earth filling to make up level well rammed and consolidated in layers of 500mm thick.</t>
  </si>
  <si>
    <t>50mm blinding under bed</t>
  </si>
  <si>
    <t>10mm diameter bars</t>
  </si>
  <si>
    <t>Ground Beam</t>
  </si>
  <si>
    <t>16mm diameter bars</t>
  </si>
  <si>
    <t>Approved laterite earth filling to make up level well rammed and consolidated in layers of 150mm thick.</t>
  </si>
  <si>
    <t>50mm blinding under bases</t>
  </si>
  <si>
    <t>16-10mm diameter bars</t>
  </si>
  <si>
    <t xml:space="preserve">Supply and install the following for airconditioning </t>
  </si>
  <si>
    <t>SNR</t>
  </si>
  <si>
    <t>20MM CONDUIT PVC PIPE ,AAA BRAND &amp; NOTE: 45-LENGTH PER BUNDLE WITH 3-METER LENGTH PER PIPE</t>
  </si>
  <si>
    <t>25MM CONDUIT PVC PIPE , AAA BRAND &amp; NOTE: 30- LENGTH PER BUNDLE WITH 3-METER LENGTH PER PIPE</t>
  </si>
  <si>
    <t>INSTALLATION/LABOUR COST</t>
  </si>
  <si>
    <t>50MM DIAMETER GREEN FLEXIBLE PIPE AS CONDUIT PIPING FOR AIR CONDITIONER, 22-METER PER ROLL</t>
  </si>
  <si>
    <t>25MM-INCHES DRAINAGE PIPE, NIGER BRAND</t>
  </si>
  <si>
    <t>25MM ELBOW, NIGER BRAND</t>
  </si>
  <si>
    <t>25MM BEND, NIGER BRAND</t>
  </si>
  <si>
    <t>CEMENT&amp;SAND</t>
  </si>
  <si>
    <t>20MM CONDUIT PVC PIPE , AAA BRAND &amp; NOTE: 45-LENGTH PER BUNDLE WITH 3-METER LENGTH PER PIPE</t>
  </si>
  <si>
    <t>4" X 4 UPVC SHALLOW ADAPTABLE BOX, DIGNITY BRAND</t>
  </si>
  <si>
    <t>6" X 9" UPVC SHALLOW ADAPTABLE BOX, DIGNITY BRAND</t>
  </si>
  <si>
    <t>1X 1.5MM RED PVC NIG CABLE</t>
  </si>
  <si>
    <t>1X 1.5MM BLACK  PVC NIG CABLE</t>
  </si>
  <si>
    <t>1X 1.5MM GREEN  PVC NIG CABLE</t>
  </si>
  <si>
    <t>125AMPS COMPLETE SINGLE PHASE DISTRIBUTION BOARD WITH   8-MCB D4 SIZE TO BE DEDICATED TO INVERTER, , INDO-ASIAN BRAND</t>
  </si>
  <si>
    <t>COMPLETE 3 PHASE DISTRIBUTION BOARD WITH   12-MCB D4 SIZE, , AV-LEGEND RANGE/S.S &amp; C-TECH BRAND</t>
  </si>
  <si>
    <t>COMPLETE 3 PHASE DISTRIBUTION BOARD WITH  18- MCB D6 SIZE, AV-LEGEND RANGE/ S.S &amp; C-TECH BRAND</t>
  </si>
  <si>
    <t>100A TPN ELCB DEVICE, AV-TECH/ S.S &amp; C-TECH BRAND</t>
  </si>
  <si>
    <t>INTERCOM CABLEX300M , 100% CU, 2P+E, RG11 PROLINE UK EQUIVALENT I.E(BTEK OR KUBIS OR ASTEL OR PROMADAZ BRAND), 305-METER LONG</t>
  </si>
  <si>
    <t>TV CABLE RG6 COAXIAL, ASTEL BRANDX300M BLACK CODED COLOR, 305-METER LONG</t>
  </si>
  <si>
    <t>TV CABLE RG6 COAXIAL, ASTEL BRANDX300M WHITE STRIPE CODED COLOR AS SIGNAL INCOMER, 305-METER LONG</t>
  </si>
  <si>
    <t>COAXIAL CCTV CABLE(RG59 + POWER), PROMADAZ OR EXCEL BRAND, 305-METER LONG</t>
  </si>
  <si>
    <t>NETWORK CABLE CAT5E 100% COPPER, BRANDREX OR D-LINK BRAND</t>
  </si>
  <si>
    <t>0.5MMX2CORE FLEXIBLE SPEAKER CABLE, C-DIVINE BRAND, 100-METER LONG</t>
  </si>
  <si>
    <t>FIRE ALARM CABLE 2CX1.5MM DUTIX BRAND</t>
  </si>
  <si>
    <t>ADDRESSABLE WIRED SMOKE DETECTORS CEILING MOUNTING ZETA BRAND FOR SHOPS ONLY</t>
  </si>
  <si>
    <t>ADDRESSABLE FIRE ALARM SOUNDER/SIREN WITH FLASHER CHLORIDE BRAND</t>
  </si>
  <si>
    <t>ADDRESSABLE RESETABLE BREAK GLASS ZETA BRAND</t>
  </si>
  <si>
    <t>45 AMPS  2- GANG DOUBLE POLE SWITCH TO SERVE AS PANEL MAINS CONTROLLER BETWEEN BACK-UP MAINS &amp; AC MAINS</t>
  </si>
  <si>
    <t>ADDRESSABLE FIREALARM CONTROL PANEL WITH 6-ZONES CHLORIDE BRAND UK OR OTHER EQUIVALENT</t>
  </si>
  <si>
    <t>1 GANG 2-WAY WHITE COLOURED LIGHT SWITCH, SOFT TORCH AVATARON RANGE SCHNEIDER BRAND</t>
  </si>
  <si>
    <t>2 GANG 2-WAY WHITE COLOURED LIGHT SWITCH, SOFT TORCH AVATARON RANGE SCHNEIDER BRAND</t>
  </si>
  <si>
    <t>3 GANG 2-WAY WHITE COLOURED LIGHT SWITCH, SOFT TORCH AVATARON RANGE SCHNEIDER BRAND</t>
  </si>
  <si>
    <t>20A DP AIR CODITIONER WHITE COLOURED SWITCH SOFT TORCH AVATARON RANGE SCHNEIDER BRAND</t>
  </si>
  <si>
    <t>1 GANG 13A SINGLE SOCKET, SOFT TORCH AVATARON RANGE SCHNEIDER BRAND</t>
  </si>
  <si>
    <t>1 GANG 15A SINGLE SOCKET, SOFT TORCH AVATARON RANGE SCHNEIDER BRAND</t>
  </si>
  <si>
    <t xml:space="preserve">2 GANG 13A WHITE COLOURED DOUBLE SOCKET, SOFT TORCH AVATARON RANGE SCHNEIDER BRAND </t>
  </si>
  <si>
    <t xml:space="preserve">TELEVISION DATA SOCKET, SOFT TORCH AVATARON RANGE SCHNEIDER BRAND </t>
  </si>
  <si>
    <t>WHITE COLOURED WITH ALUMINIUM BASED  LED PANEL RECESSED LIGHTS ROUND IN SHAPE, WITH 3X7 -WATTS,  THREE LUMENS COLOUR LIGHT EFFECT NAMELY( PURE WHITE LUMENS, WARM WHITE LUMENS, DAY LIGHT LUMENS)     WITH STARTING VOLTAGE 85V-265V,  RHOS/UK BRAND</t>
  </si>
  <si>
    <t>WHITE COLOURED WITH ALUMINIUM BASED  LED PANEL RECESSED LIGHTS ROUND IN SHAPE, WITH 3X12 WATTS,  THREE LUMENS COLOUR LIGHT EFFECT NAMELY( PURE WHITE LUMENS, WARM WHITE LUMENS, DAY LIGHT LUMENS)     WITH STARTING VOLTAGE 85V-265V,  RHOS/UK BRAND</t>
  </si>
  <si>
    <t>BLACK COLOURED STAIR WALL LED LIGHT WITH PIR MOTION SENSORS + LIGHT SENSOR, WARM WHITE LUMENS, WITH 3WATTS POWER CONSUMPTION, WITH STARTING VOLTAGE 85V-265V,  RHOS/UK BRAND</t>
  </si>
  <si>
    <t>KITCHEN ISLAND GLASS ICE-CUBE SHAPE SUSPENDING 3-IN- 1 PENDANTS   WITH 20-WATT FILAMENT BULB EACH, WITH STARTING VOLTAGE 85V-265V,  RHOS/UK BRAND RHOS/UK MODEL</t>
  </si>
  <si>
    <t xml:space="preserve">4 INCH  SILENT BATHROOM EXTRACTOR/VENTILATOR FAN WITH 8WATTS, , S&amp;P SPANISH MODEL/BRAND/MAKER </t>
  </si>
  <si>
    <t>NEON LED STRIP/ROPE/SPIRAL/POP DESIGN LIGHT(1X9W) WARM WHITE LUMENS SQUARED DESIGN, 50-METER LONG RHOS BRAND, TO BE USED IN MAIN LOUNGE SECTION, FAMILY LOUNGE, MASTER BEDROOM, MADAM ROOM, PENT FLOOR SITING ROOM, BATHROOMS</t>
  </si>
  <si>
    <t>ROPE LIGHT PLUG &amp; ROPE LIGHT IGNITOR AS SET, RHOS BRAND</t>
  </si>
  <si>
    <t>ROPE LIGHT PIN CONNECTOR</t>
  </si>
  <si>
    <t>4" GERMAN SCREW WITH SMOOTH THREAD, 100PCS PER PARKET</t>
  </si>
  <si>
    <t xml:space="preserve">CEILING MOUNT BA SCREWS LONG&amp;SHORT, 50PCS PER PARKET </t>
  </si>
  <si>
    <t>COVER BOX(3X3) ,FLATTEN TYPE, VTEK BRAND</t>
  </si>
  <si>
    <t>COVER BOX(3X6) ,FLATTEN TYPE, VTEK BRAND</t>
  </si>
  <si>
    <t>20MM ROUND COVER BOX,  VTEK BRAND</t>
  </si>
  <si>
    <t>20MM CEILING ROSE,VTEK BRAND</t>
  </si>
  <si>
    <t>INSULATION TAPE/BLACK CELLOTAPE,(RYB) ABRO BRAND</t>
  </si>
  <si>
    <t>45A DP SWITCH WITH RED ROCKER AS COOKER CONTROL UNIT(CCU), LEGRAND MODEL</t>
  </si>
  <si>
    <t>45A DP SWITCH WITH RED ROCKER AS  CONTROL DEDICATED TO FREE STANDING FRIDGE, LEGRAND MODEL</t>
  </si>
  <si>
    <t>45A DP SWITCH WITH RED ROCKER AS  CONTROL DEDICATED TO MICROWAVE&amp;OVEN, LEGRAND MODEL</t>
  </si>
  <si>
    <t>45A DP SWITCH WITH RED ROCKER AS  CONTROL DEDICATED TO SCULLERY KITCHEN, BG MODEL</t>
  </si>
  <si>
    <t>20A DP SWITCH WITH WHITE ROCKER AS  CONTROL DEDICATED TOCENTRAL WATER HEATER TANKS, SCHENIDER MODEL</t>
  </si>
  <si>
    <t>WHITE COLOURED WITH ALUMINIUM BASED  LED PANEL RECESSED LIGHTS ROUND IN SHAPE, WITH 3X12 WATTS,  THREE LUMENS COLOUR LIGHT EFFECT NAMELY( PURE WHITE LUMENS, WARM WHITE LUMENS, DAY LIGHT LUMENS)     WITH STARTING VOLTAGE 85V-265V,  RHOS/UK BRAND, TO BE DEDICATED TO ENTERANCE PORCH &amp; GUEST ROOM CANTILEVER</t>
  </si>
  <si>
    <r>
      <t xml:space="preserve">BLACK COLOURED BODIED 10WATTS CEILING/SURFACE MOUNTED </t>
    </r>
    <r>
      <rPr>
        <b/>
        <sz val="10"/>
        <color theme="1"/>
        <rFont val="Comic Sans MS"/>
        <family val="4"/>
      </rPr>
      <t>DOWN LIGHTS</t>
    </r>
    <r>
      <rPr>
        <sz val="10"/>
        <color theme="1"/>
        <rFont val="Comic Sans MS"/>
        <family val="4"/>
      </rPr>
      <t xml:space="preserve"> WITH COB LAMP,  ROUND SHAPE, THREE LUMENS COLOUR LIGHT EFFECT NAMELY( PURE WHITE LUMENS, WARM WHITE LUMENS, DAY LIGHT LUMENS) WITH OPERATING VOLTAGE 85V-265V,   SONIC-UK  MODEL OR OTHER EQUIVQLENTS, TO BE DEDICATED TO ENTRANCE CANTILEVER, FRONTAL CANTILEVER AND STORE</t>
    </r>
  </si>
  <si>
    <r>
      <t xml:space="preserve"> BLACK COLOURED BODIED 10WATTS CEILING/SURFACE MOUNTED </t>
    </r>
    <r>
      <rPr>
        <b/>
        <sz val="10"/>
        <color theme="1"/>
        <rFont val="Comic Sans MS"/>
        <family val="4"/>
      </rPr>
      <t>DOWN LIGHTS</t>
    </r>
    <r>
      <rPr>
        <sz val="10"/>
        <color theme="1"/>
        <rFont val="Comic Sans MS"/>
        <family val="4"/>
      </rPr>
      <t xml:space="preserve"> WITH COB LAMP,  ROUND SHAPE, THREE LUMENS COLOUR LIGHT EFFECT NAMELY( PURE WHITE LUMENS, WARM WHITE LUMENS, DAY LIGHT LUMENS) WITH OPERATING VOLTAGE 85V-265V,   SONIC-UK  MODEL OR OTHER EQUIVQLENTS, TO BE DEDICATED FAMILY LIVING TERRACE, BEDROOM 1 TERRACE</t>
    </r>
  </si>
  <si>
    <t>(2X5WATTS +2WATTS, 3-IN-1) DUAL LUMENS/MULTIPLE COLOUR CHANGER, UP &amp; DOWN LED WALL MOUNTED WALL WARSHER AS BUILDING SECURITY/ FAÇADE LIGHT WITH WHITE LUMENS &amp; WARM WHITE LUMEN,  WITH STARTING VOLTAGE 85V-265V,  RHOS/UK BRAND.</t>
  </si>
  <si>
    <r>
      <t xml:space="preserve">100A 4POLE EARTH LEAKAGE CIRCUIT BREAKER WITH 30mA SENSITIVITY/TRIPPING CURRENT, AV-TECH BRAND, </t>
    </r>
    <r>
      <rPr>
        <b/>
        <sz val="11"/>
        <color theme="1"/>
        <rFont val="Comic Sans MS"/>
        <family val="4"/>
      </rPr>
      <t/>
    </r>
  </si>
  <si>
    <t>COST/UNIT</t>
  </si>
  <si>
    <t>Allow a provisional sum for Electrical Installation to include pipping, wiring and fittings</t>
  </si>
  <si>
    <t xml:space="preserve">Excavate pit for column bases and pile starting from stripped level. </t>
  </si>
  <si>
    <t>Pile and Pile Cap</t>
  </si>
  <si>
    <t xml:space="preserve">High yield deformed bars to BS 4449 in columns, Piles and Pile caps, Ground beam, Raft slab etc </t>
  </si>
  <si>
    <t xml:space="preserve">20mm diameter bar </t>
  </si>
  <si>
    <t xml:space="preserve">16mm diameter </t>
  </si>
  <si>
    <t xml:space="preserve">10mm diameter bar </t>
  </si>
  <si>
    <t xml:space="preserve">Sides of column </t>
  </si>
  <si>
    <t>Sides of ground Beam</t>
  </si>
  <si>
    <t>Roof deck</t>
  </si>
  <si>
    <t>Soffits of roof deck</t>
  </si>
  <si>
    <t>Window size 1800 x 1500mm high</t>
  </si>
  <si>
    <t>Ditto 1200 x 1500mm high</t>
  </si>
  <si>
    <t>Ditto 600 x 600mm high</t>
  </si>
  <si>
    <t>Supply and fix 2-10 track window doors for opening and light EBM Profile complete with frame, architrave and accessories from approved manufacturers. Glazed with 10mm thick glass</t>
  </si>
  <si>
    <t>Ditto 600x2100mm high</t>
  </si>
  <si>
    <t>Ditto 750x2100mm high</t>
  </si>
  <si>
    <t>Ditto 900x2100mm high</t>
  </si>
  <si>
    <t>Ditto 10200x2400mm high</t>
  </si>
  <si>
    <t>Ditto 3200x2400mm high</t>
  </si>
  <si>
    <t>Ditto 11900x2400mm high</t>
  </si>
  <si>
    <t>Ditto 3500x2400mm high</t>
  </si>
  <si>
    <t>Ditto 4450x2400mm high</t>
  </si>
  <si>
    <t>Door size 1100x2400mm high</t>
  </si>
  <si>
    <t>600/300x600x8mm glazed CDK Nigerian floor tiles Ground floor)</t>
  </si>
  <si>
    <t>600/300x600x8mm glazed CDK Nigerian floor tiles (Service floor)</t>
  </si>
  <si>
    <t xml:space="preserve">600/300x600x8mm glazed CDK Nigerian floor tiles </t>
  </si>
  <si>
    <t>FITTINGS &amp; FIXTURES</t>
  </si>
  <si>
    <t>H72: 0.7mm longspan aluminium coloured roofing sheets or any other approved specification</t>
  </si>
  <si>
    <t>Foundation and steps</t>
  </si>
  <si>
    <t>Sides of Floor bed</t>
  </si>
  <si>
    <t>Column Base</t>
  </si>
  <si>
    <t>DESCRIPTION</t>
  </si>
  <si>
    <t xml:space="preserve">RATE </t>
  </si>
  <si>
    <t>Vibrated Reinforced Insitu Concrete Grade 25 -(1:2:4) in:</t>
  </si>
  <si>
    <t>Vibrated Ready Mix Concrete grade 25 (1:3:6) in:</t>
  </si>
  <si>
    <t>16mm Diameter in columns</t>
  </si>
  <si>
    <t>Sides of column bases</t>
  </si>
  <si>
    <t>Sides of  Columns</t>
  </si>
  <si>
    <t>10mm Diameter in columns</t>
  </si>
  <si>
    <t>Expansion Joints</t>
  </si>
  <si>
    <t>Particle board set vertically between blockwall</t>
  </si>
  <si>
    <t>Ditto between concrete bed, 150mm high</t>
  </si>
  <si>
    <t xml:space="preserve">High yield deformed bars to BS 4449 in beams, columns </t>
  </si>
  <si>
    <t>25mm diameter bars</t>
  </si>
  <si>
    <t>20mm diameter bars</t>
  </si>
  <si>
    <t>Ditto: pergula</t>
  </si>
  <si>
    <r>
      <rPr>
        <sz val="11"/>
        <rFont val="Comic Sans MS"/>
        <family val="4"/>
      </rPr>
      <t>m</t>
    </r>
    <r>
      <rPr>
        <vertAlign val="superscript"/>
        <sz val="11"/>
        <rFont val="Comic Sans MS"/>
        <family val="4"/>
      </rPr>
      <t>2</t>
    </r>
  </si>
  <si>
    <t xml:space="preserve">Excavate trench to receive foundation starting from stripped level and not exceeding 1.00m deep. </t>
  </si>
  <si>
    <r>
      <rPr>
        <sz val="11"/>
        <rFont val="Comic Sans MS"/>
        <family val="4"/>
      </rPr>
      <t>m</t>
    </r>
    <r>
      <rPr>
        <vertAlign val="superscript"/>
        <sz val="11"/>
        <rFont val="Comic Sans MS"/>
        <family val="4"/>
      </rPr>
      <t>3</t>
    </r>
  </si>
  <si>
    <t>Vibrated Concrete 1;3:6 in:</t>
  </si>
  <si>
    <t xml:space="preserve">Foundation </t>
  </si>
  <si>
    <t>Vibrated Concrete 1;2:4 in:</t>
  </si>
  <si>
    <t xml:space="preserve">Approved ceramic wall tiles bedded and jointed in cement and sand (1:3) screeded backing (measured separately) and pointed in matching coloured cement. </t>
  </si>
  <si>
    <t>Coat/GFA (Vat % Prelim exclusive)</t>
  </si>
  <si>
    <t>ITEM</t>
  </si>
  <si>
    <t>TOTAL AMOUNT</t>
  </si>
  <si>
    <t>GENERAL SUMMARY</t>
  </si>
  <si>
    <t>PRELIMINARIES</t>
  </si>
  <si>
    <t>PROJECT:</t>
  </si>
  <si>
    <t>CLIENT:</t>
  </si>
  <si>
    <t>QUANTITY SURVEYORS</t>
  </si>
  <si>
    <t>Checked by;</t>
  </si>
  <si>
    <t>BILL OF QUANTITIES</t>
  </si>
  <si>
    <r>
      <t>m</t>
    </r>
    <r>
      <rPr>
        <vertAlign val="superscript"/>
        <sz val="11"/>
        <rFont val="Comic Sans MS"/>
        <family val="4"/>
      </rPr>
      <t>3</t>
    </r>
  </si>
  <si>
    <t>Plumbing Installations</t>
  </si>
  <si>
    <t>Approved laterite earth filling to make up level well rammed and consolidated in layers of 300mm thick.</t>
  </si>
  <si>
    <t>Vibrated Concrete Grade 15 in:</t>
  </si>
  <si>
    <t xml:space="preserve">50mm blinding under bases </t>
  </si>
  <si>
    <t>Vibrated Concrete grade 20 in:</t>
  </si>
  <si>
    <t>Column bases</t>
  </si>
  <si>
    <t xml:space="preserve">High yield deformed bars to BS 4449 in column bases, columns &amp; retaining walls etc </t>
  </si>
  <si>
    <t>Sides of columns</t>
  </si>
  <si>
    <t>EXTERNAL AND INTERNAL WALL</t>
  </si>
  <si>
    <t>Sides and soffits of lintels, column and beam</t>
  </si>
  <si>
    <t>Prepare and apply standard coat of Texture paint on</t>
  </si>
  <si>
    <t xml:space="preserve">verified floor tile finish of approved colour, bedded and jointed in cement and sand (1:3) mix floated bed (measured separately) with and including pointing with matching cement colour. </t>
  </si>
  <si>
    <t>8mm floor tile (toilet)</t>
  </si>
  <si>
    <t xml:space="preserve">Verified floor tile finish of approved colour, bedded and jointed in cement and sand (1:3) mix floated bed (measured separately) with and including pointing with matching cement colour. </t>
  </si>
  <si>
    <t>M31: Ceiling board</t>
  </si>
  <si>
    <t>POP CEILING</t>
  </si>
  <si>
    <t xml:space="preserve">Skirting and board to ceiling </t>
  </si>
  <si>
    <t>Soffits of suspended board</t>
  </si>
  <si>
    <t>Allow provisional sum for this section of work incuding accessories</t>
  </si>
  <si>
    <t>COST &amp; TENDER LTD</t>
  </si>
  <si>
    <t>QS YAHAYA KAMALDEEN MUHAMMED (MNIQS)</t>
  </si>
  <si>
    <t>Allow a provisional sum for Mechanical Installation to include pipping, fittings and accessories</t>
  </si>
  <si>
    <t>Ditto balcony</t>
  </si>
  <si>
    <t>TOTAL SUM</t>
  </si>
  <si>
    <t>16mm Diameter bar in Column base</t>
  </si>
  <si>
    <t xml:space="preserve">Ditto 750x2100mm high </t>
  </si>
  <si>
    <t>400x400x8mm non slip/unglazed tiles ( toilets)</t>
  </si>
  <si>
    <t>Sides and soffits of concrete facia and deck</t>
  </si>
  <si>
    <t xml:space="preserve">PROPOSED ESTATE DEVELOMENT               </t>
  </si>
  <si>
    <t>AMOUNT PER UNIT</t>
  </si>
  <si>
    <t>12-10mm diameter bars</t>
  </si>
  <si>
    <t>POWDER COATED  ALUMINIUM  CASEMENT WINDOW WITH  FLY NET FIXED TO MANUFACTURER'S DETAILS</t>
  </si>
  <si>
    <t>Fascia/roof beam externally including  copping.</t>
  </si>
  <si>
    <t>8mm diameter bars</t>
  </si>
  <si>
    <t>Aluminium roof covering</t>
  </si>
  <si>
    <t>Ridge cap 150mm girth and eaves</t>
  </si>
  <si>
    <t>100 x 50mm strut</t>
  </si>
  <si>
    <t>225mm in parapet/Gable wall</t>
  </si>
  <si>
    <t>Sides and soffits of Fascia</t>
  </si>
  <si>
    <t>50mm thick floated bed (slab)</t>
  </si>
  <si>
    <t>page /5</t>
  </si>
  <si>
    <t>Ditto not exceeding 300mm girth including dressing  the arrises</t>
  </si>
  <si>
    <t>Allow provisional sum for this section of work incuding soakaway</t>
  </si>
  <si>
    <t xml:space="preserve">Ditto 600 x 600mm high window </t>
  </si>
  <si>
    <t>POLISHED MASONIA PANEL SWING DOOR FIXED TO MANUFACTURER'S DETAILS</t>
  </si>
  <si>
    <t>EXTERNAL WALL</t>
  </si>
  <si>
    <t>MAIN BUILDING (SHOPPING MALL )</t>
  </si>
  <si>
    <t>PETROL SERVICE STATION - SHOPPING MALL</t>
  </si>
  <si>
    <t>PROPOSED COMMERCIAL DEVELOPMENT, AT OLD MILE3, ADJACENT NNPC DEPOT, ALONG BAUCHI ROAD, GOMBE - GOMBE STATE</t>
  </si>
  <si>
    <t>ALHAJI ABUBAKAR IBRAHIM</t>
  </si>
  <si>
    <t>Column</t>
  </si>
  <si>
    <t>Sides of roof beams</t>
  </si>
  <si>
    <t>Roof deck, fascia and coping</t>
  </si>
  <si>
    <t>Edge and soffit of roof deck, fascia and coping</t>
  </si>
  <si>
    <t>Window size 1200 x 900mm high</t>
  </si>
  <si>
    <t>Ditto 1900 x 900mm high</t>
  </si>
  <si>
    <t>Ditto 1200x600mm high</t>
  </si>
  <si>
    <t>Ditto 750x600mm high</t>
  </si>
  <si>
    <t>Ditto 1200x6600mm high</t>
  </si>
  <si>
    <t>Ditto 2800x1650mm high</t>
  </si>
  <si>
    <t>Ditto 2570x1650mm high</t>
  </si>
  <si>
    <t>Ditto 1770x1650mm high</t>
  </si>
  <si>
    <t>Ditto 2130x1650mm high</t>
  </si>
  <si>
    <t>Ditto 1800x1650mm high</t>
  </si>
  <si>
    <t>White colour powder coated steel framed panel door in full door lining, with architraves of solid tiles &amp; moulding with 600mm fixed light fixed to both sides of door &amp; ironmongery all to manufacturer approval.</t>
  </si>
  <si>
    <t>Door size 1500x2100mm high</t>
  </si>
  <si>
    <t>Hard aluminium roller exterior door</t>
  </si>
  <si>
    <t>Pure Black steel burglary exterior door</t>
  </si>
  <si>
    <t>Ditto 3000x2700mm high</t>
  </si>
  <si>
    <t>Ditto 3000x3000mm high</t>
  </si>
  <si>
    <t>Offwhite colour powder coated heavy duty aluminium casement window of general profile with double glazing and ironmongery all to manufacturer approval</t>
  </si>
  <si>
    <t>Ditto 1500x1200mm high</t>
  </si>
  <si>
    <t>Supply and fix Single leaf Decorative sound steel door complete with frame, architrave and accessories from approved manufacturers.</t>
  </si>
  <si>
    <t xml:space="preserve">Ditto 900x2700mm high </t>
  </si>
  <si>
    <t>Door 1200x2100mm high</t>
  </si>
  <si>
    <t>American steel water interior door</t>
  </si>
  <si>
    <t>Supply and fix kitchen cabinet size 6000mm long x 600mm deep x 900mm high with wall mounted  constructed of MBF quality laminated plywood complete with granite work tops</t>
  </si>
  <si>
    <t>600X600X8mm porclelain floor tiles (Kitchen and eatery )</t>
  </si>
  <si>
    <t>600X600X8mm porclelain floor tiles (Offices )</t>
  </si>
  <si>
    <t>600/300x600x8mm glazed CDK Nigerian floor tiles in Shops</t>
  </si>
  <si>
    <t>Vetrified Floor Tiles</t>
  </si>
  <si>
    <t>300x600x12mm unglazed black vetrified floor tiles in entrance porch, balcony,terrace</t>
  </si>
  <si>
    <t>SHOPPING MALL</t>
  </si>
  <si>
    <t>MAIN BUILDING (ADMIN BLOCK)</t>
  </si>
  <si>
    <t>JUNE, 2024.</t>
  </si>
  <si>
    <t>Vibrated Concrete grade 20 in</t>
  </si>
  <si>
    <t>Foundation footing</t>
  </si>
  <si>
    <t>16mm diameter bar in column starter</t>
  </si>
  <si>
    <t>10mm diameter bars in column starter</t>
  </si>
  <si>
    <t>Vibrated Concrete Grade 20</t>
  </si>
  <si>
    <t xml:space="preserve">High yield deformed bars to BS 4449 in beams, columns etc </t>
  </si>
  <si>
    <t>16mm diameter bar in columns</t>
  </si>
  <si>
    <t>10mm diameter links and stirrups in columns</t>
  </si>
  <si>
    <t xml:space="preserve">Ridge cap 300mm girth </t>
  </si>
  <si>
    <t>100 x 50mm struts/king post</t>
  </si>
  <si>
    <t>Prepare and apply standard coat of satin</t>
  </si>
  <si>
    <t>Reinforced Vibrated Insitu Concrete  Grade 20</t>
  </si>
  <si>
    <t>Ditto 900 x 2100mm high</t>
  </si>
  <si>
    <t>Ditto balcony balustrades 900mm high</t>
  </si>
  <si>
    <t>Pargula</t>
  </si>
  <si>
    <t>Prepare and apply two finishing coats of satin paint on:</t>
  </si>
  <si>
    <t>Prepare and apply two finishing coats of satin weather sheild paint and MC 50 wall screeding on:</t>
  </si>
  <si>
    <t>Ceramic floor tiles of approved colour, bedded and jointed in cement and sand (1:3) mix floated bed (measured separately) with and including pointing with matching cement colour</t>
  </si>
  <si>
    <t>8mm unglazed tiles ( toilets)</t>
  </si>
  <si>
    <t>Skirting and board to ceiling</t>
  </si>
  <si>
    <t>Allow provisional sum plumbing and mechanical fittings</t>
  </si>
  <si>
    <t>Mains Reticulation</t>
  </si>
  <si>
    <t>Allow for the sum of… for all Electrical work(Pipping work, fittings and cabling)</t>
  </si>
  <si>
    <t>MAIN BUILDING-CORNER SHOP</t>
  </si>
  <si>
    <t>Prelims @ 2%</t>
  </si>
  <si>
    <t>COST/UNIT FOR 1 SHOP</t>
  </si>
  <si>
    <t>COST FOR 1 FLOOR, (6 UNIT)</t>
  </si>
  <si>
    <t>COST/UNIT FOR 2 FLOOR BUILDINGS</t>
  </si>
  <si>
    <t>COST FOR 2 FLOOR, (4 UNIT)</t>
  </si>
  <si>
    <t>12mm diameter bar in column base</t>
  </si>
  <si>
    <t>Sides of column base</t>
  </si>
  <si>
    <t>12mm diameter bar in column</t>
  </si>
  <si>
    <t>12mm diameter bar in columns</t>
  </si>
  <si>
    <t>Vault</t>
  </si>
  <si>
    <t>12mm diameter bar in vault</t>
  </si>
  <si>
    <t>Vertical sides of columns and vault</t>
  </si>
  <si>
    <t>Beams, slab and fascia</t>
  </si>
  <si>
    <t>Door size 1800x2100mm high</t>
  </si>
  <si>
    <t>Ditto: Window size: 600 x 600mm high</t>
  </si>
  <si>
    <t>Ditto: Window size: 2800 x 3300mm high</t>
  </si>
  <si>
    <t>Ditto: Window size: 2100 x 3300mm high</t>
  </si>
  <si>
    <t>Ditto: Window size: 1200 x 900mm high</t>
  </si>
  <si>
    <t>Ditto: Window size: 1500 x 1500mm high</t>
  </si>
  <si>
    <t>Ditto: Window size: 1200 x 1500mm high</t>
  </si>
  <si>
    <t>Ditto: Window size: 450 x 2400mm high</t>
  </si>
  <si>
    <t>Ditto: Window size: 450 x 1500mm high</t>
  </si>
  <si>
    <t>Ditto: Window size: 1200 x 600mm high</t>
  </si>
  <si>
    <t>Ditto 1200 x 2100mm high</t>
  </si>
  <si>
    <t>8mm glazed floor tiles (minimart)</t>
  </si>
  <si>
    <t>8mm unglazed floor tiles (offices)</t>
  </si>
  <si>
    <t>8mm unglazed floor tiles (waiting area &amp; lobby)</t>
  </si>
  <si>
    <t>8mm unglazed floor tiles (external)</t>
  </si>
  <si>
    <t>Lintels + Beams</t>
  </si>
  <si>
    <t>High yield deformed bars to BS 4449 in lintels,column and beams</t>
  </si>
  <si>
    <t>EXTERNAL  WALL</t>
  </si>
  <si>
    <t xml:space="preserve">WINDOWS </t>
  </si>
  <si>
    <t>L11: Metal windows/rooflights/screens/louvres/gates</t>
  </si>
  <si>
    <t>Window size 900 x 1500mm high</t>
  </si>
  <si>
    <t>INTERNAL WALL</t>
  </si>
  <si>
    <t>Roof slab</t>
  </si>
  <si>
    <t>Dome</t>
  </si>
  <si>
    <t>Sides of beam and slab</t>
  </si>
  <si>
    <t>Parapet</t>
  </si>
  <si>
    <t>Vertical sides of parapet walls</t>
  </si>
  <si>
    <t>Internal work and external work</t>
  </si>
  <si>
    <t>Brick tiles bedded and jointed in cement and sand (1:3) screeded backing (measured separately) and well pointed on walls</t>
  </si>
  <si>
    <t>Mihrab office/utility store</t>
  </si>
  <si>
    <t>Mosque hall</t>
  </si>
  <si>
    <t xml:space="preserve"> Entrance</t>
  </si>
  <si>
    <t xml:space="preserve">Allow provisional sum for this section of work </t>
  </si>
  <si>
    <t>MASJID (MOSQUE)</t>
  </si>
  <si>
    <t>Prelims @ 3%</t>
  </si>
  <si>
    <t>12mm diameter bar in lintel/columns</t>
  </si>
  <si>
    <t>10mm diameter bars in lintel/column</t>
  </si>
  <si>
    <t>Window size 1500 x 1500mm high</t>
  </si>
  <si>
    <t>Window size 1200 x 1500mm high</t>
  </si>
  <si>
    <t>Window size 600 x 1500mm high</t>
  </si>
  <si>
    <t>Door size 1200x2100mm high</t>
  </si>
  <si>
    <t>Ditto 1800 x 2100mm high</t>
  </si>
  <si>
    <t>Minaret</t>
  </si>
  <si>
    <t xml:space="preserve">Ridge cap </t>
  </si>
  <si>
    <t>beam</t>
  </si>
  <si>
    <t xml:space="preserve">Ditto 900 x 900mm high window </t>
  </si>
  <si>
    <t>STEEL PANEL SWING DOOR FIXED TO MANUFACTURER'S DETAILS</t>
  </si>
  <si>
    <t>Ditto 3000x2400mm high</t>
  </si>
  <si>
    <t>Ditto 1200x2400mm high</t>
  </si>
  <si>
    <t>Slab/roof beam externally including  copping.</t>
  </si>
  <si>
    <t>Sides of beam/slab/coping</t>
  </si>
  <si>
    <t xml:space="preserve"> Gable wall</t>
  </si>
  <si>
    <t>Generator room</t>
  </si>
  <si>
    <t>POWER HOUSE</t>
  </si>
  <si>
    <t>Ditto 1200x2100mm high</t>
  </si>
  <si>
    <t>Sides of beam/fascia</t>
  </si>
  <si>
    <t>PUBLIC TOILET</t>
  </si>
  <si>
    <t>MAIN BUILDING (POWER HOUSE )</t>
  </si>
  <si>
    <t>MAIN BUILDING (PUBLIC TOILET  )</t>
  </si>
  <si>
    <t xml:space="preserve">Terrazo floor finish of approved colour, bedded and jointed in cement and sand (1:3) mix floated bed (measured separately) with and including pointing with matching cement colour. </t>
  </si>
  <si>
    <t>PVC CEILING</t>
  </si>
  <si>
    <t>ADMIN OFFICE</t>
  </si>
  <si>
    <t>POWE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</si>
</sst>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quot;$&quot;#,##0_);[Red]\(&quot;$&quot;#,##0\)"/>
    <numFmt numFmtId="165" formatCode="_(&quot;$&quot;* #,##0.00_);_(&quot;$&quot;* \(#,##0.00\);_(&quot;$&quot;* &quot;-&quot;??_);_(@_)"/>
    <numFmt numFmtId="166" formatCode="_(* #,##0.00_);_(* \(#,##0.00\);_(* &quot;-&quot;??_);_(@_)"/>
    <numFmt numFmtId="167" formatCode="#,##0.00;[Red]#,##0.00"/>
    <numFmt numFmtId="168" formatCode="_-* #,##0.00_-;\-* #,##0.00_-;_-* &quot;-&quot;??_-;_-@"/>
    <numFmt numFmtId="169" formatCode="_(* #,##0_);_(* \(#,##0\);_(* &quot;-&quot;??_);_(@_)"/>
    <numFmt numFmtId="170" formatCode="#,##0;[Red]#,##0"/>
    <numFmt numFmtId="171" formatCode="_-* #,##0_-;\-* #,##0_-;_-* &quot;-&quot;??_-;_-@_-"/>
    <numFmt numFmtId="172" formatCode="0.0"/>
    <numFmt numFmtId="173" formatCode="_(* #,##0_);_(* \(#,##0\);_(* &quot;-&quot;?_);_(@_)"/>
    <numFmt numFmtId="174" formatCode="#,##0.000"/>
  </numFmts>
  <fonts count="90" x14ac:knownFonts="1">
    <font>
      <sz val="11"/>
      <color theme="1"/>
      <name val="Calibri"/>
      <family val="2"/>
      <scheme val="minor"/>
    </font>
    <font>
      <sz val="11"/>
      <color theme="1"/>
      <name val="Calibri"/>
      <family val="2"/>
      <scheme val="minor"/>
    </font>
    <font>
      <sz val="12"/>
      <name val="Arial"/>
      <family val="2"/>
    </font>
    <font>
      <b/>
      <sz val="9"/>
      <name val="Times New Roman"/>
      <family val="1"/>
    </font>
    <font>
      <sz val="9"/>
      <name val="Times New Roman"/>
      <family val="1"/>
    </font>
    <font>
      <sz val="10"/>
      <name val="Arial"/>
      <family val="2"/>
    </font>
    <font>
      <u/>
      <sz val="9"/>
      <name val="Times New Roman"/>
      <family val="1"/>
    </font>
    <font>
      <b/>
      <u/>
      <sz val="9"/>
      <name val="Times New Roman"/>
      <family val="1"/>
    </font>
    <font>
      <vertAlign val="superscript"/>
      <sz val="9"/>
      <name val="Times New Roman"/>
      <family val="1"/>
    </font>
    <font>
      <sz val="9"/>
      <color theme="1"/>
      <name val="Times New Roman"/>
      <family val="1"/>
    </font>
    <font>
      <sz val="9"/>
      <color indexed="8"/>
      <name val="Times New Roman"/>
      <family val="1"/>
    </font>
    <font>
      <sz val="9"/>
      <color rgb="FFFF0000"/>
      <name val="Times New Roman"/>
      <family val="1"/>
    </font>
    <font>
      <b/>
      <sz val="8"/>
      <name val="Comic Sans MS"/>
      <family val="4"/>
    </font>
    <font>
      <sz val="8"/>
      <name val="Comic Sans MS"/>
      <family val="4"/>
    </font>
    <font>
      <sz val="10"/>
      <name val="Comic Sans MS"/>
      <family val="4"/>
    </font>
    <font>
      <sz val="11"/>
      <color theme="1"/>
      <name val="Calibri"/>
      <family val="2"/>
      <charset val="178"/>
      <scheme val="minor"/>
    </font>
    <font>
      <sz val="9"/>
      <name val="Comic Sans MS"/>
      <family val="4"/>
    </font>
    <font>
      <sz val="9"/>
      <name val="Arial"/>
      <family val="2"/>
    </font>
    <font>
      <sz val="11"/>
      <color rgb="FF000000"/>
      <name val="Calibri"/>
      <family val="2"/>
    </font>
    <font>
      <sz val="11"/>
      <color theme="1"/>
      <name val="Times New Roman"/>
      <family val="2"/>
    </font>
    <font>
      <sz val="9"/>
      <color rgb="FF000000"/>
      <name val="Times New Roman"/>
      <family val="1"/>
    </font>
    <font>
      <i/>
      <sz val="9"/>
      <name val="Times New Roman"/>
      <family val="1"/>
    </font>
    <font>
      <b/>
      <sz val="9"/>
      <color rgb="FFFF0000"/>
      <name val="Times New Roman"/>
      <family val="1"/>
    </font>
    <font>
      <b/>
      <sz val="9"/>
      <color theme="1"/>
      <name val="Times New Roman"/>
      <family val="1"/>
    </font>
    <font>
      <b/>
      <i/>
      <sz val="9"/>
      <name val="Times New Roman"/>
      <family val="1"/>
    </font>
    <font>
      <b/>
      <u/>
      <sz val="9"/>
      <color rgb="FF00B0F0"/>
      <name val="Times New Roman"/>
      <family val="1"/>
    </font>
    <font>
      <b/>
      <sz val="9"/>
      <name val="Comic Sans MS"/>
      <family val="4"/>
    </font>
    <font>
      <sz val="11"/>
      <name val="Comic Sans MS"/>
      <family val="4"/>
    </font>
    <font>
      <i/>
      <sz val="11"/>
      <name val="Comic Sans MS"/>
      <family val="4"/>
    </font>
    <font>
      <b/>
      <u/>
      <sz val="10"/>
      <name val="Comic Sans MS"/>
      <family val="4"/>
    </font>
    <font>
      <i/>
      <sz val="10"/>
      <name val="Comic Sans MS"/>
      <family val="4"/>
    </font>
    <font>
      <b/>
      <sz val="10"/>
      <name val="Comic Sans MS"/>
      <family val="4"/>
    </font>
    <font>
      <vertAlign val="superscript"/>
      <sz val="10"/>
      <name val="Comic Sans MS"/>
      <family val="4"/>
    </font>
    <font>
      <i/>
      <sz val="8"/>
      <name val="Comic Sans MS"/>
      <family val="4"/>
    </font>
    <font>
      <u/>
      <sz val="10"/>
      <name val="Comic Sans MS"/>
      <family val="4"/>
    </font>
    <font>
      <b/>
      <i/>
      <sz val="10"/>
      <name val="Comic Sans MS"/>
      <family val="4"/>
    </font>
    <font>
      <sz val="10"/>
      <color theme="1"/>
      <name val="Comic Sans MS"/>
      <family val="4"/>
    </font>
    <font>
      <b/>
      <u/>
      <sz val="11"/>
      <name val="Comic Sans MS"/>
      <family val="4"/>
    </font>
    <font>
      <b/>
      <sz val="11"/>
      <name val="Comic Sans MS"/>
      <family val="4"/>
    </font>
    <font>
      <b/>
      <i/>
      <sz val="11"/>
      <name val="Comic Sans MS"/>
      <family val="4"/>
    </font>
    <font>
      <sz val="11"/>
      <color theme="1"/>
      <name val="Comic Sans MS"/>
      <family val="4"/>
    </font>
    <font>
      <b/>
      <sz val="11"/>
      <color theme="1"/>
      <name val="Comic Sans MS"/>
      <family val="4"/>
    </font>
    <font>
      <b/>
      <u/>
      <sz val="11"/>
      <color rgb="FF000000"/>
      <name val="Comic Sans MS"/>
      <family val="4"/>
    </font>
    <font>
      <sz val="10"/>
      <color rgb="FFFF0000"/>
      <name val="Comic Sans MS"/>
      <family val="4"/>
    </font>
    <font>
      <b/>
      <sz val="10"/>
      <color rgb="FFFF0000"/>
      <name val="Comic Sans MS"/>
      <family val="4"/>
    </font>
    <font>
      <b/>
      <sz val="10"/>
      <color rgb="FF0070C0"/>
      <name val="Comic Sans MS"/>
      <family val="4"/>
    </font>
    <font>
      <b/>
      <sz val="10"/>
      <color theme="1"/>
      <name val="Comic Sans MS"/>
      <family val="4"/>
    </font>
    <font>
      <b/>
      <u/>
      <sz val="10"/>
      <color theme="1"/>
      <name val="Comic Sans MS"/>
      <family val="4"/>
    </font>
    <font>
      <b/>
      <sz val="10"/>
      <color theme="1"/>
      <name val="Times New Roman"/>
      <family val="1"/>
    </font>
    <font>
      <sz val="10"/>
      <color theme="1"/>
      <name val="Times New Roman"/>
      <family val="1"/>
    </font>
    <font>
      <b/>
      <sz val="10"/>
      <color rgb="FFFF0000"/>
      <name val="Times New Roman"/>
      <family val="1"/>
    </font>
    <font>
      <b/>
      <sz val="10"/>
      <color rgb="FF00B0F0"/>
      <name val="Times New Roman"/>
      <family val="1"/>
    </font>
    <font>
      <i/>
      <sz val="10"/>
      <color theme="1"/>
      <name val="Comic Sans MS"/>
      <family val="4"/>
    </font>
    <font>
      <sz val="8"/>
      <color theme="1"/>
      <name val="Comic Sans MS"/>
      <family val="4"/>
    </font>
    <font>
      <b/>
      <u/>
      <sz val="8"/>
      <color theme="1"/>
      <name val="Comic Sans MS"/>
      <family val="4"/>
    </font>
    <font>
      <sz val="10"/>
      <name val="MS Sans Serif"/>
    </font>
    <font>
      <b/>
      <sz val="24"/>
      <name val="Candara"/>
      <family val="2"/>
    </font>
    <font>
      <b/>
      <sz val="20"/>
      <name val="Candara"/>
      <family val="2"/>
    </font>
    <font>
      <b/>
      <u/>
      <sz val="14"/>
      <name val="Candara"/>
      <family val="2"/>
    </font>
    <font>
      <b/>
      <sz val="12"/>
      <name val="Candara"/>
      <family val="2"/>
    </font>
    <font>
      <sz val="11"/>
      <name val="Palatino Linotype"/>
      <family val="1"/>
    </font>
    <font>
      <sz val="12"/>
      <name val="Candara"/>
      <family val="2"/>
    </font>
    <font>
      <sz val="9"/>
      <name val="Palatino Linotype"/>
      <family val="1"/>
    </font>
    <font>
      <sz val="11"/>
      <name val="Candara"/>
      <family val="2"/>
    </font>
    <font>
      <vertAlign val="superscript"/>
      <sz val="11"/>
      <name val="Comic Sans MS"/>
      <family val="4"/>
    </font>
    <font>
      <u/>
      <sz val="11"/>
      <name val="Comic Sans MS"/>
      <family val="4"/>
    </font>
    <font>
      <b/>
      <sz val="10"/>
      <name val="Times New Roman"/>
      <family val="1"/>
    </font>
    <font>
      <b/>
      <sz val="10"/>
      <name val="Arial"/>
      <family val="2"/>
    </font>
    <font>
      <sz val="10"/>
      <name val="Times New Roman"/>
      <family val="1"/>
    </font>
    <font>
      <b/>
      <u/>
      <sz val="10"/>
      <name val="Times New Roman"/>
      <family val="1"/>
    </font>
    <font>
      <u/>
      <sz val="10"/>
      <name val="Times New Roman"/>
      <family val="1"/>
    </font>
    <font>
      <b/>
      <sz val="23"/>
      <name val="Cambria"/>
      <family val="1"/>
    </font>
    <font>
      <b/>
      <sz val="11"/>
      <name val="Calibri"/>
      <family val="2"/>
      <scheme val="minor"/>
    </font>
    <font>
      <b/>
      <sz val="14"/>
      <name val="Cambria"/>
      <family val="1"/>
    </font>
    <font>
      <b/>
      <sz val="26"/>
      <name val="Cambria"/>
      <family val="1"/>
    </font>
    <font>
      <b/>
      <sz val="20"/>
      <name val="Cambria"/>
      <family val="1"/>
    </font>
    <font>
      <b/>
      <sz val="24"/>
      <name val="Cambria"/>
      <family val="1"/>
    </font>
    <font>
      <b/>
      <sz val="11"/>
      <name val="Times New Roman"/>
      <family val="1"/>
    </font>
    <font>
      <b/>
      <sz val="31"/>
      <name val="Cambria"/>
      <family val="1"/>
    </font>
    <font>
      <b/>
      <sz val="11"/>
      <name val="Bauhaus 93"/>
      <family val="5"/>
    </font>
    <font>
      <u/>
      <sz val="10"/>
      <color theme="10"/>
      <name val="Arial"/>
      <family val="2"/>
    </font>
    <font>
      <b/>
      <u/>
      <sz val="10"/>
      <name val="Arial"/>
      <family val="2"/>
    </font>
    <font>
      <b/>
      <i/>
      <sz val="8"/>
      <name val="Calibri"/>
      <family val="2"/>
    </font>
    <font>
      <sz val="10"/>
      <color rgb="FF000000"/>
      <name val="Comic Sans MS"/>
      <family val="4"/>
    </font>
    <font>
      <b/>
      <sz val="10"/>
      <color rgb="FF000000"/>
      <name val="Comic Sans MS"/>
      <family val="4"/>
    </font>
    <font>
      <u/>
      <sz val="10"/>
      <color rgb="FF000000"/>
      <name val="Comic Sans MS"/>
      <family val="4"/>
    </font>
    <font>
      <b/>
      <sz val="11"/>
      <name val="Cambria"/>
      <family val="1"/>
    </font>
    <font>
      <sz val="10"/>
      <name val="Arial"/>
      <family val="2"/>
    </font>
    <font>
      <sz val="12"/>
      <color theme="1"/>
      <name val="Comic Sans MS"/>
      <family val="4"/>
    </font>
    <font>
      <b/>
      <sz val="14"/>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70C0"/>
        <bgColor indexed="64"/>
      </patternFill>
    </fill>
  </fills>
  <borders count="22">
    <border>
      <left/>
      <right/>
      <top/>
      <bottom/>
      <diagonal/>
    </border>
    <border>
      <left style="hair">
        <color indexed="64"/>
      </left>
      <right style="hair">
        <color indexed="64"/>
      </right>
      <top/>
      <bottom/>
      <diagonal/>
    </border>
    <border>
      <left/>
      <right/>
      <top style="thin">
        <color auto="1"/>
      </top>
      <bottom/>
      <diagonal/>
    </border>
    <border>
      <left/>
      <right/>
      <top/>
      <bottom style="thin">
        <color indexed="64"/>
      </bottom>
      <diagonal/>
    </border>
    <border>
      <left style="thin">
        <color rgb="FF87CEFA"/>
      </left>
      <right/>
      <top/>
      <bottom/>
      <diagonal/>
    </border>
    <border>
      <left style="thin">
        <color rgb="FF87CEFA"/>
      </left>
      <right style="thin">
        <color rgb="FF87CEFA"/>
      </right>
      <top/>
      <bottom/>
      <diagonal/>
    </border>
    <border>
      <left/>
      <right/>
      <top style="thin">
        <color indexed="64"/>
      </top>
      <bottom style="medium">
        <color indexed="64"/>
      </bottom>
      <diagonal/>
    </border>
    <border>
      <left/>
      <right/>
      <top style="thin">
        <color indexed="64"/>
      </top>
      <bottom style="double">
        <color indexed="64"/>
      </bottom>
      <diagonal/>
    </border>
    <border>
      <left style="hair">
        <color rgb="FF000000"/>
      </left>
      <right style="hair">
        <color rgb="FF000000"/>
      </right>
      <top/>
      <bottom/>
      <diagonal/>
    </border>
    <border>
      <left/>
      <right style="thin">
        <color auto="1"/>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17600024414813E-2"/>
      </left>
      <right style="thin">
        <color theme="2" tint="-9.9917600024414813E-2"/>
      </right>
      <top style="thin">
        <color theme="2" tint="-9.9948118533890809E-2"/>
      </top>
      <bottom style="thin">
        <color theme="2" tint="-9.9917600024414813E-2"/>
      </bottom>
      <diagonal/>
    </border>
    <border>
      <left style="thin">
        <color rgb="FF99CCFF"/>
      </left>
      <right style="thin">
        <color rgb="FF99CCFF"/>
      </right>
      <top/>
      <bottom/>
      <diagonal/>
    </border>
    <border>
      <left style="thin">
        <color theme="2" tint="-9.9917600024414813E-2"/>
      </left>
      <right style="thin">
        <color theme="2" tint="-9.9917600024414813E-2"/>
      </right>
      <top style="thin">
        <color theme="2" tint="-9.9917600024414813E-2"/>
      </top>
      <bottom style="thin">
        <color theme="2" tint="-9.9917600024414813E-2"/>
      </bottom>
      <diagonal/>
    </border>
    <border>
      <left style="thin">
        <color indexed="64"/>
      </left>
      <right style="double">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bottom/>
      <diagonal/>
    </border>
    <border>
      <left style="thin">
        <color indexed="64"/>
      </left>
      <right style="thin">
        <color indexed="64"/>
      </right>
      <top/>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s>
  <cellStyleXfs count="41">
    <xf numFmtId="0" fontId="0" fillId="0" borderId="0"/>
    <xf numFmtId="166" fontId="1" fillId="0" borderId="0" applyFont="0" applyFill="0" applyBorder="0" applyAlignment="0" applyProtection="0"/>
    <xf numFmtId="0" fontId="2" fillId="0" borderId="0"/>
    <xf numFmtId="0" fontId="5" fillId="0" borderId="0"/>
    <xf numFmtId="166" fontId="2" fillId="0" borderId="0" applyFont="0" applyFill="0" applyBorder="0" applyAlignment="0" applyProtection="0"/>
    <xf numFmtId="0" fontId="1" fillId="0" borderId="0"/>
    <xf numFmtId="0" fontId="2" fillId="0" borderId="0"/>
    <xf numFmtId="0" fontId="5" fillId="0" borderId="0"/>
    <xf numFmtId="0" fontId="15" fillId="0" borderId="0"/>
    <xf numFmtId="166" fontId="5" fillId="0" borderId="0" applyFont="0" applyFill="0" applyBorder="0" applyAlignment="0" applyProtection="0"/>
    <xf numFmtId="0" fontId="18"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6" fontId="15" fillId="0" borderId="0" applyFont="0" applyFill="0" applyBorder="0" applyAlignment="0" applyProtection="0"/>
    <xf numFmtId="166" fontId="5" fillId="0" borderId="0" applyFont="0" applyFill="0" applyBorder="0" applyAlignment="0" applyProtection="0"/>
    <xf numFmtId="0" fontId="19" fillId="0" borderId="0"/>
    <xf numFmtId="166" fontId="5" fillId="0" borderId="0" applyFont="0" applyFill="0" applyBorder="0" applyAlignment="0" applyProtection="0"/>
    <xf numFmtId="0" fontId="5" fillId="0" borderId="0"/>
    <xf numFmtId="0" fontId="18" fillId="0" borderId="0"/>
    <xf numFmtId="0" fontId="18" fillId="0" borderId="0"/>
    <xf numFmtId="0" fontId="1" fillId="0" borderId="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9" fillId="0" borderId="0"/>
    <xf numFmtId="0" fontId="55" fillId="0" borderId="0"/>
    <xf numFmtId="0" fontId="5" fillId="0" borderId="0" applyBorder="0"/>
    <xf numFmtId="166" fontId="5" fillId="0" borderId="0" applyFont="0" applyFill="0" applyBorder="0" applyAlignment="0" applyProtection="0"/>
    <xf numFmtId="0" fontId="5" fillId="0" borderId="0"/>
    <xf numFmtId="0" fontId="1" fillId="0" borderId="0"/>
    <xf numFmtId="0" fontId="80" fillId="0" borderId="0" applyNumberFormat="0" applyFill="0" applyBorder="0" applyAlignment="0" applyProtection="0"/>
    <xf numFmtId="0" fontId="5" fillId="0" borderId="0"/>
    <xf numFmtId="0" fontId="87" fillId="0" borderId="0" applyBorder="0"/>
    <xf numFmtId="166" fontId="5" fillId="0" borderId="0" applyFont="0" applyFill="0" applyBorder="0" applyAlignment="0" applyProtection="0"/>
    <xf numFmtId="43" fontId="1" fillId="0" borderId="0" applyFont="0" applyFill="0" applyBorder="0" applyAlignment="0" applyProtection="0"/>
  </cellStyleXfs>
  <cellXfs count="634">
    <xf numFmtId="0" fontId="0" fillId="0" borderId="0" xfId="0"/>
    <xf numFmtId="0" fontId="10" fillId="0" borderId="1" xfId="2" applyFont="1" applyBorder="1" applyAlignment="1">
      <alignment wrapText="1"/>
    </xf>
    <xf numFmtId="0" fontId="3" fillId="0" borderId="0" xfId="3" applyFont="1" applyAlignment="1">
      <alignment vertical="center"/>
    </xf>
    <xf numFmtId="0" fontId="3" fillId="0" borderId="0" xfId="3" applyFont="1" applyAlignment="1">
      <alignment horizontal="left"/>
    </xf>
    <xf numFmtId="0" fontId="3" fillId="0" borderId="0" xfId="3" applyFont="1"/>
    <xf numFmtId="0" fontId="4" fillId="0" borderId="8" xfId="20" applyFont="1" applyBorder="1" applyAlignment="1">
      <alignment horizontal="left"/>
    </xf>
    <xf numFmtId="0" fontId="4" fillId="0" borderId="0" xfId="3" applyFont="1" applyAlignment="1">
      <alignment horizontal="left"/>
    </xf>
    <xf numFmtId="0" fontId="16" fillId="0" borderId="0" xfId="8" applyFont="1" applyAlignment="1">
      <alignment horizontal="center" vertical="top"/>
    </xf>
    <xf numFmtId="0" fontId="4" fillId="0" borderId="0" xfId="3" applyFont="1" applyAlignment="1">
      <alignment horizontal="center"/>
    </xf>
    <xf numFmtId="0" fontId="7" fillId="0" borderId="0" xfId="3" applyFont="1" applyAlignment="1">
      <alignment horizontal="left"/>
    </xf>
    <xf numFmtId="166" fontId="3" fillId="0" borderId="0" xfId="9" applyFont="1" applyBorder="1" applyAlignment="1">
      <alignment horizontal="right"/>
    </xf>
    <xf numFmtId="166" fontId="3" fillId="0" borderId="0" xfId="9" applyFont="1" applyBorder="1"/>
    <xf numFmtId="0" fontId="4" fillId="0" borderId="0" xfId="3" applyFont="1"/>
    <xf numFmtId="166" fontId="7" fillId="0" borderId="0" xfId="9" applyFont="1" applyBorder="1"/>
    <xf numFmtId="166" fontId="4" fillId="0" borderId="0" xfId="9" applyFont="1" applyBorder="1" applyAlignment="1">
      <alignment horizontal="center"/>
    </xf>
    <xf numFmtId="166" fontId="4" fillId="0" borderId="0" xfId="9" applyFont="1" applyBorder="1"/>
    <xf numFmtId="0" fontId="4" fillId="0" borderId="0" xfId="8" applyFont="1" applyAlignment="1">
      <alignment horizontal="center" vertical="top"/>
    </xf>
    <xf numFmtId="0" fontId="7" fillId="0" borderId="0" xfId="8" applyFont="1"/>
    <xf numFmtId="166" fontId="21" fillId="0" borderId="0" xfId="9" applyFont="1" applyBorder="1" applyAlignment="1">
      <alignment horizontal="right" vertical="top"/>
    </xf>
    <xf numFmtId="166" fontId="4" fillId="0" borderId="0" xfId="9" applyFont="1" applyBorder="1" applyAlignment="1">
      <alignment vertical="top"/>
    </xf>
    <xf numFmtId="0" fontId="9" fillId="0" borderId="0" xfId="8" applyFont="1"/>
    <xf numFmtId="0" fontId="4" fillId="0" borderId="0" xfId="8" applyFont="1"/>
    <xf numFmtId="0" fontId="6" fillId="0" borderId="0" xfId="8" applyFont="1" applyAlignment="1">
      <alignment vertical="top" wrapText="1"/>
    </xf>
    <xf numFmtId="0" fontId="4" fillId="0" borderId="0" xfId="8" applyFont="1" applyAlignment="1">
      <alignment horizontal="center"/>
    </xf>
    <xf numFmtId="166" fontId="4" fillId="0" borderId="0" xfId="9" applyFont="1" applyBorder="1" applyAlignment="1">
      <alignment horizontal="right"/>
    </xf>
    <xf numFmtId="166" fontId="3" fillId="0" borderId="0" xfId="9" applyFont="1" applyBorder="1" applyAlignment="1">
      <alignment horizontal="left"/>
    </xf>
    <xf numFmtId="0" fontId="4" fillId="0" borderId="0" xfId="3" applyFont="1" applyAlignment="1">
      <alignment horizontal="center" vertical="center"/>
    </xf>
    <xf numFmtId="0" fontId="7" fillId="0" borderId="0" xfId="3" applyFont="1" applyAlignment="1">
      <alignment horizontal="left" vertical="center" wrapText="1"/>
    </xf>
    <xf numFmtId="166" fontId="4" fillId="0" borderId="0" xfId="9" applyFont="1" applyBorder="1" applyAlignment="1">
      <alignment vertical="center"/>
    </xf>
    <xf numFmtId="166" fontId="3" fillId="0" borderId="0" xfId="9" applyFont="1" applyBorder="1" applyAlignment="1">
      <alignment vertical="center"/>
    </xf>
    <xf numFmtId="0" fontId="4" fillId="0" borderId="0" xfId="3" applyFont="1" applyAlignment="1">
      <alignment vertical="center"/>
    </xf>
    <xf numFmtId="0" fontId="4" fillId="0" borderId="0" xfId="3" applyFont="1" applyAlignment="1">
      <alignment horizontal="left" vertical="center" wrapText="1"/>
    </xf>
    <xf numFmtId="0" fontId="3" fillId="0" borderId="0" xfId="3" applyFont="1" applyAlignment="1">
      <alignment horizontal="left" vertical="center" wrapText="1"/>
    </xf>
    <xf numFmtId="1" fontId="3" fillId="0" borderId="0" xfId="3" applyNumberFormat="1" applyFont="1" applyAlignment="1">
      <alignment horizontal="center" vertical="center"/>
    </xf>
    <xf numFmtId="166" fontId="3" fillId="0" borderId="0" xfId="9" applyFont="1" applyBorder="1" applyAlignment="1">
      <alignment horizontal="right" vertical="center"/>
    </xf>
    <xf numFmtId="0" fontId="6" fillId="0" borderId="0" xfId="3" applyFont="1" applyAlignment="1">
      <alignment horizontal="left" vertical="center" wrapText="1"/>
    </xf>
    <xf numFmtId="1" fontId="4" fillId="0" borderId="0" xfId="3" applyNumberFormat="1" applyFont="1" applyAlignment="1">
      <alignment horizontal="center" vertical="center"/>
    </xf>
    <xf numFmtId="0" fontId="4" fillId="0" borderId="0" xfId="3" applyFont="1" applyAlignment="1">
      <alignment horizontal="right" vertical="center" wrapText="1"/>
    </xf>
    <xf numFmtId="0" fontId="23" fillId="0" borderId="0" xfId="19" applyFont="1" applyAlignment="1">
      <alignment vertical="center"/>
    </xf>
    <xf numFmtId="0" fontId="4" fillId="0" borderId="0" xfId="3" applyFont="1" applyAlignment="1">
      <alignment horizontal="center" vertical="top"/>
    </xf>
    <xf numFmtId="0" fontId="4" fillId="0" borderId="0" xfId="3" applyFont="1" applyAlignment="1">
      <alignment horizontal="justify" vertical="top" wrapText="1"/>
    </xf>
    <xf numFmtId="1" fontId="4" fillId="0" borderId="0" xfId="3" applyNumberFormat="1" applyFont="1" applyAlignment="1">
      <alignment horizontal="center"/>
    </xf>
    <xf numFmtId="167" fontId="4" fillId="0" borderId="0" xfId="9" applyNumberFormat="1" applyFont="1" applyBorder="1" applyAlignment="1">
      <alignment vertical="top"/>
    </xf>
    <xf numFmtId="167" fontId="4" fillId="0" borderId="0" xfId="3" applyNumberFormat="1" applyFont="1" applyAlignment="1">
      <alignment vertical="top"/>
    </xf>
    <xf numFmtId="0" fontId="4" fillId="0" borderId="0" xfId="3" applyFont="1" applyAlignment="1">
      <alignment vertical="top"/>
    </xf>
    <xf numFmtId="0" fontId="4" fillId="0" borderId="0" xfId="8" applyFont="1" applyAlignment="1">
      <alignment horizontal="left" vertical="top" wrapText="1"/>
    </xf>
    <xf numFmtId="0" fontId="4" fillId="0" borderId="0" xfId="3" applyFont="1" applyAlignment="1">
      <alignment horizontal="justify" wrapText="1"/>
    </xf>
    <xf numFmtId="166" fontId="4" fillId="0" borderId="0" xfId="9" applyFont="1" applyBorder="1" applyAlignment="1">
      <alignment horizontal="right" vertical="top"/>
    </xf>
    <xf numFmtId="0" fontId="6" fillId="0" borderId="0" xfId="3" applyFont="1" applyAlignment="1">
      <alignment horizontal="left"/>
    </xf>
    <xf numFmtId="0" fontId="3" fillId="0" borderId="0" xfId="3" applyFont="1" applyAlignment="1">
      <alignment horizontal="center"/>
    </xf>
    <xf numFmtId="0" fontId="3" fillId="0" borderId="0" xfId="3" applyFont="1" applyAlignment="1">
      <alignment horizontal="left" vertical="top"/>
    </xf>
    <xf numFmtId="1" fontId="3" fillId="0" borderId="0" xfId="3" applyNumberFormat="1" applyFont="1" applyAlignment="1">
      <alignment horizontal="center"/>
    </xf>
    <xf numFmtId="0" fontId="4" fillId="0" borderId="0" xfId="3" applyFont="1" applyAlignment="1">
      <alignment horizontal="right" vertical="top"/>
    </xf>
    <xf numFmtId="0" fontId="3" fillId="0" borderId="0" xfId="3" applyFont="1" applyAlignment="1">
      <alignment horizontal="center" vertical="top"/>
    </xf>
    <xf numFmtId="0" fontId="4" fillId="0" borderId="0" xfId="10" applyFont="1" applyAlignment="1">
      <alignment horizontal="left" wrapText="1"/>
    </xf>
    <xf numFmtId="166" fontId="3" fillId="0" borderId="0" xfId="9" applyFont="1" applyBorder="1" applyAlignment="1">
      <alignment vertical="top"/>
    </xf>
    <xf numFmtId="0" fontId="6" fillId="0" borderId="0" xfId="3" applyFont="1"/>
    <xf numFmtId="0" fontId="4" fillId="0" borderId="5" xfId="10" applyFont="1" applyBorder="1" applyAlignment="1">
      <alignment horizontal="center"/>
    </xf>
    <xf numFmtId="0" fontId="4" fillId="0" borderId="0" xfId="10" applyFont="1" applyAlignment="1">
      <alignment horizontal="left"/>
    </xf>
    <xf numFmtId="0" fontId="4" fillId="0" borderId="4" xfId="10" applyFont="1" applyBorder="1" applyAlignment="1">
      <alignment horizontal="center"/>
    </xf>
    <xf numFmtId="168" fontId="4" fillId="0" borderId="4" xfId="10" applyNumberFormat="1" applyFont="1" applyBorder="1"/>
    <xf numFmtId="39" fontId="4" fillId="0" borderId="5" xfId="10" applyNumberFormat="1" applyFont="1" applyBorder="1"/>
    <xf numFmtId="0" fontId="20" fillId="0" borderId="0" xfId="10" applyFont="1"/>
    <xf numFmtId="168" fontId="20" fillId="0" borderId="0" xfId="10" applyNumberFormat="1" applyFont="1"/>
    <xf numFmtId="0" fontId="3" fillId="0" borderId="0" xfId="10" applyFont="1" applyAlignment="1">
      <alignment horizontal="left"/>
    </xf>
    <xf numFmtId="0" fontId="6" fillId="0" borderId="0" xfId="3" applyFont="1" applyAlignment="1">
      <alignment wrapText="1"/>
    </xf>
    <xf numFmtId="0" fontId="4" fillId="0" borderId="5" xfId="10" applyFont="1" applyBorder="1"/>
    <xf numFmtId="167" fontId="4" fillId="0" borderId="0" xfId="9" applyNumberFormat="1" applyFont="1" applyBorder="1" applyAlignment="1">
      <alignment horizontal="right" vertical="top"/>
    </xf>
    <xf numFmtId="167" fontId="4" fillId="0" borderId="0" xfId="3" applyNumberFormat="1" applyFont="1" applyAlignment="1">
      <alignment horizontal="right" vertical="top"/>
    </xf>
    <xf numFmtId="0" fontId="7" fillId="0" borderId="0" xfId="3" applyFont="1"/>
    <xf numFmtId="0" fontId="4" fillId="0" borderId="0" xfId="3" applyFont="1" applyAlignment="1">
      <alignment vertical="top" wrapText="1"/>
    </xf>
    <xf numFmtId="0" fontId="7" fillId="0" borderId="0" xfId="3" applyFont="1" applyAlignment="1">
      <alignment vertical="top"/>
    </xf>
    <xf numFmtId="167" fontId="24" fillId="0" borderId="0" xfId="9" applyNumberFormat="1" applyFont="1" applyBorder="1" applyAlignment="1">
      <alignment horizontal="right" vertical="top"/>
    </xf>
    <xf numFmtId="167" fontId="3" fillId="0" borderId="0" xfId="9" applyNumberFormat="1" applyFont="1" applyBorder="1" applyAlignment="1">
      <alignment horizontal="right" vertical="top"/>
    </xf>
    <xf numFmtId="0" fontId="4" fillId="0" borderId="0" xfId="3" applyFont="1" applyAlignment="1">
      <alignment horizontal="left" vertical="top"/>
    </xf>
    <xf numFmtId="0" fontId="6" fillId="0" borderId="0" xfId="3" applyFont="1" applyAlignment="1">
      <alignment vertical="top" wrapText="1"/>
    </xf>
    <xf numFmtId="166" fontId="4" fillId="0" borderId="0" xfId="9" applyFont="1" applyFill="1" applyBorder="1"/>
    <xf numFmtId="166" fontId="4" fillId="2" borderId="0" xfId="9" applyFont="1" applyFill="1" applyBorder="1"/>
    <xf numFmtId="166" fontId="6" fillId="0" borderId="0" xfId="9" applyFont="1" applyBorder="1"/>
    <xf numFmtId="167" fontId="6" fillId="0" borderId="0" xfId="11" applyNumberFormat="1" applyFont="1" applyBorder="1" applyAlignment="1">
      <alignment vertical="top"/>
    </xf>
    <xf numFmtId="167" fontId="4" fillId="0" borderId="0" xfId="12" applyNumberFormat="1" applyFont="1" applyAlignment="1">
      <alignment vertical="top"/>
    </xf>
    <xf numFmtId="166" fontId="21" fillId="0" borderId="0" xfId="9" applyFont="1" applyBorder="1" applyAlignment="1">
      <alignment vertical="top"/>
    </xf>
    <xf numFmtId="0" fontId="6" fillId="0" borderId="0" xfId="12" applyFont="1" applyAlignment="1">
      <alignment vertical="top"/>
    </xf>
    <xf numFmtId="0" fontId="4" fillId="0" borderId="0" xfId="12" applyFont="1" applyAlignment="1">
      <alignment horizontal="center" vertical="top"/>
    </xf>
    <xf numFmtId="0" fontId="6" fillId="0" borderId="0" xfId="12" applyFont="1" applyAlignment="1">
      <alignment vertical="top" wrapText="1"/>
    </xf>
    <xf numFmtId="0" fontId="4" fillId="0" borderId="0" xfId="12" applyFont="1" applyAlignment="1">
      <alignment horizontal="justify" vertical="top" wrapText="1"/>
    </xf>
    <xf numFmtId="167" fontId="4" fillId="0" borderId="0" xfId="11" applyNumberFormat="1" applyFont="1" applyBorder="1" applyAlignment="1">
      <alignment vertical="top"/>
    </xf>
    <xf numFmtId="0" fontId="4" fillId="0" borderId="0" xfId="12" applyFont="1" applyAlignment="1">
      <alignment vertical="top"/>
    </xf>
    <xf numFmtId="166" fontId="4" fillId="0" borderId="0" xfId="9" applyFont="1" applyBorder="1" applyAlignment="1">
      <alignment horizontal="center" vertical="top"/>
    </xf>
    <xf numFmtId="4" fontId="4" fillId="0" borderId="0" xfId="9" applyNumberFormat="1" applyFont="1" applyBorder="1" applyAlignment="1">
      <alignment vertical="top"/>
    </xf>
    <xf numFmtId="9" fontId="6" fillId="0" borderId="0" xfId="13" applyFont="1" applyBorder="1" applyAlignment="1">
      <alignment vertical="top" wrapText="1"/>
    </xf>
    <xf numFmtId="0" fontId="6" fillId="0" borderId="0" xfId="8" applyFont="1"/>
    <xf numFmtId="167" fontId="21" fillId="0" borderId="0" xfId="8" applyNumberFormat="1" applyFont="1" applyAlignment="1">
      <alignment horizontal="right"/>
    </xf>
    <xf numFmtId="167" fontId="4" fillId="0" borderId="0" xfId="8" applyNumberFormat="1" applyFont="1" applyAlignment="1">
      <alignment vertical="top"/>
    </xf>
    <xf numFmtId="0" fontId="6" fillId="0" borderId="0" xfId="8" applyFont="1" applyAlignment="1">
      <alignment wrapText="1"/>
    </xf>
    <xf numFmtId="167" fontId="21" fillId="0" borderId="0" xfId="8" applyNumberFormat="1" applyFont="1" applyAlignment="1">
      <alignment vertical="top"/>
    </xf>
    <xf numFmtId="167" fontId="4" fillId="0" borderId="0" xfId="14" applyNumberFormat="1" applyFont="1" applyBorder="1" applyAlignment="1">
      <alignment horizontal="right"/>
    </xf>
    <xf numFmtId="167" fontId="4" fillId="0" borderId="0" xfId="14" applyNumberFormat="1" applyFont="1" applyBorder="1" applyAlignment="1">
      <alignment vertical="top"/>
    </xf>
    <xf numFmtId="167" fontId="21" fillId="0" borderId="0" xfId="14" applyNumberFormat="1" applyFont="1" applyFill="1" applyBorder="1" applyAlignment="1">
      <alignment vertical="top"/>
    </xf>
    <xf numFmtId="0" fontId="3" fillId="0" borderId="6" xfId="8" applyFont="1" applyBorder="1" applyAlignment="1">
      <alignment horizontal="center" vertical="top"/>
    </xf>
    <xf numFmtId="166" fontId="9" fillId="0" borderId="0" xfId="15" applyFont="1"/>
    <xf numFmtId="0" fontId="6" fillId="0" borderId="0" xfId="3" applyFont="1" applyAlignment="1">
      <alignment vertical="top" wrapText="1" shrinkToFit="1"/>
    </xf>
    <xf numFmtId="0" fontId="7" fillId="0" borderId="0" xfId="3" applyFont="1" applyAlignment="1">
      <alignment horizontal="left" vertical="top" wrapText="1"/>
    </xf>
    <xf numFmtId="0" fontId="4" fillId="0" borderId="0" xfId="8" applyFont="1" applyAlignment="1">
      <alignment horizontal="left"/>
    </xf>
    <xf numFmtId="0" fontId="4" fillId="0" borderId="0" xfId="8" applyFont="1" applyAlignment="1">
      <alignment horizontal="center" vertical="center"/>
    </xf>
    <xf numFmtId="4" fontId="4" fillId="0" borderId="0" xfId="8" applyNumberFormat="1" applyFont="1" applyAlignment="1">
      <alignment horizontal="right" vertical="top"/>
    </xf>
    <xf numFmtId="0" fontId="4" fillId="0" borderId="0" xfId="8" applyFont="1" applyAlignment="1">
      <alignment vertical="center"/>
    </xf>
    <xf numFmtId="0" fontId="4" fillId="0" borderId="0" xfId="10" applyFont="1" applyAlignment="1">
      <alignment horizontal="left" vertical="center" wrapText="1"/>
    </xf>
    <xf numFmtId="0" fontId="4" fillId="0" borderId="0" xfId="10" applyFont="1" applyAlignment="1">
      <alignment horizontal="center"/>
    </xf>
    <xf numFmtId="168" fontId="4" fillId="0" borderId="0" xfId="10" applyNumberFormat="1" applyFont="1"/>
    <xf numFmtId="39" fontId="4" fillId="0" borderId="0" xfId="10" applyNumberFormat="1" applyFont="1"/>
    <xf numFmtId="0" fontId="4" fillId="0" borderId="0" xfId="3" applyFont="1" applyAlignment="1">
      <alignment wrapText="1"/>
    </xf>
    <xf numFmtId="166" fontId="4" fillId="0" borderId="0" xfId="9" applyFont="1" applyBorder="1" applyAlignment="1">
      <alignment horizontal="left"/>
    </xf>
    <xf numFmtId="0" fontId="4" fillId="0" borderId="0" xfId="3" applyFont="1" applyAlignment="1">
      <alignment horizontal="center" vertical="top" wrapText="1"/>
    </xf>
    <xf numFmtId="0" fontId="7" fillId="0" borderId="0" xfId="3" applyFont="1" applyAlignment="1">
      <alignment vertical="top" wrapText="1"/>
    </xf>
    <xf numFmtId="166" fontId="4" fillId="0" borderId="0" xfId="9" applyFont="1" applyBorder="1" applyAlignment="1">
      <alignment vertical="top" wrapText="1"/>
    </xf>
    <xf numFmtId="0" fontId="7" fillId="0" borderId="0" xfId="8" applyFont="1" applyAlignment="1">
      <alignment vertical="top"/>
    </xf>
    <xf numFmtId="0" fontId="7" fillId="0" borderId="0" xfId="8" applyFont="1" applyAlignment="1">
      <alignment horizontal="left"/>
    </xf>
    <xf numFmtId="4" fontId="4" fillId="0" borderId="0" xfId="9" applyNumberFormat="1" applyFont="1" applyBorder="1" applyAlignment="1">
      <alignment horizontal="right" vertical="top"/>
    </xf>
    <xf numFmtId="0" fontId="4" fillId="0" borderId="0" xfId="8" applyFont="1" applyAlignment="1">
      <alignment vertical="top"/>
    </xf>
    <xf numFmtId="167" fontId="21" fillId="0" borderId="0" xfId="9" applyNumberFormat="1" applyFont="1" applyFill="1" applyBorder="1" applyAlignment="1">
      <alignment vertical="top"/>
    </xf>
    <xf numFmtId="166" fontId="7" fillId="0" borderId="0" xfId="16" applyFont="1" applyAlignment="1">
      <alignment horizontal="left"/>
    </xf>
    <xf numFmtId="4" fontId="4" fillId="0" borderId="0" xfId="15" applyNumberFormat="1" applyFont="1" applyBorder="1" applyAlignment="1">
      <alignment horizontal="right"/>
    </xf>
    <xf numFmtId="166" fontId="4" fillId="0" borderId="0" xfId="15" applyFont="1" applyBorder="1" applyAlignment="1">
      <alignment vertical="top"/>
    </xf>
    <xf numFmtId="4" fontId="4" fillId="0" borderId="0" xfId="16" applyNumberFormat="1" applyFont="1" applyBorder="1" applyAlignment="1">
      <alignment horizontal="right" vertical="top"/>
    </xf>
    <xf numFmtId="167" fontId="3" fillId="0" borderId="0" xfId="9" applyNumberFormat="1" applyFont="1" applyBorder="1" applyAlignment="1">
      <alignment vertical="top"/>
    </xf>
    <xf numFmtId="167" fontId="4" fillId="0" borderId="0" xfId="8" applyNumberFormat="1" applyFont="1"/>
    <xf numFmtId="0" fontId="3" fillId="0" borderId="0" xfId="8" applyFont="1" applyAlignment="1">
      <alignment horizontal="center" vertical="top"/>
    </xf>
    <xf numFmtId="4" fontId="3" fillId="0" borderId="0" xfId="8" applyNumberFormat="1" applyFont="1" applyAlignment="1">
      <alignment horizontal="right" vertical="top"/>
    </xf>
    <xf numFmtId="167" fontId="3" fillId="0" borderId="0" xfId="8" applyNumberFormat="1" applyFont="1" applyAlignment="1">
      <alignment vertical="top"/>
    </xf>
    <xf numFmtId="0" fontId="4" fillId="0" borderId="0" xfId="17" applyFont="1" applyAlignment="1">
      <alignment horizontal="center" vertical="center"/>
    </xf>
    <xf numFmtId="0" fontId="7" fillId="0" borderId="0" xfId="17" applyFont="1" applyAlignment="1">
      <alignment horizontal="left" vertical="center" wrapText="1"/>
    </xf>
    <xf numFmtId="4" fontId="4" fillId="0" borderId="0" xfId="9" applyNumberFormat="1" applyFont="1" applyBorder="1" applyAlignment="1">
      <alignment horizontal="right" vertical="center"/>
    </xf>
    <xf numFmtId="167" fontId="4" fillId="0" borderId="0" xfId="9" applyNumberFormat="1" applyFont="1" applyBorder="1" applyAlignment="1">
      <alignment vertical="center"/>
    </xf>
    <xf numFmtId="0" fontId="4" fillId="0" borderId="0" xfId="17" applyFont="1" applyAlignment="1">
      <alignment vertical="center"/>
    </xf>
    <xf numFmtId="0" fontId="4" fillId="0" borderId="0" xfId="17" applyFont="1" applyAlignment="1">
      <alignment vertical="center" wrapText="1"/>
    </xf>
    <xf numFmtId="167" fontId="21" fillId="0" borderId="0" xfId="9" applyNumberFormat="1" applyFont="1" applyFill="1" applyBorder="1" applyAlignment="1">
      <alignment vertical="center"/>
    </xf>
    <xf numFmtId="167" fontId="21" fillId="0" borderId="0" xfId="17" applyNumberFormat="1" applyFont="1" applyAlignment="1">
      <alignment vertical="center"/>
    </xf>
    <xf numFmtId="166" fontId="7" fillId="0" borderId="0" xfId="16" applyFont="1" applyAlignment="1">
      <alignment horizontal="left" vertical="center" wrapText="1"/>
    </xf>
    <xf numFmtId="4" fontId="4" fillId="0" borderId="0" xfId="17" applyNumberFormat="1" applyFont="1" applyAlignment="1">
      <alignment horizontal="right" vertical="center"/>
    </xf>
    <xf numFmtId="167" fontId="4" fillId="0" borderId="0" xfId="17" applyNumberFormat="1" applyFont="1" applyAlignment="1">
      <alignment vertical="center"/>
    </xf>
    <xf numFmtId="0" fontId="7" fillId="0" borderId="0" xfId="17" applyFont="1" applyAlignment="1">
      <alignment vertical="center" wrapText="1"/>
    </xf>
    <xf numFmtId="4" fontId="4" fillId="0" borderId="0" xfId="18" applyNumberFormat="1" applyFont="1" applyBorder="1" applyAlignment="1">
      <alignment horizontal="right" vertical="center"/>
    </xf>
    <xf numFmtId="166" fontId="4" fillId="0" borderId="0" xfId="18" applyFont="1" applyBorder="1" applyAlignment="1">
      <alignment vertical="center"/>
    </xf>
    <xf numFmtId="0" fontId="3" fillId="0" borderId="0" xfId="3" applyFont="1" applyAlignment="1">
      <alignment horizontal="center" vertical="center"/>
    </xf>
    <xf numFmtId="166" fontId="3" fillId="0" borderId="0" xfId="15" applyFont="1" applyFill="1" applyAlignment="1">
      <alignment horizontal="right" vertical="center"/>
    </xf>
    <xf numFmtId="167" fontId="24" fillId="0" borderId="0" xfId="11" applyNumberFormat="1" applyFont="1" applyFill="1" applyAlignment="1">
      <alignment vertical="center"/>
    </xf>
    <xf numFmtId="0" fontId="4" fillId="0" borderId="0" xfId="8" applyFont="1" applyAlignment="1">
      <alignment vertical="top" wrapText="1"/>
    </xf>
    <xf numFmtId="0" fontId="4" fillId="0" borderId="0" xfId="19" applyFont="1" applyAlignment="1">
      <alignment vertical="center"/>
    </xf>
    <xf numFmtId="166" fontId="4" fillId="0" borderId="0" xfId="3" applyNumberFormat="1" applyFont="1"/>
    <xf numFmtId="43" fontId="4" fillId="0" borderId="0" xfId="3" applyNumberFormat="1" applyFont="1"/>
    <xf numFmtId="166" fontId="4" fillId="0" borderId="0" xfId="15" applyFont="1"/>
    <xf numFmtId="0" fontId="4" fillId="0" borderId="0" xfId="0" applyFont="1" applyAlignment="1">
      <alignment vertical="center"/>
    </xf>
    <xf numFmtId="0" fontId="6" fillId="0" borderId="0" xfId="8" applyFont="1" applyAlignment="1">
      <alignment horizontal="left"/>
    </xf>
    <xf numFmtId="4" fontId="4" fillId="0" borderId="0" xfId="3" applyNumberFormat="1" applyFont="1" applyAlignment="1">
      <alignment horizontal="center" vertical="top"/>
    </xf>
    <xf numFmtId="167" fontId="21" fillId="0" borderId="0" xfId="3" applyNumberFormat="1" applyFont="1" applyAlignment="1">
      <alignment horizontal="right" vertical="top"/>
    </xf>
    <xf numFmtId="0" fontId="4" fillId="0" borderId="0" xfId="8" applyFont="1" applyAlignment="1">
      <alignment horizontal="right"/>
    </xf>
    <xf numFmtId="167" fontId="3" fillId="0" borderId="0" xfId="8" applyNumberFormat="1" applyFont="1" applyAlignment="1">
      <alignment horizontal="right" vertical="top"/>
    </xf>
    <xf numFmtId="4" fontId="3" fillId="0" borderId="0" xfId="9" applyNumberFormat="1" applyFont="1" applyBorder="1" applyAlignment="1">
      <alignment horizontal="center" vertical="center"/>
    </xf>
    <xf numFmtId="167" fontId="24" fillId="0" borderId="0" xfId="9" applyNumberFormat="1" applyFont="1" applyBorder="1" applyAlignment="1">
      <alignment vertical="center"/>
    </xf>
    <xf numFmtId="169" fontId="3" fillId="0" borderId="0" xfId="1" applyNumberFormat="1" applyFont="1" applyFill="1" applyBorder="1" applyAlignment="1">
      <alignment vertical="center"/>
    </xf>
    <xf numFmtId="166" fontId="3" fillId="0" borderId="0" xfId="1" applyFont="1" applyBorder="1" applyAlignment="1">
      <alignment horizontal="center" vertical="center"/>
    </xf>
    <xf numFmtId="0" fontId="7" fillId="0" borderId="0" xfId="3" applyFont="1" applyAlignment="1">
      <alignment vertical="center"/>
    </xf>
    <xf numFmtId="169" fontId="3" fillId="0" borderId="0" xfId="1" applyNumberFormat="1" applyFont="1" applyFill="1" applyAlignment="1">
      <alignment vertical="center"/>
    </xf>
    <xf numFmtId="0" fontId="24" fillId="0" borderId="0" xfId="3" applyFont="1" applyAlignment="1">
      <alignment vertical="center"/>
    </xf>
    <xf numFmtId="169" fontId="24" fillId="0" borderId="0" xfId="1" applyNumberFormat="1" applyFont="1" applyFill="1" applyAlignment="1">
      <alignment vertical="center"/>
    </xf>
    <xf numFmtId="0" fontId="24" fillId="0" borderId="0" xfId="3" applyFont="1" applyAlignment="1">
      <alignment horizontal="center" vertical="center"/>
    </xf>
    <xf numFmtId="166" fontId="24" fillId="0" borderId="2" xfId="1" applyFont="1" applyBorder="1" applyAlignment="1">
      <alignment horizontal="center" vertical="center"/>
    </xf>
    <xf numFmtId="166" fontId="24" fillId="0" borderId="0" xfId="1" applyFont="1" applyBorder="1" applyAlignment="1">
      <alignment horizontal="center" vertical="center"/>
    </xf>
    <xf numFmtId="166" fontId="3" fillId="0" borderId="7" xfId="1" applyFont="1" applyBorder="1" applyAlignment="1">
      <alignment horizontal="center" vertical="center"/>
    </xf>
    <xf numFmtId="1" fontId="16" fillId="0" borderId="0" xfId="3" applyNumberFormat="1" applyFont="1" applyAlignment="1">
      <alignment horizontal="center" vertical="top"/>
    </xf>
    <xf numFmtId="1" fontId="16" fillId="0" borderId="0" xfId="3" applyNumberFormat="1" applyFont="1" applyAlignment="1">
      <alignment horizontal="center"/>
    </xf>
    <xf numFmtId="0" fontId="17" fillId="0" borderId="0" xfId="3" applyFont="1" applyAlignment="1">
      <alignment horizontal="center"/>
    </xf>
    <xf numFmtId="0" fontId="16" fillId="0" borderId="0" xfId="3" applyFont="1" applyAlignment="1">
      <alignment horizontal="center" vertical="top"/>
    </xf>
    <xf numFmtId="0" fontId="16" fillId="0" borderId="0" xfId="3" applyFont="1" applyAlignment="1">
      <alignment horizontal="left"/>
    </xf>
    <xf numFmtId="0" fontId="16" fillId="0" borderId="0" xfId="3" applyFont="1" applyAlignment="1">
      <alignment horizontal="center" vertical="center"/>
    </xf>
    <xf numFmtId="0" fontId="16" fillId="0" borderId="0" xfId="12" applyFont="1" applyAlignment="1">
      <alignment horizontal="center" vertical="top"/>
    </xf>
    <xf numFmtId="0" fontId="16" fillId="0" borderId="4" xfId="10" applyFont="1" applyBorder="1" applyAlignment="1">
      <alignment horizontal="center"/>
    </xf>
    <xf numFmtId="166" fontId="16" fillId="0" borderId="0" xfId="9" applyFont="1" applyFill="1" applyBorder="1" applyAlignment="1">
      <alignment vertical="top"/>
    </xf>
    <xf numFmtId="0" fontId="16" fillId="0" borderId="0" xfId="8" applyFont="1" applyAlignment="1">
      <alignment horizontal="center" vertical="center"/>
    </xf>
    <xf numFmtId="0" fontId="13" fillId="0" borderId="0" xfId="8" applyFont="1" applyAlignment="1">
      <alignment horizontal="center" vertical="center"/>
    </xf>
    <xf numFmtId="1" fontId="16" fillId="0" borderId="0" xfId="3" applyNumberFormat="1" applyFont="1" applyAlignment="1">
      <alignment horizontal="center" vertical="center"/>
    </xf>
    <xf numFmtId="1" fontId="13" fillId="0" borderId="0" xfId="8" applyNumberFormat="1" applyFont="1" applyAlignment="1">
      <alignment horizontal="center"/>
    </xf>
    <xf numFmtId="166" fontId="14" fillId="0" borderId="0" xfId="9" applyFont="1" applyFill="1" applyBorder="1"/>
    <xf numFmtId="0" fontId="26" fillId="0" borderId="0" xfId="3" applyFont="1" applyAlignment="1">
      <alignment horizontal="center" vertical="top"/>
    </xf>
    <xf numFmtId="1" fontId="26" fillId="0" borderId="0" xfId="3" applyNumberFormat="1" applyFont="1" applyAlignment="1">
      <alignment horizontal="center"/>
    </xf>
    <xf numFmtId="0" fontId="13" fillId="0" borderId="0" xfId="8" applyFont="1" applyAlignment="1">
      <alignment horizontal="center"/>
    </xf>
    <xf numFmtId="0" fontId="26" fillId="0" borderId="0" xfId="3" applyFont="1" applyAlignment="1">
      <alignment horizontal="center" vertical="center"/>
    </xf>
    <xf numFmtId="1" fontId="13" fillId="0" borderId="0" xfId="8" applyNumberFormat="1" applyFont="1" applyAlignment="1">
      <alignment horizontal="center" vertical="center"/>
    </xf>
    <xf numFmtId="1" fontId="4" fillId="0" borderId="0" xfId="3" applyNumberFormat="1" applyFont="1" applyAlignment="1">
      <alignment horizontal="center" vertical="top"/>
    </xf>
    <xf numFmtId="1" fontId="4" fillId="0" borderId="0" xfId="3" applyNumberFormat="1" applyFont="1" applyAlignment="1">
      <alignment horizontal="center" vertical="top" wrapText="1"/>
    </xf>
    <xf numFmtId="1" fontId="4" fillId="0" borderId="0" xfId="9" applyNumberFormat="1" applyFont="1" applyBorder="1" applyAlignment="1">
      <alignment horizontal="center"/>
    </xf>
    <xf numFmtId="1" fontId="4" fillId="0" borderId="0" xfId="8" applyNumberFormat="1" applyFont="1" applyAlignment="1">
      <alignment horizontal="center" vertical="top"/>
    </xf>
    <xf numFmtId="1" fontId="4" fillId="0" borderId="0" xfId="8" applyNumberFormat="1" applyFont="1" applyAlignment="1">
      <alignment horizontal="center"/>
    </xf>
    <xf numFmtId="0" fontId="3" fillId="0" borderId="0" xfId="8" applyFont="1" applyAlignment="1">
      <alignment horizontal="center" vertical="center"/>
    </xf>
    <xf numFmtId="1" fontId="11" fillId="0" borderId="0" xfId="3" applyNumberFormat="1" applyFont="1" applyAlignment="1">
      <alignment horizontal="center"/>
    </xf>
    <xf numFmtId="0" fontId="16" fillId="0" borderId="0" xfId="10" applyFont="1" applyAlignment="1">
      <alignment horizontal="center"/>
    </xf>
    <xf numFmtId="0" fontId="27" fillId="0" borderId="0" xfId="3" applyFont="1" applyAlignment="1">
      <alignment horizontal="center" vertical="center"/>
    </xf>
    <xf numFmtId="0" fontId="27" fillId="0" borderId="0" xfId="3" applyFont="1" applyAlignment="1">
      <alignment horizontal="left" vertical="center"/>
    </xf>
    <xf numFmtId="1" fontId="27" fillId="0" borderId="0" xfId="3" applyNumberFormat="1" applyFont="1" applyAlignment="1">
      <alignment horizontal="center" vertical="center"/>
    </xf>
    <xf numFmtId="4" fontId="27" fillId="0" borderId="0" xfId="3" applyNumberFormat="1" applyFont="1" applyAlignment="1">
      <alignment horizontal="center" vertical="center"/>
    </xf>
    <xf numFmtId="167" fontId="28" fillId="0" borderId="0" xfId="3" applyNumberFormat="1" applyFont="1" applyAlignment="1">
      <alignment vertical="center"/>
    </xf>
    <xf numFmtId="0" fontId="27" fillId="0" borderId="0" xfId="3" applyFont="1" applyAlignment="1">
      <alignment vertical="center"/>
    </xf>
    <xf numFmtId="9" fontId="14" fillId="0" borderId="0" xfId="13" applyFont="1" applyAlignment="1">
      <alignment horizontal="center" vertical="center"/>
    </xf>
    <xf numFmtId="9" fontId="29" fillId="0" borderId="0" xfId="13" applyFont="1" applyAlignment="1">
      <alignment vertical="center"/>
    </xf>
    <xf numFmtId="169" fontId="14" fillId="0" borderId="0" xfId="1" applyNumberFormat="1" applyFont="1" applyAlignment="1">
      <alignment horizontal="center" vertical="center"/>
    </xf>
    <xf numFmtId="0" fontId="14" fillId="0" borderId="0" xfId="3" applyFont="1" applyAlignment="1">
      <alignment horizontal="center" vertical="center"/>
    </xf>
    <xf numFmtId="167" fontId="30" fillId="0" borderId="0" xfId="3" applyNumberFormat="1" applyFont="1" applyAlignment="1">
      <alignment vertical="center"/>
    </xf>
    <xf numFmtId="0" fontId="13" fillId="0" borderId="0" xfId="3" applyFont="1" applyAlignment="1">
      <alignment vertical="center"/>
    </xf>
    <xf numFmtId="0" fontId="31" fillId="0" borderId="0" xfId="3" applyFont="1" applyAlignment="1">
      <alignment horizontal="center" vertical="center"/>
    </xf>
    <xf numFmtId="0" fontId="29" fillId="0" borderId="0" xfId="3" applyFont="1" applyAlignment="1">
      <alignment vertical="center"/>
    </xf>
    <xf numFmtId="0" fontId="29" fillId="0" borderId="0" xfId="3" applyFont="1" applyAlignment="1">
      <alignment horizontal="left" vertical="center"/>
    </xf>
    <xf numFmtId="166" fontId="14" fillId="0" borderId="0" xfId="16" applyFont="1" applyAlignment="1">
      <alignment vertical="center"/>
    </xf>
    <xf numFmtId="0" fontId="5" fillId="0" borderId="0" xfId="3" applyAlignment="1">
      <alignment vertical="center"/>
    </xf>
    <xf numFmtId="0" fontId="14" fillId="0" borderId="0" xfId="3" applyFont="1" applyAlignment="1">
      <alignment vertical="center"/>
    </xf>
    <xf numFmtId="0" fontId="14" fillId="0" borderId="0" xfId="3" applyFont="1" applyAlignment="1">
      <alignment horizontal="justify" vertical="center" wrapText="1"/>
    </xf>
    <xf numFmtId="170" fontId="30" fillId="0" borderId="0" xfId="3" applyNumberFormat="1" applyFont="1" applyAlignment="1">
      <alignment vertical="center"/>
    </xf>
    <xf numFmtId="1" fontId="13" fillId="0" borderId="0" xfId="3" applyNumberFormat="1" applyFont="1" applyAlignment="1">
      <alignment vertical="center"/>
    </xf>
    <xf numFmtId="0" fontId="14" fillId="0" borderId="0" xfId="3" applyFont="1" applyAlignment="1">
      <alignment vertical="center" wrapText="1"/>
    </xf>
    <xf numFmtId="0" fontId="34" fillId="0" borderId="0" xfId="3" applyFont="1" applyAlignment="1">
      <alignment vertical="center"/>
    </xf>
    <xf numFmtId="0" fontId="31" fillId="0" borderId="0" xfId="3" applyFont="1" applyAlignment="1">
      <alignment vertical="center"/>
    </xf>
    <xf numFmtId="169" fontId="31" fillId="0" borderId="0" xfId="1" applyNumberFormat="1" applyFont="1" applyAlignment="1">
      <alignment horizontal="center" vertical="center"/>
    </xf>
    <xf numFmtId="167" fontId="35" fillId="0" borderId="0" xfId="3" applyNumberFormat="1" applyFont="1" applyAlignment="1">
      <alignment vertical="center"/>
    </xf>
    <xf numFmtId="0" fontId="12" fillId="0" borderId="0" xfId="3" applyFont="1" applyAlignment="1">
      <alignment vertical="center"/>
    </xf>
    <xf numFmtId="0" fontId="34" fillId="0" borderId="0" xfId="3" applyFont="1" applyAlignment="1">
      <alignment vertical="center" wrapText="1"/>
    </xf>
    <xf numFmtId="0" fontId="31" fillId="0" borderId="0" xfId="3" applyFont="1" applyAlignment="1">
      <alignment horizontal="left" vertical="center"/>
    </xf>
    <xf numFmtId="0" fontId="34" fillId="0" borderId="0" xfId="3" applyFont="1" applyAlignment="1">
      <alignment horizontal="left" vertical="center" wrapText="1"/>
    </xf>
    <xf numFmtId="0" fontId="30" fillId="0" borderId="0" xfId="3" applyFont="1" applyAlignment="1">
      <alignment vertical="center"/>
    </xf>
    <xf numFmtId="0" fontId="34" fillId="0" borderId="0" xfId="3" applyFont="1" applyAlignment="1">
      <alignment horizontal="justify" vertical="center" wrapText="1"/>
    </xf>
    <xf numFmtId="43" fontId="30" fillId="0" borderId="0" xfId="23" applyFont="1" applyAlignment="1">
      <alignment vertical="center"/>
    </xf>
    <xf numFmtId="167" fontId="30" fillId="0" borderId="0" xfId="3" applyNumberFormat="1" applyFont="1" applyAlignment="1">
      <alignment horizontal="right" vertical="center"/>
    </xf>
    <xf numFmtId="0" fontId="14" fillId="0" borderId="0" xfId="3" applyFont="1" applyAlignment="1">
      <alignment horizontal="right" vertical="center"/>
    </xf>
    <xf numFmtId="0" fontId="31" fillId="0" borderId="0" xfId="3" applyFont="1" applyAlignment="1">
      <alignment horizontal="right" vertical="center"/>
    </xf>
    <xf numFmtId="0" fontId="14" fillId="0" borderId="0" xfId="3" applyFont="1" applyAlignment="1">
      <alignment horizontal="left" vertical="center"/>
    </xf>
    <xf numFmtId="0" fontId="29" fillId="0" borderId="0" xfId="3" applyFont="1" applyAlignment="1">
      <alignment vertical="center" wrapText="1"/>
    </xf>
    <xf numFmtId="167" fontId="35" fillId="0" borderId="0" xfId="3" applyNumberFormat="1" applyFont="1" applyAlignment="1">
      <alignment horizontal="right" vertical="center"/>
    </xf>
    <xf numFmtId="0" fontId="13" fillId="0" borderId="0" xfId="3" applyFont="1" applyAlignment="1">
      <alignment vertical="center" wrapText="1"/>
    </xf>
    <xf numFmtId="0" fontId="34" fillId="0" borderId="0" xfId="3" applyFont="1" applyAlignment="1">
      <alignment horizontal="center" vertical="center"/>
    </xf>
    <xf numFmtId="0" fontId="34" fillId="0" borderId="0" xfId="3" applyFont="1" applyAlignment="1">
      <alignment horizontal="center" vertical="center" wrapText="1"/>
    </xf>
    <xf numFmtId="169" fontId="14" fillId="0" borderId="0" xfId="1" applyNumberFormat="1" applyFont="1" applyAlignment="1">
      <alignment horizontal="center" vertical="center" wrapText="1"/>
    </xf>
    <xf numFmtId="0" fontId="14" fillId="0" borderId="0" xfId="3" applyFont="1" applyAlignment="1">
      <alignment horizontal="center" vertical="center" wrapText="1"/>
    </xf>
    <xf numFmtId="167" fontId="30" fillId="0" borderId="0" xfId="3" applyNumberFormat="1" applyFont="1" applyAlignment="1">
      <alignment vertical="center" wrapText="1"/>
    </xf>
    <xf numFmtId="0" fontId="29" fillId="0" borderId="0" xfId="3" applyFont="1" applyAlignment="1">
      <alignment horizontal="left" vertical="center" wrapText="1"/>
    </xf>
    <xf numFmtId="16" fontId="14" fillId="0" borderId="0" xfId="3" applyNumberFormat="1" applyFont="1" applyAlignment="1">
      <alignment horizontal="right" vertical="center"/>
    </xf>
    <xf numFmtId="16" fontId="14" fillId="0" borderId="0" xfId="3" quotePrefix="1" applyNumberFormat="1" applyFont="1" applyAlignment="1">
      <alignment horizontal="right" vertical="center"/>
    </xf>
    <xf numFmtId="167" fontId="30" fillId="0" borderId="0" xfId="3" applyNumberFormat="1" applyFont="1" applyAlignment="1">
      <alignment horizontal="right" vertical="center" wrapText="1"/>
    </xf>
    <xf numFmtId="0" fontId="14" fillId="0" borderId="0" xfId="3" applyFont="1" applyAlignment="1">
      <alignment horizontal="left" vertical="center" wrapText="1"/>
    </xf>
    <xf numFmtId="171" fontId="27" fillId="0" borderId="0" xfId="25" applyNumberFormat="1" applyFont="1" applyFill="1" applyBorder="1" applyAlignment="1">
      <alignment vertical="center"/>
    </xf>
    <xf numFmtId="167" fontId="28" fillId="0" borderId="0" xfId="26" applyNumberFormat="1" applyFont="1" applyFill="1" applyBorder="1" applyAlignment="1">
      <alignment vertical="center"/>
    </xf>
    <xf numFmtId="166" fontId="27" fillId="0" borderId="0" xfId="1" applyFont="1" applyFill="1" applyBorder="1" applyAlignment="1">
      <alignment vertical="center"/>
    </xf>
    <xf numFmtId="166" fontId="27" fillId="0" borderId="0" xfId="3" applyNumberFormat="1" applyFont="1" applyAlignment="1">
      <alignment vertical="center"/>
    </xf>
    <xf numFmtId="169" fontId="5" fillId="0" borderId="0" xfId="1" applyNumberFormat="1" applyFont="1" applyAlignment="1">
      <alignment horizontal="center" vertical="center"/>
    </xf>
    <xf numFmtId="16" fontId="34" fillId="0" borderId="0" xfId="3" applyNumberFormat="1" applyFont="1" applyAlignment="1">
      <alignment horizontal="left" vertical="center"/>
    </xf>
    <xf numFmtId="16" fontId="14" fillId="0" borderId="0" xfId="3" applyNumberFormat="1" applyFont="1" applyAlignment="1">
      <alignment horizontal="left" vertical="center"/>
    </xf>
    <xf numFmtId="16" fontId="14" fillId="0" borderId="0" xfId="3" quotePrefix="1" applyNumberFormat="1" applyFont="1" applyAlignment="1">
      <alignment horizontal="left" vertical="center"/>
    </xf>
    <xf numFmtId="166" fontId="13" fillId="0" borderId="0" xfId="3" applyNumberFormat="1" applyFont="1" applyAlignment="1">
      <alignment vertical="center"/>
    </xf>
    <xf numFmtId="169" fontId="34" fillId="0" borderId="0" xfId="1" applyNumberFormat="1" applyFont="1" applyAlignment="1">
      <alignment horizontal="center" vertical="center"/>
    </xf>
    <xf numFmtId="4" fontId="30" fillId="0" borderId="0" xfId="3" applyNumberFormat="1" applyFont="1" applyAlignment="1">
      <alignment vertical="center"/>
    </xf>
    <xf numFmtId="0" fontId="14" fillId="0" borderId="9" xfId="3" applyFont="1" applyBorder="1" applyAlignment="1">
      <alignment vertical="center"/>
    </xf>
    <xf numFmtId="166" fontId="14" fillId="0" borderId="0" xfId="1" applyFont="1" applyAlignment="1">
      <alignment vertical="center"/>
    </xf>
    <xf numFmtId="0" fontId="13" fillId="0" borderId="0" xfId="3" applyFont="1" applyAlignment="1">
      <alignment horizontal="center" vertical="center"/>
    </xf>
    <xf numFmtId="166" fontId="30" fillId="0" borderId="0" xfId="18" applyFont="1" applyAlignment="1">
      <alignment vertical="center"/>
    </xf>
    <xf numFmtId="169" fontId="14" fillId="0" borderId="0" xfId="1" applyNumberFormat="1" applyFont="1" applyFill="1" applyAlignment="1">
      <alignment horizontal="center" vertical="center"/>
    </xf>
    <xf numFmtId="171" fontId="13" fillId="0" borderId="0" xfId="3" applyNumberFormat="1" applyFont="1" applyAlignment="1">
      <alignment vertical="center"/>
    </xf>
    <xf numFmtId="0" fontId="31" fillId="0" borderId="0" xfId="3" applyFont="1" applyAlignment="1">
      <alignment vertical="center" wrapText="1"/>
    </xf>
    <xf numFmtId="0" fontId="14" fillId="0" borderId="0" xfId="12" applyFont="1" applyAlignment="1">
      <alignment horizontal="center" vertical="center"/>
    </xf>
    <xf numFmtId="0" fontId="29" fillId="0" borderId="0" xfId="12" applyFont="1" applyAlignment="1">
      <alignment vertical="center"/>
    </xf>
    <xf numFmtId="169" fontId="34" fillId="0" borderId="0" xfId="1" applyNumberFormat="1" applyFont="1" applyFill="1" applyAlignment="1">
      <alignment horizontal="center" vertical="center"/>
    </xf>
    <xf numFmtId="167" fontId="30" fillId="0" borderId="0" xfId="12" applyNumberFormat="1" applyFont="1" applyAlignment="1">
      <alignment vertical="center"/>
    </xf>
    <xf numFmtId="0" fontId="14" fillId="0" borderId="0" xfId="12" applyFont="1" applyAlignment="1">
      <alignment vertical="center"/>
    </xf>
    <xf numFmtId="0" fontId="14" fillId="0" borderId="0" xfId="12" applyFont="1" applyAlignment="1">
      <alignment horizontal="left" vertical="center" wrapText="1"/>
    </xf>
    <xf numFmtId="0" fontId="14" fillId="0" borderId="0" xfId="12" applyFont="1" applyAlignment="1">
      <alignment vertical="center" wrapText="1"/>
    </xf>
    <xf numFmtId="166" fontId="34" fillId="0" borderId="0" xfId="16" applyFont="1" applyAlignment="1">
      <alignment horizontal="left" vertical="center"/>
    </xf>
    <xf numFmtId="167" fontId="35" fillId="0" borderId="0" xfId="3" applyNumberFormat="1" applyFont="1" applyAlignment="1">
      <alignment horizontal="center" vertical="center"/>
    </xf>
    <xf numFmtId="167" fontId="30" fillId="0" borderId="0" xfId="3" applyNumberFormat="1" applyFont="1" applyAlignment="1">
      <alignment horizontal="center" vertical="center"/>
    </xf>
    <xf numFmtId="169" fontId="14" fillId="0" borderId="0" xfId="1" quotePrefix="1" applyNumberFormat="1" applyFont="1" applyAlignment="1">
      <alignment horizontal="center" vertical="center"/>
    </xf>
    <xf numFmtId="0" fontId="14" fillId="0" borderId="0" xfId="3" quotePrefix="1" applyFont="1" applyAlignment="1">
      <alignment horizontal="center" vertical="center"/>
    </xf>
    <xf numFmtId="169" fontId="14" fillId="0" borderId="0" xfId="1" applyNumberFormat="1" applyFont="1" applyBorder="1" applyAlignment="1">
      <alignment horizontal="center" vertical="center"/>
    </xf>
    <xf numFmtId="0" fontId="31" fillId="0" borderId="3" xfId="12" applyFont="1" applyBorder="1" applyAlignment="1">
      <alignment vertical="center"/>
    </xf>
    <xf numFmtId="169" fontId="14" fillId="0" borderId="3" xfId="1" applyNumberFormat="1" applyFont="1" applyBorder="1" applyAlignment="1">
      <alignment horizontal="center" vertical="center"/>
    </xf>
    <xf numFmtId="0" fontId="14" fillId="0" borderId="3" xfId="3" applyFont="1" applyBorder="1" applyAlignment="1">
      <alignment horizontal="center" vertical="center"/>
    </xf>
    <xf numFmtId="167" fontId="35" fillId="0" borderId="3" xfId="3" applyNumberFormat="1" applyFont="1" applyBorder="1" applyAlignment="1">
      <alignment vertical="center"/>
    </xf>
    <xf numFmtId="167" fontId="35" fillId="0" borderId="2" xfId="3" applyNumberFormat="1" applyFont="1" applyBorder="1" applyAlignment="1">
      <alignment vertical="center"/>
    </xf>
    <xf numFmtId="167" fontId="35" fillId="0" borderId="7" xfId="3" applyNumberFormat="1" applyFont="1" applyBorder="1" applyAlignment="1">
      <alignment vertical="center"/>
    </xf>
    <xf numFmtId="167" fontId="33" fillId="0" borderId="0" xfId="26" applyNumberFormat="1" applyFont="1" applyAlignment="1">
      <alignment vertical="center"/>
    </xf>
    <xf numFmtId="167" fontId="35" fillId="0" borderId="0" xfId="26" applyNumberFormat="1" applyFont="1" applyAlignment="1">
      <alignment vertical="center"/>
    </xf>
    <xf numFmtId="167" fontId="35" fillId="0" borderId="0" xfId="26" applyNumberFormat="1" applyFont="1" applyAlignment="1">
      <alignment horizontal="right" vertical="center"/>
    </xf>
    <xf numFmtId="167" fontId="30" fillId="0" borderId="0" xfId="26" applyNumberFormat="1" applyFont="1" applyAlignment="1">
      <alignment horizontal="right" vertical="center"/>
    </xf>
    <xf numFmtId="166" fontId="30" fillId="0" borderId="0" xfId="26" applyFont="1" applyAlignment="1">
      <alignment vertical="center"/>
    </xf>
    <xf numFmtId="167" fontId="30" fillId="0" borderId="0" xfId="26" applyNumberFormat="1" applyFont="1" applyAlignment="1">
      <alignment vertical="center"/>
    </xf>
    <xf numFmtId="167" fontId="28" fillId="0" borderId="0" xfId="26" applyNumberFormat="1" applyFont="1" applyFill="1" applyBorder="1" applyAlignment="1">
      <alignment horizontal="center" vertical="center"/>
    </xf>
    <xf numFmtId="4" fontId="30" fillId="0" borderId="0" xfId="26" applyNumberFormat="1" applyFont="1" applyAlignment="1">
      <alignment vertical="center"/>
    </xf>
    <xf numFmtId="0" fontId="37" fillId="0" borderId="0" xfId="3" applyFont="1" applyAlignment="1">
      <alignment vertical="center"/>
    </xf>
    <xf numFmtId="0" fontId="38" fillId="0" borderId="0" xfId="3" applyFont="1" applyAlignment="1">
      <alignment vertical="center"/>
    </xf>
    <xf numFmtId="0" fontId="38" fillId="0" borderId="0" xfId="3" applyFont="1" applyAlignment="1">
      <alignment horizontal="center" vertical="center"/>
    </xf>
    <xf numFmtId="166" fontId="38" fillId="0" borderId="0" xfId="1" applyFont="1" applyAlignment="1">
      <alignment horizontal="right" vertical="center"/>
    </xf>
    <xf numFmtId="167" fontId="39" fillId="0" borderId="0" xfId="26" applyNumberFormat="1" applyFont="1" applyAlignment="1">
      <alignment vertical="center"/>
    </xf>
    <xf numFmtId="0" fontId="40" fillId="0" borderId="0" xfId="0" applyFont="1" applyAlignment="1">
      <alignment horizontal="center"/>
    </xf>
    <xf numFmtId="0" fontId="27" fillId="0" borderId="0" xfId="0" applyFont="1" applyAlignment="1">
      <alignment vertical="center"/>
    </xf>
    <xf numFmtId="166" fontId="27" fillId="0" borderId="0" xfId="1" applyFont="1" applyAlignment="1">
      <alignment horizontal="right" vertical="center"/>
    </xf>
    <xf numFmtId="0" fontId="42" fillId="0" borderId="0" xfId="0" applyFont="1" applyAlignment="1">
      <alignment vertical="center"/>
    </xf>
    <xf numFmtId="3" fontId="41" fillId="0" borderId="0" xfId="0" applyNumberFormat="1" applyFont="1"/>
    <xf numFmtId="166" fontId="13" fillId="0" borderId="0" xfId="1" applyFont="1" applyAlignment="1">
      <alignment vertical="center"/>
    </xf>
    <xf numFmtId="166" fontId="31" fillId="0" borderId="0" xfId="1" applyFont="1" applyAlignment="1">
      <alignment horizontal="right" vertical="center"/>
    </xf>
    <xf numFmtId="166" fontId="14" fillId="0" borderId="0" xfId="1" applyFont="1" applyAlignment="1">
      <alignment horizontal="right" vertical="center"/>
    </xf>
    <xf numFmtId="166" fontId="14" fillId="0" borderId="0" xfId="1" applyFont="1" applyAlignment="1">
      <alignment horizontal="right" vertical="center" wrapText="1"/>
    </xf>
    <xf numFmtId="166" fontId="14" fillId="0" borderId="0" xfId="1" applyFont="1" applyFill="1" applyAlignment="1">
      <alignment horizontal="right" vertical="center"/>
    </xf>
    <xf numFmtId="166" fontId="27" fillId="0" borderId="0" xfId="1" applyFont="1" applyFill="1" applyBorder="1" applyAlignment="1">
      <alignment horizontal="right" vertical="center"/>
    </xf>
    <xf numFmtId="166" fontId="41" fillId="0" borderId="0" xfId="1" applyFont="1" applyAlignment="1">
      <alignment horizontal="right"/>
    </xf>
    <xf numFmtId="166" fontId="14" fillId="0" borderId="3" xfId="1" applyFont="1" applyBorder="1" applyAlignment="1">
      <alignment horizontal="right" vertical="center"/>
    </xf>
    <xf numFmtId="166" fontId="34" fillId="0" borderId="0" xfId="1" applyFont="1" applyAlignment="1">
      <alignment horizontal="right" vertical="center"/>
    </xf>
    <xf numFmtId="169" fontId="44" fillId="0" borderId="0" xfId="1" applyNumberFormat="1" applyFont="1" applyFill="1" applyAlignment="1">
      <alignment horizontal="center" vertical="center"/>
    </xf>
    <xf numFmtId="166" fontId="31" fillId="0" borderId="0" xfId="1" applyFont="1" applyBorder="1" applyAlignment="1">
      <alignment horizontal="right" vertical="center"/>
    </xf>
    <xf numFmtId="167" fontId="35" fillId="0" borderId="0" xfId="26" applyNumberFormat="1" applyFont="1" applyBorder="1" applyAlignment="1">
      <alignment vertical="center"/>
    </xf>
    <xf numFmtId="0" fontId="36" fillId="0" borderId="0" xfId="0" applyFont="1" applyAlignment="1">
      <alignment horizontal="center"/>
    </xf>
    <xf numFmtId="0" fontId="36" fillId="0" borderId="0" xfId="0" applyFont="1"/>
    <xf numFmtId="166" fontId="36" fillId="0" borderId="0" xfId="0" applyNumberFormat="1" applyFont="1" applyAlignment="1">
      <alignment horizontal="right"/>
    </xf>
    <xf numFmtId="0" fontId="46" fillId="0" borderId="0" xfId="0" applyFont="1"/>
    <xf numFmtId="169" fontId="14" fillId="0" borderId="0" xfId="3" applyNumberFormat="1" applyFont="1" applyAlignment="1">
      <alignment vertical="center"/>
    </xf>
    <xf numFmtId="166" fontId="36" fillId="0" borderId="0" xfId="0" applyNumberFormat="1" applyFont="1"/>
    <xf numFmtId="4" fontId="14" fillId="0" borderId="0" xfId="3" applyNumberFormat="1" applyFont="1" applyAlignment="1">
      <alignment horizontal="center" vertical="center"/>
    </xf>
    <xf numFmtId="166" fontId="46" fillId="0" borderId="0" xfId="0" applyNumberFormat="1" applyFont="1" applyAlignment="1">
      <alignment horizontal="right"/>
    </xf>
    <xf numFmtId="166" fontId="46" fillId="0" borderId="0" xfId="1" applyFont="1"/>
    <xf numFmtId="3" fontId="36" fillId="0" borderId="0" xfId="0" applyNumberFormat="1" applyFont="1"/>
    <xf numFmtId="166" fontId="36" fillId="0" borderId="0" xfId="1" applyFont="1" applyAlignment="1" applyProtection="1">
      <alignment horizontal="right"/>
      <protection locked="0"/>
    </xf>
    <xf numFmtId="0" fontId="14" fillId="0" borderId="0" xfId="3" applyFont="1" applyAlignment="1">
      <alignment wrapText="1"/>
    </xf>
    <xf numFmtId="169" fontId="36" fillId="0" borderId="0" xfId="1" applyNumberFormat="1" applyFont="1" applyFill="1" applyAlignment="1">
      <alignment horizontal="center"/>
    </xf>
    <xf numFmtId="169" fontId="36" fillId="0" borderId="0" xfId="1" applyNumberFormat="1" applyFont="1" applyFill="1" applyAlignment="1">
      <alignment horizontal="center" vertical="center"/>
    </xf>
    <xf numFmtId="4" fontId="14" fillId="0" borderId="0" xfId="3" applyNumberFormat="1" applyFont="1" applyAlignment="1">
      <alignment horizontal="right" vertical="center"/>
    </xf>
    <xf numFmtId="0" fontId="14" fillId="2" borderId="10" xfId="29" applyFont="1" applyFill="1" applyBorder="1"/>
    <xf numFmtId="166" fontId="14" fillId="0" borderId="0" xfId="3" applyNumberFormat="1" applyFont="1" applyAlignment="1">
      <alignment vertical="center"/>
    </xf>
    <xf numFmtId="169" fontId="43" fillId="0" borderId="0" xfId="1" applyNumberFormat="1" applyFont="1" applyFill="1" applyAlignment="1">
      <alignment horizontal="center" vertical="center"/>
    </xf>
    <xf numFmtId="167" fontId="30" fillId="0" borderId="0" xfId="26" applyNumberFormat="1" applyFont="1" applyBorder="1" applyAlignment="1">
      <alignment vertical="center"/>
    </xf>
    <xf numFmtId="166" fontId="14" fillId="0" borderId="0" xfId="1" applyFont="1" applyBorder="1" applyAlignment="1">
      <alignment horizontal="right" vertical="center"/>
    </xf>
    <xf numFmtId="166" fontId="14" fillId="0" borderId="0" xfId="1" applyFont="1" applyBorder="1" applyAlignment="1">
      <alignment vertical="center"/>
    </xf>
    <xf numFmtId="0" fontId="47" fillId="0" borderId="0" xfId="0" applyFont="1"/>
    <xf numFmtId="169" fontId="14" fillId="0" borderId="0" xfId="1" applyNumberFormat="1" applyFont="1" applyFill="1" applyAlignment="1">
      <alignment horizontal="center"/>
    </xf>
    <xf numFmtId="167" fontId="30" fillId="0" borderId="0" xfId="3" applyNumberFormat="1" applyFont="1"/>
    <xf numFmtId="0" fontId="40" fillId="0" borderId="0" xfId="0" applyFont="1" applyAlignment="1">
      <alignment vertical="center"/>
    </xf>
    <xf numFmtId="0" fontId="14" fillId="2" borderId="11" xfId="29" applyFont="1" applyFill="1" applyBorder="1" applyAlignment="1">
      <alignment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0" xfId="0" applyFont="1" applyAlignment="1">
      <alignment horizontal="justify" vertical="center" wrapText="1"/>
    </xf>
    <xf numFmtId="0" fontId="14" fillId="0" borderId="0" xfId="0" applyFont="1" applyAlignment="1">
      <alignment horizontal="right" vertical="center" wrapText="1"/>
    </xf>
    <xf numFmtId="166" fontId="14" fillId="0" borderId="0" xfId="0" applyNumberFormat="1" applyFont="1" applyAlignment="1">
      <alignment horizontal="center" vertical="center" wrapText="1"/>
    </xf>
    <xf numFmtId="166" fontId="14" fillId="0" borderId="0" xfId="0" applyNumberFormat="1" applyFont="1" applyAlignment="1">
      <alignment horizontal="center" vertical="center"/>
    </xf>
    <xf numFmtId="0" fontId="19" fillId="0" borderId="0" xfId="30"/>
    <xf numFmtId="0" fontId="49" fillId="0" borderId="0" xfId="30" applyFont="1" applyAlignment="1">
      <alignment horizontal="center" wrapText="1"/>
    </xf>
    <xf numFmtId="3" fontId="49" fillId="0" borderId="0" xfId="30" applyNumberFormat="1" applyFont="1" applyAlignment="1">
      <alignment horizontal="center" wrapText="1"/>
    </xf>
    <xf numFmtId="0" fontId="49" fillId="0" borderId="0" xfId="30" applyFont="1" applyAlignment="1">
      <alignment horizontal="center"/>
    </xf>
    <xf numFmtId="0" fontId="50" fillId="0" borderId="0" xfId="30" applyFont="1" applyAlignment="1">
      <alignment wrapText="1"/>
    </xf>
    <xf numFmtId="3" fontId="50" fillId="0" borderId="0" xfId="30" applyNumberFormat="1" applyFont="1" applyAlignment="1">
      <alignment horizontal="center" wrapText="1"/>
    </xf>
    <xf numFmtId="3" fontId="48" fillId="0" borderId="0" xfId="30" applyNumberFormat="1" applyFont="1" applyAlignment="1">
      <alignment horizontal="center" wrapText="1"/>
    </xf>
    <xf numFmtId="3" fontId="51" fillId="0" borderId="0" xfId="30" applyNumberFormat="1" applyFont="1" applyAlignment="1">
      <alignment horizontal="center" wrapText="1"/>
    </xf>
    <xf numFmtId="0" fontId="46" fillId="0" borderId="0" xfId="30" applyFont="1" applyAlignment="1">
      <alignment horizontal="center"/>
    </xf>
    <xf numFmtId="0" fontId="46" fillId="0" borderId="0" xfId="30" applyFont="1" applyAlignment="1">
      <alignment wrapText="1"/>
    </xf>
    <xf numFmtId="0" fontId="46" fillId="0" borderId="0" xfId="30" applyFont="1"/>
    <xf numFmtId="1" fontId="36" fillId="0" borderId="0" xfId="30" applyNumberFormat="1" applyFont="1" applyAlignment="1">
      <alignment horizontal="center" wrapText="1"/>
    </xf>
    <xf numFmtId="1" fontId="36" fillId="0" borderId="0" xfId="30" applyNumberFormat="1" applyFont="1" applyAlignment="1">
      <alignment wrapText="1"/>
    </xf>
    <xf numFmtId="0" fontId="36" fillId="0" borderId="0" xfId="30" applyFont="1" applyAlignment="1">
      <alignment horizontal="center" wrapText="1"/>
    </xf>
    <xf numFmtId="3" fontId="36" fillId="0" borderId="0" xfId="30" applyNumberFormat="1" applyFont="1" applyAlignment="1">
      <alignment horizontal="center" wrapText="1"/>
    </xf>
    <xf numFmtId="0" fontId="36" fillId="0" borderId="0" xfId="30" applyFont="1" applyAlignment="1">
      <alignment wrapText="1"/>
    </xf>
    <xf numFmtId="0" fontId="36" fillId="0" borderId="0" xfId="30" applyFont="1" applyAlignment="1">
      <alignment horizontal="center"/>
    </xf>
    <xf numFmtId="0" fontId="46" fillId="0" borderId="0" xfId="30" applyFont="1" applyAlignment="1">
      <alignment horizontal="right" wrapText="1"/>
    </xf>
    <xf numFmtId="3" fontId="46" fillId="0" borderId="0" xfId="30" applyNumberFormat="1" applyFont="1" applyAlignment="1">
      <alignment horizontal="center" wrapText="1"/>
    </xf>
    <xf numFmtId="0" fontId="44" fillId="0" borderId="0" xfId="30" applyFont="1" applyAlignment="1">
      <alignment wrapText="1"/>
    </xf>
    <xf numFmtId="3" fontId="44" fillId="0" borderId="0" xfId="30" applyNumberFormat="1" applyFont="1" applyAlignment="1">
      <alignment horizontal="center" wrapText="1"/>
    </xf>
    <xf numFmtId="0" fontId="46" fillId="0" borderId="0" xfId="30" applyFont="1" applyAlignment="1">
      <alignment horizontal="center" wrapText="1"/>
    </xf>
    <xf numFmtId="0" fontId="36" fillId="0" borderId="0" xfId="30" applyFont="1"/>
    <xf numFmtId="3" fontId="45" fillId="0" borderId="0" xfId="30" applyNumberFormat="1" applyFont="1" applyAlignment="1">
      <alignment horizontal="center" wrapText="1"/>
    </xf>
    <xf numFmtId="3" fontId="36" fillId="0" borderId="0" xfId="0" applyNumberFormat="1" applyFont="1" applyAlignment="1">
      <alignment wrapText="1"/>
    </xf>
    <xf numFmtId="3" fontId="36"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vertical="center"/>
    </xf>
    <xf numFmtId="0" fontId="47" fillId="0" borderId="0" xfId="0" applyFont="1" applyAlignment="1">
      <alignment vertical="center"/>
    </xf>
    <xf numFmtId="167" fontId="52" fillId="0" borderId="0" xfId="0" applyNumberFormat="1" applyFont="1" applyAlignment="1">
      <alignment vertical="center"/>
    </xf>
    <xf numFmtId="0" fontId="53" fillId="0" borderId="0" xfId="0" applyFont="1" applyAlignment="1">
      <alignment vertical="center"/>
    </xf>
    <xf numFmtId="0" fontId="36" fillId="0" borderId="0" xfId="0" applyFont="1" applyAlignment="1">
      <alignment vertical="center"/>
    </xf>
    <xf numFmtId="0" fontId="46" fillId="0" borderId="0" xfId="0" applyFont="1" applyAlignment="1">
      <alignment horizontal="center" vertical="center"/>
    </xf>
    <xf numFmtId="0" fontId="54" fillId="0" borderId="0" xfId="0" applyFont="1" applyAlignment="1">
      <alignment vertical="center"/>
    </xf>
    <xf numFmtId="0" fontId="46" fillId="0" borderId="0" xfId="0" applyFont="1" applyAlignment="1">
      <alignment vertical="center"/>
    </xf>
    <xf numFmtId="168" fontId="46" fillId="0" borderId="0" xfId="0" applyNumberFormat="1" applyFont="1" applyAlignment="1">
      <alignment horizontal="right" vertical="center"/>
    </xf>
    <xf numFmtId="166" fontId="14" fillId="0" borderId="0" xfId="26" applyFont="1" applyAlignment="1">
      <alignment vertical="center"/>
    </xf>
    <xf numFmtId="171" fontId="27" fillId="3" borderId="0" xfId="25" applyNumberFormat="1" applyFont="1" applyFill="1" applyBorder="1" applyAlignment="1">
      <alignment vertical="center"/>
    </xf>
    <xf numFmtId="166" fontId="14" fillId="3" borderId="0" xfId="1" applyFont="1" applyFill="1" applyAlignment="1">
      <alignment horizontal="right" vertical="center"/>
    </xf>
    <xf numFmtId="169" fontId="14" fillId="0" borderId="0" xfId="1" applyNumberFormat="1" applyFont="1" applyFill="1" applyAlignment="1">
      <alignment horizontal="center" vertical="center" wrapText="1"/>
    </xf>
    <xf numFmtId="171" fontId="14" fillId="0" borderId="0" xfId="23" applyNumberFormat="1" applyFont="1" applyFill="1" applyBorder="1" applyAlignment="1">
      <alignment vertical="center"/>
    </xf>
    <xf numFmtId="1" fontId="14" fillId="0" borderId="0" xfId="3" applyNumberFormat="1" applyFont="1" applyAlignment="1">
      <alignment vertical="center"/>
    </xf>
    <xf numFmtId="0" fontId="57" fillId="0" borderId="0" xfId="31" applyFont="1"/>
    <xf numFmtId="0" fontId="56" fillId="0" borderId="0" xfId="31" applyFont="1" applyAlignment="1">
      <alignment vertical="center"/>
    </xf>
    <xf numFmtId="0" fontId="56" fillId="0" borderId="0" xfId="31" applyFont="1"/>
    <xf numFmtId="0" fontId="58" fillId="0" borderId="0" xfId="31" applyFont="1"/>
    <xf numFmtId="0" fontId="59" fillId="0" borderId="0" xfId="31" applyFont="1"/>
    <xf numFmtId="0" fontId="60" fillId="0" borderId="0" xfId="31" applyFont="1"/>
    <xf numFmtId="0" fontId="61" fillId="0" borderId="0" xfId="31" applyFont="1"/>
    <xf numFmtId="0" fontId="62" fillId="0" borderId="0" xfId="31" applyFont="1"/>
    <xf numFmtId="9" fontId="27" fillId="0" borderId="0" xfId="13" applyFont="1" applyAlignment="1">
      <alignment horizontal="center" vertical="center"/>
    </xf>
    <xf numFmtId="9" fontId="37" fillId="0" borderId="0" xfId="13" applyFont="1" applyAlignment="1">
      <alignment vertical="center"/>
    </xf>
    <xf numFmtId="0" fontId="27" fillId="0" borderId="0" xfId="32" applyFont="1" applyAlignment="1">
      <alignment vertical="center"/>
    </xf>
    <xf numFmtId="0" fontId="27" fillId="0" borderId="0" xfId="32" applyFont="1" applyAlignment="1">
      <alignment horizontal="center" vertical="center"/>
    </xf>
    <xf numFmtId="167" fontId="28" fillId="0" borderId="0" xfId="32" applyNumberFormat="1" applyFont="1" applyAlignment="1">
      <alignment vertical="center"/>
    </xf>
    <xf numFmtId="0" fontId="5" fillId="0" borderId="0" xfId="32"/>
    <xf numFmtId="0" fontId="38" fillId="0" borderId="0" xfId="32" applyFont="1" applyAlignment="1">
      <alignment horizontal="center" vertical="center"/>
    </xf>
    <xf numFmtId="0" fontId="37" fillId="0" borderId="0" xfId="32" applyFont="1" applyAlignment="1">
      <alignment vertical="center"/>
    </xf>
    <xf numFmtId="0" fontId="37" fillId="0" borderId="0" xfId="32" applyFont="1" applyAlignment="1">
      <alignment horizontal="left" vertical="center"/>
    </xf>
    <xf numFmtId="166" fontId="27" fillId="0" borderId="0" xfId="33" applyFont="1" applyAlignment="1">
      <alignment vertical="center"/>
    </xf>
    <xf numFmtId="0" fontId="27" fillId="0" borderId="0" xfId="32" applyFont="1" applyAlignment="1">
      <alignment horizontal="justify" vertical="center" wrapText="1"/>
    </xf>
    <xf numFmtId="171" fontId="27" fillId="0" borderId="0" xfId="23" applyNumberFormat="1" applyFont="1" applyAlignment="1">
      <alignment vertical="center"/>
    </xf>
    <xf numFmtId="172" fontId="27" fillId="0" borderId="0" xfId="32" applyNumberFormat="1" applyFont="1" applyAlignment="1">
      <alignment vertical="center"/>
    </xf>
    <xf numFmtId="1" fontId="27" fillId="0" borderId="0" xfId="32" applyNumberFormat="1" applyFont="1" applyAlignment="1">
      <alignment vertical="center"/>
    </xf>
    <xf numFmtId="0" fontId="65" fillId="0" borderId="0" xfId="32" applyFont="1" applyAlignment="1">
      <alignment vertical="center"/>
    </xf>
    <xf numFmtId="0" fontId="38" fillId="0" borderId="0" xfId="32" applyFont="1" applyAlignment="1">
      <alignment vertical="center"/>
    </xf>
    <xf numFmtId="167" fontId="39" fillId="0" borderId="0" xfId="26" applyNumberFormat="1" applyFont="1" applyAlignment="1">
      <alignment horizontal="right" vertical="center"/>
    </xf>
    <xf numFmtId="0" fontId="65" fillId="0" borderId="0" xfId="32" applyFont="1" applyAlignment="1">
      <alignment horizontal="left" vertical="center" wrapText="1"/>
    </xf>
    <xf numFmtId="0" fontId="65" fillId="0" borderId="0" xfId="32" applyFont="1" applyAlignment="1">
      <alignment vertical="center" wrapText="1"/>
    </xf>
    <xf numFmtId="0" fontId="27" fillId="0" borderId="0" xfId="32" applyFont="1" applyAlignment="1">
      <alignment vertical="center" wrapText="1"/>
    </xf>
    <xf numFmtId="0" fontId="28" fillId="0" borderId="0" xfId="32" applyFont="1" applyAlignment="1">
      <alignment vertical="center"/>
    </xf>
    <xf numFmtId="0" fontId="27" fillId="0" borderId="0" xfId="32" applyFont="1" applyAlignment="1">
      <alignment horizontal="left" vertical="center"/>
    </xf>
    <xf numFmtId="167" fontId="28" fillId="0" borderId="0" xfId="32" applyNumberFormat="1" applyFont="1" applyAlignment="1">
      <alignment horizontal="right" vertical="center"/>
    </xf>
    <xf numFmtId="0" fontId="37" fillId="0" borderId="0" xfId="32" applyFont="1" applyAlignment="1">
      <alignment vertical="center" wrapText="1"/>
    </xf>
    <xf numFmtId="167" fontId="39" fillId="0" borderId="0" xfId="32" applyNumberFormat="1" applyFont="1" applyAlignment="1">
      <alignment horizontal="right" vertical="center"/>
    </xf>
    <xf numFmtId="4" fontId="28" fillId="0" borderId="0" xfId="32" applyNumberFormat="1" applyFont="1" applyAlignment="1">
      <alignment vertical="center"/>
    </xf>
    <xf numFmtId="0" fontId="27" fillId="0" borderId="0" xfId="32" applyFont="1" applyAlignment="1">
      <alignment horizontal="left" vertical="center" wrapText="1"/>
    </xf>
    <xf numFmtId="0" fontId="40" fillId="0" borderId="0" xfId="32" applyFont="1" applyAlignment="1">
      <alignment wrapText="1"/>
    </xf>
    <xf numFmtId="171" fontId="27" fillId="0" borderId="0" xfId="32" applyNumberFormat="1" applyFont="1" applyAlignment="1">
      <alignment vertical="center"/>
    </xf>
    <xf numFmtId="0" fontId="38" fillId="0" borderId="0" xfId="32" applyFont="1" applyAlignment="1">
      <alignment vertical="center" wrapText="1"/>
    </xf>
    <xf numFmtId="0" fontId="27" fillId="2" borderId="13" xfId="32" applyFont="1" applyFill="1" applyBorder="1" applyAlignment="1">
      <alignment vertical="center"/>
    </xf>
    <xf numFmtId="167" fontId="39" fillId="0" borderId="0" xfId="32" applyNumberFormat="1" applyFont="1" applyAlignment="1">
      <alignment horizontal="center" vertical="center"/>
    </xf>
    <xf numFmtId="167" fontId="28" fillId="0" borderId="0" xfId="32" applyNumberFormat="1" applyFont="1" applyAlignment="1">
      <alignment horizontal="center" vertical="center"/>
    </xf>
    <xf numFmtId="167" fontId="39" fillId="0" borderId="0" xfId="32" applyNumberFormat="1" applyFont="1" applyAlignment="1">
      <alignment vertical="center"/>
    </xf>
    <xf numFmtId="167" fontId="39" fillId="0" borderId="7" xfId="26" applyNumberFormat="1" applyFont="1" applyBorder="1" applyAlignment="1">
      <alignment vertical="center"/>
    </xf>
    <xf numFmtId="4" fontId="38" fillId="0" borderId="0" xfId="26" applyNumberFormat="1" applyFont="1" applyAlignment="1">
      <alignment vertical="center"/>
    </xf>
    <xf numFmtId="167" fontId="38" fillId="0" borderId="0" xfId="26" applyNumberFormat="1" applyFont="1" applyAlignment="1">
      <alignment vertical="center"/>
    </xf>
    <xf numFmtId="0" fontId="39" fillId="0" borderId="0" xfId="32" applyFont="1" applyAlignment="1">
      <alignment vertical="center"/>
    </xf>
    <xf numFmtId="0" fontId="39" fillId="0" borderId="0" xfId="32" applyFont="1" applyAlignment="1">
      <alignment horizontal="center" vertical="center"/>
    </xf>
    <xf numFmtId="0" fontId="66" fillId="0" borderId="14" xfId="3" applyFont="1" applyBorder="1" applyAlignment="1">
      <alignment horizontal="center" wrapText="1"/>
    </xf>
    <xf numFmtId="0" fontId="66" fillId="0" borderId="15" xfId="3" applyFont="1" applyBorder="1" applyAlignment="1">
      <alignment horizontal="center" wrapText="1"/>
    </xf>
    <xf numFmtId="0" fontId="66" fillId="0" borderId="16" xfId="3" applyFont="1" applyBorder="1" applyAlignment="1">
      <alignment horizontal="center" wrapText="1"/>
    </xf>
    <xf numFmtId="0" fontId="66" fillId="0" borderId="17" xfId="3" applyFont="1" applyBorder="1" applyAlignment="1">
      <alignment horizontal="center" wrapText="1"/>
    </xf>
    <xf numFmtId="0" fontId="67" fillId="0" borderId="0" xfId="3" applyFont="1" applyAlignment="1">
      <alignment horizontal="center" wrapText="1"/>
    </xf>
    <xf numFmtId="0" fontId="66" fillId="0" borderId="18" xfId="3" applyFont="1" applyBorder="1" applyAlignment="1">
      <alignment horizontal="center"/>
    </xf>
    <xf numFmtId="0" fontId="66" fillId="0" borderId="0" xfId="3" applyFont="1" applyAlignment="1">
      <alignment horizontal="center"/>
    </xf>
    <xf numFmtId="0" fontId="66" fillId="0" borderId="19" xfId="3" applyFont="1" applyBorder="1" applyAlignment="1">
      <alignment horizontal="center"/>
    </xf>
    <xf numFmtId="0" fontId="66" fillId="0" borderId="20" xfId="3" applyFont="1" applyBorder="1" applyAlignment="1">
      <alignment horizontal="center"/>
    </xf>
    <xf numFmtId="0" fontId="67" fillId="0" borderId="0" xfId="3" applyFont="1" applyAlignment="1">
      <alignment horizontal="center"/>
    </xf>
    <xf numFmtId="0" fontId="68" fillId="0" borderId="18" xfId="3" applyFont="1" applyBorder="1"/>
    <xf numFmtId="0" fontId="69" fillId="0" borderId="0" xfId="3" applyFont="1"/>
    <xf numFmtId="0" fontId="68" fillId="0" borderId="19" xfId="3" applyFont="1" applyBorder="1"/>
    <xf numFmtId="0" fontId="68" fillId="0" borderId="0" xfId="3" applyFont="1"/>
    <xf numFmtId="0" fontId="68" fillId="0" borderId="20" xfId="3" applyFont="1" applyBorder="1"/>
    <xf numFmtId="0" fontId="5" fillId="0" borderId="0" xfId="3"/>
    <xf numFmtId="166" fontId="66" fillId="0" borderId="20" xfId="26" applyFont="1" applyBorder="1"/>
    <xf numFmtId="0" fontId="68" fillId="0" borderId="18" xfId="3" applyFont="1" applyBorder="1" applyAlignment="1">
      <alignment horizontal="center"/>
    </xf>
    <xf numFmtId="0" fontId="66" fillId="0" borderId="0" xfId="3" applyFont="1" applyAlignment="1">
      <alignment horizontal="left"/>
    </xf>
    <xf numFmtId="0" fontId="68" fillId="0" borderId="18" xfId="3" applyFont="1" applyBorder="1" applyAlignment="1">
      <alignment horizontal="center" vertical="top" wrapText="1"/>
    </xf>
    <xf numFmtId="0" fontId="66" fillId="0" borderId="0" xfId="3" applyFont="1" applyAlignment="1">
      <alignment horizontal="left" vertical="top" wrapText="1"/>
    </xf>
    <xf numFmtId="0" fontId="66" fillId="0" borderId="19" xfId="3" applyFont="1" applyBorder="1" applyAlignment="1">
      <alignment horizontal="center" vertical="top" wrapText="1"/>
    </xf>
    <xf numFmtId="166" fontId="68" fillId="0" borderId="0" xfId="26" applyFont="1" applyAlignment="1">
      <alignment horizontal="center" vertical="top" wrapText="1"/>
    </xf>
    <xf numFmtId="166" fontId="66" fillId="0" borderId="20" xfId="26" applyFont="1" applyBorder="1" applyAlignment="1"/>
    <xf numFmtId="0" fontId="5" fillId="0" borderId="0" xfId="3" applyAlignment="1">
      <alignment horizontal="left" vertical="top" wrapText="1"/>
    </xf>
    <xf numFmtId="3" fontId="68" fillId="0" borderId="19" xfId="3" applyNumberFormat="1" applyFont="1" applyBorder="1" applyAlignment="1">
      <alignment horizontal="center" vertical="top" wrapText="1"/>
    </xf>
    <xf numFmtId="0" fontId="69" fillId="0" borderId="0" xfId="3" applyFont="1" applyAlignment="1">
      <alignment horizontal="left" vertical="top" wrapText="1"/>
    </xf>
    <xf numFmtId="166" fontId="66" fillId="0" borderId="20" xfId="3" applyNumberFormat="1" applyFont="1" applyBorder="1" applyAlignment="1">
      <alignment horizontal="left" wrapText="1"/>
    </xf>
    <xf numFmtId="0" fontId="70" fillId="0" borderId="0" xfId="3" applyFont="1" applyAlignment="1">
      <alignment horizontal="left" vertical="top" wrapText="1"/>
    </xf>
    <xf numFmtId="0" fontId="68" fillId="0" borderId="19" xfId="3" applyFont="1" applyBorder="1" applyAlignment="1">
      <alignment horizontal="center"/>
    </xf>
    <xf numFmtId="0" fontId="68" fillId="0" borderId="0" xfId="3" applyFont="1" applyAlignment="1">
      <alignment horizontal="center"/>
    </xf>
    <xf numFmtId="166" fontId="68" fillId="0" borderId="20" xfId="3" applyNumberFormat="1" applyFont="1" applyBorder="1" applyAlignment="1">
      <alignment horizontal="left" wrapText="1"/>
    </xf>
    <xf numFmtId="0" fontId="72" fillId="0" borderId="0" xfId="35" applyFont="1"/>
    <xf numFmtId="0" fontId="73" fillId="0" borderId="0" xfId="34" applyFont="1" applyAlignment="1">
      <alignment horizontal="left" vertical="center"/>
    </xf>
    <xf numFmtId="0" fontId="67" fillId="0" borderId="0" xfId="34" applyFont="1"/>
    <xf numFmtId="0" fontId="73" fillId="0" borderId="0" xfId="34" applyFont="1" applyAlignment="1">
      <alignment horizontal="left" vertical="center" indent="6"/>
    </xf>
    <xf numFmtId="0" fontId="73" fillId="0" borderId="0" xfId="34" applyFont="1" applyAlignment="1">
      <alignment vertical="center"/>
    </xf>
    <xf numFmtId="0" fontId="71" fillId="0" borderId="0" xfId="34" applyFont="1" applyAlignment="1">
      <alignment horizontal="left" vertical="center"/>
    </xf>
    <xf numFmtId="0" fontId="76" fillId="0" borderId="0" xfId="34" applyFont="1" applyAlignment="1">
      <alignment vertical="center" wrapText="1"/>
    </xf>
    <xf numFmtId="0" fontId="77" fillId="0" borderId="0" xfId="35" applyFont="1"/>
    <xf numFmtId="0" fontId="78" fillId="0" borderId="0" xfId="34" applyFont="1" applyAlignment="1">
      <alignment horizontal="center" vertical="center"/>
    </xf>
    <xf numFmtId="0" fontId="79" fillId="0" borderId="0" xfId="34" applyFont="1" applyAlignment="1">
      <alignment horizontal="center" vertical="center"/>
    </xf>
    <xf numFmtId="0" fontId="82" fillId="0" borderId="0" xfId="34" applyFont="1" applyAlignment="1">
      <alignment horizontal="left" vertical="center"/>
    </xf>
    <xf numFmtId="0" fontId="81" fillId="0" borderId="0" xfId="36" applyFont="1" applyFill="1" applyAlignment="1">
      <alignment vertical="center"/>
    </xf>
    <xf numFmtId="0" fontId="82" fillId="0" borderId="0" xfId="34" applyFont="1" applyAlignment="1">
      <alignment vertical="center"/>
    </xf>
    <xf numFmtId="0" fontId="77" fillId="0" borderId="0" xfId="35" applyFont="1" applyAlignment="1">
      <alignment horizontal="left"/>
    </xf>
    <xf numFmtId="0" fontId="72" fillId="0" borderId="0" xfId="35" applyFont="1" applyAlignment="1">
      <alignment horizontal="left"/>
    </xf>
    <xf numFmtId="0" fontId="40" fillId="0" borderId="0" xfId="0" applyFont="1"/>
    <xf numFmtId="0" fontId="38" fillId="0" borderId="0" xfId="32" applyFont="1" applyAlignment="1">
      <alignment horizontal="left" vertical="center"/>
    </xf>
    <xf numFmtId="0" fontId="27" fillId="0" borderId="0" xfId="32" applyFont="1" applyAlignment="1">
      <alignment horizontal="right" vertical="center"/>
    </xf>
    <xf numFmtId="0" fontId="38" fillId="0" borderId="0" xfId="32" applyFont="1" applyAlignment="1">
      <alignment horizontal="right" vertical="center"/>
    </xf>
    <xf numFmtId="167" fontId="28" fillId="0" borderId="0" xfId="26" applyNumberFormat="1" applyFont="1" applyAlignment="1">
      <alignment vertical="center"/>
    </xf>
    <xf numFmtId="4" fontId="28" fillId="0" borderId="0" xfId="26" applyNumberFormat="1" applyFont="1" applyAlignment="1">
      <alignment vertical="center"/>
    </xf>
    <xf numFmtId="0" fontId="65" fillId="0" borderId="0" xfId="32" applyFont="1" applyAlignment="1">
      <alignment horizontal="center" vertical="center"/>
    </xf>
    <xf numFmtId="167" fontId="28" fillId="0" borderId="0" xfId="26" applyNumberFormat="1" applyFont="1" applyAlignment="1">
      <alignment horizontal="right" vertical="center"/>
    </xf>
    <xf numFmtId="0" fontId="37" fillId="0" borderId="0" xfId="32" applyFont="1" applyAlignment="1">
      <alignment horizontal="left" vertical="center" wrapText="1"/>
    </xf>
    <xf numFmtId="166" fontId="28" fillId="0" borderId="0" xfId="26" applyFont="1" applyAlignment="1">
      <alignment vertical="center"/>
    </xf>
    <xf numFmtId="166" fontId="65" fillId="0" borderId="0" xfId="33" applyFont="1" applyAlignment="1">
      <alignment horizontal="left" vertical="center"/>
    </xf>
    <xf numFmtId="173" fontId="27" fillId="0" borderId="0" xfId="32" applyNumberFormat="1" applyFont="1" applyAlignment="1">
      <alignment vertical="center"/>
    </xf>
    <xf numFmtId="166" fontId="27" fillId="0" borderId="0" xfId="26" applyFont="1" applyAlignment="1">
      <alignment vertical="center"/>
    </xf>
    <xf numFmtId="0" fontId="40" fillId="0" borderId="0" xfId="32" applyFont="1" applyAlignment="1">
      <alignment horizontal="center"/>
    </xf>
    <xf numFmtId="0" fontId="40" fillId="0" borderId="0" xfId="32" applyFont="1"/>
    <xf numFmtId="1" fontId="27" fillId="0" borderId="0" xfId="32" applyNumberFormat="1" applyFont="1" applyAlignment="1">
      <alignment horizontal="right" vertical="center"/>
    </xf>
    <xf numFmtId="4" fontId="41" fillId="0" borderId="0" xfId="32" applyNumberFormat="1" applyFont="1"/>
    <xf numFmtId="0" fontId="42" fillId="0" borderId="0" xfId="32" applyFont="1" applyAlignment="1">
      <alignment vertical="center"/>
    </xf>
    <xf numFmtId="0" fontId="83" fillId="0" borderId="0" xfId="0" applyFont="1" applyAlignment="1">
      <alignment horizontal="center"/>
    </xf>
    <xf numFmtId="0" fontId="83" fillId="0" borderId="0" xfId="0" applyFont="1"/>
    <xf numFmtId="39" fontId="83" fillId="0" borderId="0" xfId="0" applyNumberFormat="1" applyFont="1"/>
    <xf numFmtId="0" fontId="84" fillId="0" borderId="0" xfId="0" applyFont="1" applyAlignment="1">
      <alignment horizontal="left"/>
    </xf>
    <xf numFmtId="0" fontId="83" fillId="0" borderId="0" xfId="0" applyFont="1" applyAlignment="1">
      <alignment vertical="center" wrapText="1"/>
    </xf>
    <xf numFmtId="0" fontId="83" fillId="0" borderId="0" xfId="0" applyFont="1" applyAlignment="1">
      <alignment horizontal="center" vertical="center"/>
    </xf>
    <xf numFmtId="39" fontId="83" fillId="0" borderId="0" xfId="0" applyNumberFormat="1" applyFont="1" applyAlignment="1">
      <alignment vertical="center"/>
    </xf>
    <xf numFmtId="0" fontId="83" fillId="0" borderId="0" xfId="0" applyFont="1" applyAlignment="1">
      <alignment vertical="center"/>
    </xf>
    <xf numFmtId="0" fontId="83" fillId="0" borderId="0" xfId="0" applyFont="1" applyAlignment="1">
      <alignment wrapText="1"/>
    </xf>
    <xf numFmtId="1" fontId="83" fillId="0" borderId="0" xfId="0" applyNumberFormat="1" applyFont="1" applyAlignment="1">
      <alignment horizontal="center"/>
    </xf>
    <xf numFmtId="0" fontId="83" fillId="0" borderId="0" xfId="0" applyFont="1" applyAlignment="1">
      <alignment horizontal="left"/>
    </xf>
    <xf numFmtId="0" fontId="85" fillId="0" borderId="0" xfId="0" applyFont="1"/>
    <xf numFmtId="39" fontId="83" fillId="0" borderId="12" xfId="0" applyNumberFormat="1" applyFont="1" applyBorder="1"/>
    <xf numFmtId="0" fontId="40" fillId="0" borderId="0" xfId="30" applyFont="1"/>
    <xf numFmtId="0" fontId="14" fillId="0" borderId="0" xfId="0" applyFont="1" applyAlignment="1">
      <alignment horizontal="center"/>
    </xf>
    <xf numFmtId="0" fontId="34" fillId="0" borderId="0" xfId="3" applyFont="1" applyAlignment="1">
      <alignment horizontal="left"/>
    </xf>
    <xf numFmtId="3" fontId="14" fillId="0" borderId="0" xfId="0" applyNumberFormat="1" applyFont="1" applyAlignment="1">
      <alignment horizontal="right"/>
    </xf>
    <xf numFmtId="0" fontId="14" fillId="0" borderId="0" xfId="0" applyFont="1"/>
    <xf numFmtId="166" fontId="14" fillId="0" borderId="0" xfId="0" applyNumberFormat="1" applyFont="1"/>
    <xf numFmtId="0" fontId="14" fillId="0" borderId="0" xfId="3" applyFont="1" applyAlignment="1">
      <alignment horizontal="left" wrapText="1"/>
    </xf>
    <xf numFmtId="0" fontId="34" fillId="0" borderId="0" xfId="3" applyFont="1" applyAlignment="1">
      <alignment horizontal="left" wrapText="1"/>
    </xf>
    <xf numFmtId="0" fontId="14" fillId="0" borderId="0" xfId="3" applyFont="1" applyAlignment="1">
      <alignment horizontal="left"/>
    </xf>
    <xf numFmtId="0" fontId="31" fillId="0" borderId="0" xfId="3" applyFont="1" applyAlignment="1">
      <alignment horizontal="left"/>
    </xf>
    <xf numFmtId="0" fontId="68" fillId="0" borderId="0" xfId="3" applyFont="1" applyBorder="1"/>
    <xf numFmtId="0" fontId="5" fillId="0" borderId="0" xfId="3" applyBorder="1"/>
    <xf numFmtId="39" fontId="84" fillId="0" borderId="12" xfId="0" applyNumberFormat="1" applyFont="1" applyBorder="1"/>
    <xf numFmtId="0" fontId="69" fillId="0" borderId="0" xfId="3" applyFont="1" applyAlignment="1">
      <alignment horizontal="right" vertical="top" wrapText="1"/>
    </xf>
    <xf numFmtId="166" fontId="68" fillId="0" borderId="0" xfId="1" applyFont="1" applyAlignment="1">
      <alignment horizontal="center"/>
    </xf>
    <xf numFmtId="166" fontId="27" fillId="0" borderId="0" xfId="14" applyFont="1" applyAlignment="1">
      <alignment horizontal="center" vertical="center"/>
    </xf>
    <xf numFmtId="166" fontId="14" fillId="0" borderId="0" xfId="14" applyFont="1" applyAlignment="1">
      <alignment horizontal="right" vertical="center"/>
    </xf>
    <xf numFmtId="0" fontId="14" fillId="0" borderId="0" xfId="32" applyFont="1" applyAlignment="1">
      <alignment horizontal="center" vertical="center"/>
    </xf>
    <xf numFmtId="0" fontId="34" fillId="0" borderId="0" xfId="32" applyFont="1" applyAlignment="1">
      <alignment vertical="center"/>
    </xf>
    <xf numFmtId="4" fontId="14" fillId="0" borderId="0" xfId="26" applyNumberFormat="1" applyFont="1" applyAlignment="1">
      <alignment horizontal="center" vertical="center"/>
    </xf>
    <xf numFmtId="167" fontId="30" fillId="0" borderId="0" xfId="32" applyNumberFormat="1" applyFont="1" applyAlignment="1">
      <alignment vertical="center"/>
    </xf>
    <xf numFmtId="170" fontId="30" fillId="0" borderId="0" xfId="32" applyNumberFormat="1" applyFont="1" applyAlignment="1">
      <alignment vertical="center"/>
    </xf>
    <xf numFmtId="0" fontId="13" fillId="0" borderId="0" xfId="32" applyFont="1" applyAlignment="1">
      <alignment vertical="center"/>
    </xf>
    <xf numFmtId="0" fontId="14" fillId="0" borderId="0" xfId="32" applyFont="1" applyAlignment="1">
      <alignment vertical="center"/>
    </xf>
    <xf numFmtId="166" fontId="38" fillId="0" borderId="0" xfId="14" applyFont="1" applyAlignment="1">
      <alignment horizontal="center" vertical="center"/>
    </xf>
    <xf numFmtId="4" fontId="14" fillId="0" borderId="0" xfId="32" applyNumberFormat="1" applyFont="1" applyAlignment="1">
      <alignment horizontal="center" vertical="center"/>
    </xf>
    <xf numFmtId="1" fontId="14" fillId="0" borderId="0" xfId="32" applyNumberFormat="1" applyFont="1" applyAlignment="1">
      <alignment horizontal="center" vertical="center"/>
    </xf>
    <xf numFmtId="0" fontId="29" fillId="0" borderId="0" xfId="32" applyFont="1" applyAlignment="1">
      <alignment horizontal="left" vertical="center"/>
    </xf>
    <xf numFmtId="0" fontId="34" fillId="0" borderId="0" xfId="32" applyFont="1" applyAlignment="1">
      <alignment vertical="center" wrapText="1"/>
    </xf>
    <xf numFmtId="171" fontId="14" fillId="0" borderId="0" xfId="23" applyNumberFormat="1" applyFont="1" applyAlignment="1">
      <alignment horizontal="center" vertical="center"/>
    </xf>
    <xf numFmtId="0" fontId="14" fillId="0" borderId="0" xfId="32" applyFont="1" applyAlignment="1">
      <alignment wrapText="1"/>
    </xf>
    <xf numFmtId="0" fontId="5" fillId="0" borderId="0" xfId="32" applyAlignment="1">
      <alignment wrapText="1"/>
    </xf>
    <xf numFmtId="0" fontId="27" fillId="0" borderId="0" xfId="32" applyFont="1" applyAlignment="1">
      <alignment horizontal="center" vertical="center" wrapText="1"/>
    </xf>
    <xf numFmtId="166" fontId="27" fillId="0" borderId="0" xfId="14" applyFont="1" applyAlignment="1">
      <alignment horizontal="center" vertical="center" wrapText="1"/>
    </xf>
    <xf numFmtId="167" fontId="28" fillId="0" borderId="0" xfId="32" applyNumberFormat="1" applyFont="1" applyAlignment="1">
      <alignment horizontal="right" vertical="center" wrapText="1"/>
    </xf>
    <xf numFmtId="0" fontId="65" fillId="0" borderId="0" xfId="32" applyFont="1" applyAlignment="1">
      <alignment horizontal="center" vertical="center" wrapText="1"/>
    </xf>
    <xf numFmtId="0" fontId="29" fillId="0" borderId="0" xfId="32" applyFont="1" applyAlignment="1">
      <alignment horizontal="left" vertical="center" wrapText="1"/>
    </xf>
    <xf numFmtId="0" fontId="29" fillId="0" borderId="0" xfId="32" applyFont="1" applyAlignment="1">
      <alignment vertical="center"/>
    </xf>
    <xf numFmtId="169" fontId="14" fillId="0" borderId="0" xfId="14" applyNumberFormat="1" applyFont="1" applyAlignment="1">
      <alignment horizontal="center" vertical="center"/>
    </xf>
    <xf numFmtId="169" fontId="34" fillId="0" borderId="0" xfId="14" applyNumberFormat="1" applyFont="1" applyAlignment="1">
      <alignment horizontal="center" vertical="center"/>
    </xf>
    <xf numFmtId="0" fontId="14" fillId="0" borderId="0" xfId="32" applyFont="1" applyAlignment="1">
      <alignment horizontal="left" vertical="center" wrapText="1"/>
    </xf>
    <xf numFmtId="0" fontId="14" fillId="0" borderId="0" xfId="32" applyFont="1" applyAlignment="1">
      <alignment vertical="center" wrapText="1"/>
    </xf>
    <xf numFmtId="0" fontId="27" fillId="2" borderId="0" xfId="32" applyFont="1" applyFill="1" applyBorder="1" applyAlignment="1">
      <alignment vertical="center"/>
    </xf>
    <xf numFmtId="166" fontId="40" fillId="0" borderId="0" xfId="32" applyNumberFormat="1" applyFont="1" applyAlignment="1">
      <alignment horizontal="center"/>
    </xf>
    <xf numFmtId="166" fontId="41" fillId="0" borderId="0" xfId="32" applyNumberFormat="1" applyFont="1" applyAlignment="1">
      <alignment horizontal="center"/>
    </xf>
    <xf numFmtId="3" fontId="41" fillId="0" borderId="0" xfId="32" applyNumberFormat="1" applyFont="1"/>
    <xf numFmtId="166" fontId="39" fillId="0" borderId="2" xfId="14" applyFont="1" applyBorder="1" applyAlignment="1">
      <alignment horizontal="center" vertical="center"/>
    </xf>
    <xf numFmtId="166" fontId="39" fillId="0" borderId="0" xfId="14" applyFont="1" applyAlignment="1">
      <alignment horizontal="center" vertical="center"/>
    </xf>
    <xf numFmtId="166" fontId="38" fillId="0" borderId="7" xfId="14" applyFont="1" applyBorder="1" applyAlignment="1">
      <alignment horizontal="center" vertical="center"/>
    </xf>
    <xf numFmtId="43" fontId="68" fillId="0" borderId="0" xfId="3" applyNumberFormat="1" applyFont="1" applyAlignment="1">
      <alignment horizontal="center"/>
    </xf>
    <xf numFmtId="4" fontId="14" fillId="0" borderId="0" xfId="0" applyNumberFormat="1" applyFont="1" applyAlignment="1">
      <alignment horizontal="right" vertical="center"/>
    </xf>
    <xf numFmtId="4" fontId="14" fillId="0" borderId="0" xfId="16" applyNumberFormat="1" applyFont="1" applyFill="1" applyBorder="1" applyAlignment="1">
      <alignment horizontal="right" vertical="center"/>
    </xf>
    <xf numFmtId="168" fontId="36" fillId="0" borderId="0" xfId="0" applyNumberFormat="1" applyFont="1" applyAlignment="1">
      <alignment horizontal="right" vertical="center"/>
    </xf>
    <xf numFmtId="168" fontId="83" fillId="0" borderId="0" xfId="0" applyNumberFormat="1" applyFont="1" applyAlignment="1">
      <alignment horizontal="right" vertical="center"/>
    </xf>
    <xf numFmtId="0" fontId="53" fillId="0" borderId="0" xfId="0" applyFont="1" applyAlignment="1">
      <alignment horizontal="right" vertical="center"/>
    </xf>
    <xf numFmtId="0" fontId="46" fillId="0" borderId="0" xfId="30" applyFont="1" applyAlignment="1">
      <alignment horizontal="right" vertical="center"/>
    </xf>
    <xf numFmtId="3" fontId="36" fillId="0" borderId="0" xfId="30" applyNumberFormat="1" applyFont="1" applyAlignment="1">
      <alignment horizontal="right" vertical="center" wrapText="1"/>
    </xf>
    <xf numFmtId="166" fontId="41" fillId="0" borderId="0" xfId="1" applyFont="1" applyAlignment="1">
      <alignment horizontal="right" vertical="center"/>
    </xf>
    <xf numFmtId="0" fontId="7" fillId="0" borderId="0" xfId="8" applyFont="1" applyAlignment="1">
      <alignment horizontal="center" vertical="center"/>
    </xf>
    <xf numFmtId="0" fontId="22" fillId="0" borderId="0" xfId="12" applyFont="1" applyAlignment="1">
      <alignment horizontal="center" vertical="top"/>
    </xf>
    <xf numFmtId="0" fontId="25" fillId="0" borderId="0" xfId="3" applyFont="1" applyAlignment="1">
      <alignment horizontal="center"/>
    </xf>
    <xf numFmtId="0" fontId="81" fillId="0" borderId="0" xfId="36" applyFont="1" applyFill="1" applyAlignment="1">
      <alignment horizontal="center" vertical="center"/>
    </xf>
    <xf numFmtId="0" fontId="71" fillId="0" borderId="0" xfId="34" applyFont="1" applyAlignment="1">
      <alignment horizontal="center" vertical="center"/>
    </xf>
    <xf numFmtId="0" fontId="71" fillId="0" borderId="0" xfId="34" applyFont="1" applyAlignment="1">
      <alignment horizontal="center" vertical="center" wrapText="1"/>
    </xf>
    <xf numFmtId="0" fontId="74" fillId="0" borderId="0" xfId="34" applyFont="1" applyAlignment="1">
      <alignment horizontal="center" vertical="center"/>
    </xf>
    <xf numFmtId="0" fontId="75" fillId="0" borderId="0" xfId="34" applyFont="1" applyAlignment="1">
      <alignment horizontal="center" vertical="center" wrapText="1"/>
    </xf>
    <xf numFmtId="0" fontId="78" fillId="0" borderId="0" xfId="34" applyFont="1" applyAlignment="1">
      <alignment horizontal="center" vertical="center"/>
    </xf>
    <xf numFmtId="0" fontId="79" fillId="0" borderId="0" xfId="34" applyFont="1" applyAlignment="1">
      <alignment horizontal="center" vertical="center"/>
    </xf>
    <xf numFmtId="0" fontId="86" fillId="0" borderId="0" xfId="34" applyFont="1" applyAlignment="1">
      <alignment horizontal="center" vertical="center"/>
    </xf>
    <xf numFmtId="0" fontId="56" fillId="0" borderId="0" xfId="31" applyFont="1" applyAlignment="1">
      <alignment horizontal="center" vertical="center"/>
    </xf>
    <xf numFmtId="0" fontId="56" fillId="0" borderId="0" xfId="31" applyFont="1" applyAlignment="1">
      <alignment horizontal="center" vertical="center" wrapText="1"/>
    </xf>
    <xf numFmtId="0" fontId="63" fillId="0" borderId="0" xfId="31" applyFont="1" applyAlignment="1">
      <alignment horizontal="center"/>
    </xf>
    <xf numFmtId="3" fontId="46" fillId="0" borderId="0" xfId="0" applyNumberFormat="1" applyFont="1"/>
    <xf numFmtId="4" fontId="14" fillId="0" borderId="0" xfId="16" applyNumberFormat="1" applyFont="1" applyAlignment="1">
      <alignment horizontal="center" vertical="center"/>
    </xf>
    <xf numFmtId="4" fontId="31" fillId="0" borderId="0" xfId="26" applyNumberFormat="1" applyFont="1" applyAlignment="1">
      <alignment horizontal="right" vertical="center"/>
    </xf>
    <xf numFmtId="4" fontId="31" fillId="0" borderId="0" xfId="3" applyNumberFormat="1" applyFont="1" applyAlignment="1">
      <alignment horizontal="center" vertical="center"/>
    </xf>
    <xf numFmtId="4" fontId="31" fillId="0" borderId="0" xfId="26" applyNumberFormat="1" applyFont="1" applyAlignment="1">
      <alignment horizontal="center" vertical="center"/>
    </xf>
    <xf numFmtId="4" fontId="14" fillId="0" borderId="0" xfId="3" applyNumberFormat="1" applyFont="1" applyAlignment="1">
      <alignment horizontal="center" vertical="center" wrapText="1"/>
    </xf>
    <xf numFmtId="4" fontId="14" fillId="0" borderId="0" xfId="18" applyNumberFormat="1" applyFont="1" applyAlignment="1">
      <alignment horizontal="center" vertical="center"/>
    </xf>
    <xf numFmtId="4" fontId="14" fillId="0" borderId="0" xfId="26" applyNumberFormat="1" applyFont="1" applyFill="1" applyAlignment="1">
      <alignment horizontal="center" vertical="center"/>
    </xf>
    <xf numFmtId="4" fontId="31" fillId="0" borderId="0" xfId="3" applyNumberFormat="1" applyFont="1" applyAlignment="1">
      <alignment horizontal="right" vertical="center"/>
    </xf>
    <xf numFmtId="166" fontId="14" fillId="0" borderId="0" xfId="27" applyFont="1" applyAlignment="1">
      <alignment horizontal="center" vertical="center"/>
    </xf>
    <xf numFmtId="166" fontId="14" fillId="0" borderId="0" xfId="27" applyFont="1" applyAlignment="1">
      <alignment horizontal="right" vertical="center"/>
    </xf>
    <xf numFmtId="166" fontId="31" fillId="0" borderId="0" xfId="1" applyFont="1" applyFill="1" applyBorder="1" applyAlignment="1">
      <alignment horizontal="right" vertical="center"/>
    </xf>
    <xf numFmtId="167" fontId="35" fillId="0" borderId="0" xfId="26" applyNumberFormat="1" applyFont="1" applyFill="1" applyBorder="1" applyAlignment="1">
      <alignment vertical="center"/>
    </xf>
    <xf numFmtId="0" fontId="36" fillId="0" borderId="0" xfId="0" applyFont="1" applyAlignment="1">
      <alignment horizontal="center" wrapText="1"/>
    </xf>
    <xf numFmtId="0" fontId="88" fillId="0" borderId="0" xfId="3" applyFont="1" applyAlignment="1">
      <alignment wrapText="1"/>
    </xf>
    <xf numFmtId="169" fontId="43" fillId="0" borderId="0" xfId="1" applyNumberFormat="1" applyFont="1" applyFill="1" applyAlignment="1">
      <alignment horizontal="center" vertical="center" wrapText="1"/>
    </xf>
    <xf numFmtId="166" fontId="36" fillId="0" borderId="0" xfId="0" applyNumberFormat="1" applyFont="1" applyAlignment="1">
      <alignment horizontal="right" wrapText="1"/>
    </xf>
    <xf numFmtId="0" fontId="34" fillId="0" borderId="0" xfId="3" applyFont="1" applyAlignment="1">
      <alignment horizontal="left" vertical="center"/>
    </xf>
    <xf numFmtId="167" fontId="14" fillId="0" borderId="0" xfId="3" applyNumberFormat="1" applyFont="1" applyAlignment="1">
      <alignment vertical="center"/>
    </xf>
    <xf numFmtId="4" fontId="14" fillId="0" borderId="3" xfId="3" applyNumberFormat="1" applyFont="1" applyBorder="1" applyAlignment="1">
      <alignment horizontal="center" vertical="center"/>
    </xf>
    <xf numFmtId="4" fontId="34" fillId="0" borderId="0" xfId="3" applyNumberFormat="1" applyFont="1" applyAlignment="1">
      <alignment horizontal="center" vertical="center"/>
    </xf>
    <xf numFmtId="167" fontId="13" fillId="0" borderId="0" xfId="3" applyNumberFormat="1" applyFont="1" applyAlignment="1">
      <alignment vertical="center"/>
    </xf>
    <xf numFmtId="4" fontId="31" fillId="4" borderId="0" xfId="3" applyNumberFormat="1" applyFont="1" applyFill="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vertical="center"/>
    </xf>
    <xf numFmtId="169" fontId="31" fillId="0" borderId="0" xfId="1" applyNumberFormat="1" applyFont="1" applyBorder="1" applyAlignment="1">
      <alignment horizontal="center" vertical="center"/>
    </xf>
    <xf numFmtId="0" fontId="31" fillId="0" borderId="0" xfId="3" applyFont="1" applyBorder="1" applyAlignment="1">
      <alignment horizontal="center" vertical="center"/>
    </xf>
    <xf numFmtId="4" fontId="14" fillId="0" borderId="0" xfId="3" applyNumberFormat="1" applyFont="1" applyBorder="1" applyAlignment="1">
      <alignment horizontal="center" vertical="center"/>
    </xf>
    <xf numFmtId="0" fontId="13" fillId="0" borderId="0" xfId="3" applyFont="1" applyBorder="1" applyAlignment="1">
      <alignment vertical="center"/>
    </xf>
    <xf numFmtId="171" fontId="27" fillId="0" borderId="0" xfId="23" applyNumberFormat="1" applyFont="1" applyAlignment="1">
      <alignment horizontal="right" vertical="center"/>
    </xf>
    <xf numFmtId="0" fontId="14" fillId="0" borderId="0" xfId="32" applyFont="1" applyAlignment="1">
      <alignment horizontal="right" vertical="center"/>
    </xf>
    <xf numFmtId="1" fontId="14" fillId="0" borderId="0" xfId="32" applyNumberFormat="1" applyFont="1" applyAlignment="1">
      <alignment horizontal="right" vertical="center"/>
    </xf>
    <xf numFmtId="166" fontId="5" fillId="0" borderId="0" xfId="14"/>
    <xf numFmtId="169" fontId="5" fillId="0" borderId="0" xfId="14" applyNumberFormat="1" applyFont="1" applyAlignment="1">
      <alignment horizontal="center" vertical="center"/>
    </xf>
    <xf numFmtId="16" fontId="34" fillId="0" borderId="0" xfId="32" applyNumberFormat="1" applyFont="1" applyAlignment="1">
      <alignment horizontal="left" vertical="center"/>
    </xf>
    <xf numFmtId="16" fontId="14" fillId="0" borderId="0" xfId="32" quotePrefix="1" applyNumberFormat="1" applyFont="1" applyAlignment="1">
      <alignment horizontal="right" vertical="center"/>
    </xf>
    <xf numFmtId="16" fontId="14" fillId="0" borderId="0" xfId="32" applyNumberFormat="1" applyFont="1" applyAlignment="1">
      <alignment horizontal="left" vertical="center"/>
    </xf>
    <xf numFmtId="16" fontId="14" fillId="0" borderId="0" xfId="32" quotePrefix="1" applyNumberFormat="1" applyFont="1" applyAlignment="1">
      <alignment horizontal="left" vertical="center"/>
    </xf>
    <xf numFmtId="0" fontId="14" fillId="0" borderId="0" xfId="32" applyFont="1" applyAlignment="1">
      <alignment horizontal="left" vertical="center"/>
    </xf>
    <xf numFmtId="0" fontId="29" fillId="0" borderId="0" xfId="32" applyFont="1" applyAlignment="1">
      <alignment vertical="center" wrapText="1"/>
    </xf>
    <xf numFmtId="171" fontId="14" fillId="0" borderId="0" xfId="32" applyNumberFormat="1" applyFont="1" applyAlignment="1">
      <alignment vertical="center"/>
    </xf>
    <xf numFmtId="0" fontId="31" fillId="0" borderId="0" xfId="32" applyFont="1" applyAlignment="1">
      <alignment vertical="center" wrapText="1"/>
    </xf>
    <xf numFmtId="171" fontId="14" fillId="0" borderId="0" xfId="23" applyNumberFormat="1" applyFont="1" applyAlignment="1">
      <alignment vertical="center"/>
    </xf>
    <xf numFmtId="171" fontId="27" fillId="0" borderId="0" xfId="32" applyNumberFormat="1" applyFont="1" applyAlignment="1">
      <alignment horizontal="right"/>
    </xf>
    <xf numFmtId="169" fontId="27" fillId="0" borderId="0" xfId="32" applyNumberFormat="1" applyFont="1" applyAlignment="1">
      <alignment vertical="center"/>
    </xf>
    <xf numFmtId="173" fontId="27" fillId="0" borderId="0" xfId="32" applyNumberFormat="1" applyFont="1" applyAlignment="1">
      <alignment horizontal="right" vertical="center"/>
    </xf>
    <xf numFmtId="174" fontId="41" fillId="0" borderId="0" xfId="32" applyNumberFormat="1" applyFont="1"/>
    <xf numFmtId="4" fontId="27" fillId="0" borderId="0" xfId="26" applyNumberFormat="1" applyFont="1" applyAlignment="1">
      <alignment horizontal="center" vertical="center"/>
    </xf>
    <xf numFmtId="166" fontId="89" fillId="0" borderId="21" xfId="26" applyFont="1" applyBorder="1" applyAlignment="1"/>
  </cellXfs>
  <cellStyles count="41">
    <cellStyle name="Comma" xfId="1" builtinId="3"/>
    <cellStyle name="Comma 10" xfId="14" xr:uid="{00000000-0005-0000-0000-000001000000}"/>
    <cellStyle name="Comma 10 2" xfId="39" xr:uid="{9559F007-515E-42C2-B414-9CB8B808B67F}"/>
    <cellStyle name="Comma 13" xfId="23" xr:uid="{12F6DA18-7ECA-436E-8944-BC6CD38A7AD9}"/>
    <cellStyle name="Comma 13 2" xfId="25" xr:uid="{63AC30D2-3EEE-48AF-BACE-186A36871D23}"/>
    <cellStyle name="Comma 16" xfId="4" xr:uid="{00000000-0005-0000-0000-000002000000}"/>
    <cellStyle name="Comma 2" xfId="40" xr:uid="{D98A718B-A8FE-497C-BF44-0C584AF8B60A}"/>
    <cellStyle name="Comma 2 2" xfId="11" xr:uid="{00000000-0005-0000-0000-000003000000}"/>
    <cellStyle name="Comma 2 2 2" xfId="26" xr:uid="{D9D0AFAE-2D81-4D34-9C52-E87C307BD281}"/>
    <cellStyle name="Comma 2 3" xfId="9" xr:uid="{00000000-0005-0000-0000-000004000000}"/>
    <cellStyle name="Comma 3" xfId="16" xr:uid="{00000000-0005-0000-0000-000005000000}"/>
    <cellStyle name="Comma 3 2" xfId="15" xr:uid="{00000000-0005-0000-0000-000006000000}"/>
    <cellStyle name="Comma 3 2 2" xfId="33" xr:uid="{15516F5B-A45D-4999-B93D-4DA1BC574550}"/>
    <cellStyle name="Comma 4 2" xfId="18" xr:uid="{00000000-0005-0000-0000-000007000000}"/>
    <cellStyle name="Comma 5" xfId="27" xr:uid="{E149D0EE-2038-474C-BF35-C11CF99B36A8}"/>
    <cellStyle name="Currency 2" xfId="24" xr:uid="{7C16CBE5-41F6-491D-87A4-D2E2672F36F2}"/>
    <cellStyle name="Hyperlink 2" xfId="36" xr:uid="{F723F2E5-432E-47C4-AE66-19FFBDFAACBA}"/>
    <cellStyle name="Normal" xfId="0" builtinId="0"/>
    <cellStyle name="Normal 10" xfId="28" xr:uid="{52CA0711-D758-4A6F-85FD-B284140CA4D5}"/>
    <cellStyle name="Normal 10 2" xfId="37" xr:uid="{0304B89F-7DCB-49B9-B643-8BA9A373EFA9}"/>
    <cellStyle name="Normal 13" xfId="34" xr:uid="{CF132CB1-EA5E-46CE-9557-75A18793D556}"/>
    <cellStyle name="Normal 2" xfId="3" xr:uid="{00000000-0005-0000-0000-000009000000}"/>
    <cellStyle name="Normal 2 2" xfId="12" xr:uid="{00000000-0005-0000-0000-00000A000000}"/>
    <cellStyle name="Normal 2 3" xfId="32" xr:uid="{02539FE8-7D7F-4DD8-A59E-52800D9B616F}"/>
    <cellStyle name="Normal 3" xfId="5" xr:uid="{00000000-0005-0000-0000-00000B000000}"/>
    <cellStyle name="Normal 3 2" xfId="7" xr:uid="{00000000-0005-0000-0000-00000C000000}"/>
    <cellStyle name="Normal 3 2 2" xfId="8" xr:uid="{00000000-0005-0000-0000-00000D000000}"/>
    <cellStyle name="Normal 3 2 2 2" xfId="17" xr:uid="{00000000-0005-0000-0000-00000E000000}"/>
    <cellStyle name="Normal 3 2 2 2 2" xfId="19" xr:uid="{00000000-0005-0000-0000-00000F000000}"/>
    <cellStyle name="Normal 3 2 2 2 3" xfId="35" xr:uid="{B2EC0499-10A9-42C9-8B94-339101235D9E}"/>
    <cellStyle name="Normal 3 3" xfId="10" xr:uid="{00000000-0005-0000-0000-000010000000}"/>
    <cellStyle name="Normal 3 3 2" xfId="22" xr:uid="{00000000-0005-0000-0000-000011000000}"/>
    <cellStyle name="Normal 3 3 3" xfId="31" xr:uid="{CBE44166-D9C7-47C2-B2DD-74D694A320AC}"/>
    <cellStyle name="Normal 4" xfId="20" xr:uid="{00000000-0005-0000-0000-000012000000}"/>
    <cellStyle name="Normal 4 2" xfId="21" xr:uid="{00000000-0005-0000-0000-000013000000}"/>
    <cellStyle name="Normal 5" xfId="30" xr:uid="{60B4806D-D09C-4CF9-94BC-74A0993573B2}"/>
    <cellStyle name="Normal 6" xfId="38" xr:uid="{CD2B6CB7-DD91-468E-941B-CA63A28C460E}"/>
    <cellStyle name="Normal 7 2" xfId="2" xr:uid="{00000000-0005-0000-0000-000014000000}"/>
    <cellStyle name="Normal 7 3" xfId="6" xr:uid="{00000000-0005-0000-0000-000015000000}"/>
    <cellStyle name="Normal 9" xfId="29" xr:uid="{35A70A1E-F1D4-4FFF-A1F6-A4DBD6A0D8A8}"/>
    <cellStyle name="Percent 2 2" xfId="13"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9" Type="http://schemas.openxmlformats.org/officeDocument/2006/relationships/externalLink" Target="externalLinks/externalLink25.xml"/><Relationship Id="rId21" Type="http://schemas.openxmlformats.org/officeDocument/2006/relationships/externalLink" Target="externalLinks/externalLink7.xml"/><Relationship Id="rId34" Type="http://schemas.openxmlformats.org/officeDocument/2006/relationships/externalLink" Target="externalLinks/externalLink20.xml"/><Relationship Id="rId42" Type="http://schemas.openxmlformats.org/officeDocument/2006/relationships/externalLink" Target="externalLinks/externalLink28.xml"/><Relationship Id="rId47" Type="http://schemas.openxmlformats.org/officeDocument/2006/relationships/externalLink" Target="externalLinks/externalLink33.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2.xml"/><Relationship Id="rId29" Type="http://schemas.openxmlformats.org/officeDocument/2006/relationships/externalLink" Target="externalLinks/externalLink15.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40" Type="http://schemas.openxmlformats.org/officeDocument/2006/relationships/externalLink" Target="externalLinks/externalLink26.xml"/><Relationship Id="rId45" Type="http://schemas.openxmlformats.org/officeDocument/2006/relationships/externalLink" Target="externalLinks/externalLink31.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externalLink" Target="externalLinks/externalLink17.xml"/><Relationship Id="rId44" Type="http://schemas.openxmlformats.org/officeDocument/2006/relationships/externalLink" Target="externalLinks/externalLink30.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externalLink" Target="externalLinks/externalLink29.xml"/><Relationship Id="rId48" Type="http://schemas.openxmlformats.org/officeDocument/2006/relationships/externalLink" Target="externalLinks/externalLink34.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46" Type="http://schemas.openxmlformats.org/officeDocument/2006/relationships/externalLink" Target="externalLinks/externalLink32.xml"/><Relationship Id="rId20" Type="http://schemas.openxmlformats.org/officeDocument/2006/relationships/externalLink" Target="externalLinks/externalLink6.xml"/><Relationship Id="rId41"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49" Type="http://schemas.openxmlformats.org/officeDocument/2006/relationships/externalLink" Target="externalLinks/externalLink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B846D733-CE50-4F1A-A140-DC9AEA788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9B714385-902F-4A53-B7A2-E8AE2E232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4C8C2257-6AEA-4755-9D38-423E587C0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70F6E37A-B22A-40BF-99EF-A2A5881E2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495300</xdr:colOff>
      <xdr:row>41</xdr:row>
      <xdr:rowOff>333375</xdr:rowOff>
    </xdr:from>
    <xdr:to>
      <xdr:col>22</xdr:col>
      <xdr:colOff>466725</xdr:colOff>
      <xdr:row>51</xdr:row>
      <xdr:rowOff>19050</xdr:rowOff>
    </xdr:to>
    <xdr:pic>
      <xdr:nvPicPr>
        <xdr:cNvPr id="2" name="Picture 1">
          <a:extLst>
            <a:ext uri="{FF2B5EF4-FFF2-40B4-BE49-F238E27FC236}">
              <a16:creationId xmlns:a16="http://schemas.microsoft.com/office/drawing/2014/main" id="{F91F5FA1-A7D4-40A4-959D-2C113E162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39425" y="11915775"/>
          <a:ext cx="682942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qs-2\hqs%202%20(d)\msoffice\excel\t\JFLIN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achabba/Dropbox/Life%20Camp/Development%20Analysis/Server/d/Chinwe/Practice%20Proforma/701%20Lamont%20-Debt-%20BB&amp;T%20Termsheet%20&amp;%20scenario%20analysi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QS/AppData/Local/Temp/COST%20BREAKDOWN%20EBOYIN%2008%20FEB2016.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Bachabba/Dropbox/Life%20Camp/Development%20Analysis/Atntbdc01/macstuff/CURRENT%20PROJECTS/01-7528.00RR%20LA%20BID/Exhibits/VI.%20Housing/Housing.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AMOS%20ETAREWHU/Desktop/KANO-MAIDUGURI%20PROJECT/PAYMENT%20CERTIFICATE/IC-32-CORRECT%20DRAFT%20COPY%20-%20Final/utecn/Ponti-Viadotti/London%20DLRE/Dwg/ModuliQualita/Barsched%208666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pc/Desktop/Documents%20and%20Settings/user.OWNER/My%20Documents/My%20Documents/HIGH%20COURT%20VA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Users\ELALAN-MONDAY\Documents\PROJECTS\LBW\BOQ\BREAKDOWN%20%20%20LBW%20MAY%2022%202016%20Rvs2.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B310%20Int%20Val%20June%2007revise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M/Documents%20and%20Settings/Marisa%20Gaither/Desktop/GDA%20Engagements/The%20Strand/The%20Strand.Revised%20SubmissionFinancial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CBNsystem1/Downloads/Break%2520even%2520analysis%25202%2520as%2520at%252026th%2520June%2520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Bachabba/Dropbox/Life%20Camp/Development%20Analysis/Server/d/Chinwe/Projects/affordable%20housing/rental/614%20Longfellow%20Rental%20ProForma%20-%20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NANA%20FATIMA\Documents\YAHAYA%20ABUKUR%20DOCUMENTS\MANGAL%20PROJECT%20AT%20KADUNA\CONSTRUCTION%20OF%20BLOCK%20OF%20STUDENT%20HOSTEL%20AT%20NYSC%20%20CENTRE%20KATSIN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idams\c-didams\My%20Documents\BON\Labour-fluct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Sam\Aria\proposal%20%232\Proposal%20for%20aria%20Price%20breakdown%20rev31%20%2025_03%20DAF%20V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OSE%20BRIDGES\FRON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YBOOKLIVE1\Public\Leecon%20associates\Bentaiwo\DTV%20draft%20P&amp;G%20Oct%201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M/8000's/8148.00,%2004-%20Gewirz%20Grosvenor/FINANCIALS/FIN-RENTAL-AGGR-9.5%25-MPDU-MX.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JBN%20Port%20Harcourt\Baustellen\PHC%20Flyover\Certificate%20genehmigt\Certificate%20Bridges%2008%20vom%2031.05.00%20agreed%20FMWH%20(incl%20RETC%2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Bachabba/Dropbox/Life%20Camp/Development%20Analysis/dcsnap01/active-jobs/OLDMENU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84D4665/Certificate%20Bridges%2008%20vom%2031.05.00%20agreed%20FMWH%20(incl%20RETC%2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M/IBD/Atlanta%20Region/ACQ_MORT/Equity/Multifamily/Sawyer%20Heights/Sawyer%20Heights%20MS%20v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SKY/Downloads/jah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Abubakar\Desktop\FCE%20OKENE%20PROJECTS\CONSTRUCTION%20OF%20BLOCK%20OF%20OFFICE%20AND%20CLASS%20AT%20FCE%20OKENE.%20AMMENDED.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Dropbox\My%20PC%20(DESKTOP-MD3CUCQ)\Desktop\shola%20taiwo\TYPE%205\TYPE%205%20CRD%20Mr%20DEJI.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My%20Drive\QS%20KAMALDEEN\AJIWE\BOQ\BOQ%20-%20IN-%20USE\AJIWE%20BOQ%20(Revised%20MARCH.%202023).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BOQ%20LOCKER%20SHOP.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UrFavQ$/Desktop/Boq/BILLS%202024/MAY/QS%20YUNUS/BOQ/BOQ%20PROPOSED%20MASJID%20UPDATED.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POWER%20HOUSE_091334.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PUBLIC%20TOILET_09133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aryam%20Nadabo/Desktop/HOSPITALS/Users/Abubakar/Desktop/FCE%20OKENE%20PROJECTS/CONSTRUCTION%20OF%20BLOCK%20OF%20OFFICE%20AND%20CLASS%20AT%20FCE%20OKENE.%20AMMEND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c/Desktop/Users/NANA%20FATIMA/Documents/YAHAYA%20ABUKUR%20DOCUMENTS/MANGAL%20PROJECT%20AT%20KADUNA/CONSTRUCTION%20OF%20BLOCK%20OF%20STUDENT%20HOSTEL%20AT%20NYSC%20%20CENTRE%20KATSIN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chabba/Dropbox/Life%20Camp/Development%20Analysis/Dcsnap01/active-jobs/6240.02,%2004-%20Toll%20Bros%20Loudoun/Toll%20Brothers%20market%20exhibits/employment%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NANA%20FATIMA\Documents\MANGAL%20PROJECT%20AT%20KADUNA\CONSTRUCTION%20OF%20BLOCK%20OF%20STUDENT%20HOSTEL%20AT%20NYSC%20%20CENTRE%20KATSINA%20WITH%20MINISTRY%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Users\NANA%20FATIMA\Documents\OTHER%20PROJECTS\EXPANSION%20OF%20SCH%20OF%20LANG%20%20LOTC%20VAL%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s>
    <sheetDataSet>
      <sheetData sheetId="0"/>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ase - condos"/>
      <sheetName val="Condo Pricing"/>
      <sheetName val="Construction Details"/>
    </sheet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
      <sheetName val="Rates"/>
      <sheetName val="Simulation"/>
      <sheetName val="PRELIMS"/>
      <sheetName val="BOQ"/>
      <sheetName val="BUILD UP"/>
      <sheetName val="BUILD UP  05 10 2015"/>
      <sheetName val="SEPTIC TANK"/>
      <sheetName val="PREL"/>
      <sheetName val="HB"/>
      <sheetName val="service"/>
      <sheetName val="GATE HOUSE"/>
      <sheetName val="EXTWENAL"/>
      <sheetName val="UTILITY"/>
      <sheetName val="FENCING"/>
      <sheetName val="GS "/>
    </sheetNames>
    <sheetDataSet>
      <sheetData sheetId="0">
        <row r="15">
          <cell r="B15">
            <v>3244.8</v>
          </cell>
        </row>
        <row r="77">
          <cell r="B77">
            <v>10845.33</v>
          </cell>
        </row>
        <row r="79">
          <cell r="B79">
            <v>400</v>
          </cell>
        </row>
        <row r="80">
          <cell r="B80">
            <v>450</v>
          </cell>
        </row>
        <row r="83">
          <cell r="B83">
            <v>2964</v>
          </cell>
        </row>
        <row r="85">
          <cell r="B85">
            <v>1221</v>
          </cell>
        </row>
        <row r="99">
          <cell r="B99">
            <v>220</v>
          </cell>
        </row>
        <row r="100">
          <cell r="B100">
            <v>240</v>
          </cell>
        </row>
        <row r="101">
          <cell r="B101">
            <v>260</v>
          </cell>
        </row>
        <row r="104">
          <cell r="B104">
            <v>237.6</v>
          </cell>
        </row>
        <row r="105">
          <cell r="B105">
            <v>286.2</v>
          </cell>
        </row>
        <row r="106">
          <cell r="B106">
            <v>367.2</v>
          </cell>
        </row>
        <row r="109">
          <cell r="B109">
            <v>1728</v>
          </cell>
        </row>
        <row r="114">
          <cell r="B114">
            <v>320</v>
          </cell>
        </row>
        <row r="115">
          <cell r="B115">
            <v>4450</v>
          </cell>
        </row>
        <row r="116">
          <cell r="B116">
            <v>2700</v>
          </cell>
        </row>
        <row r="130">
          <cell r="B130">
            <v>1751</v>
          </cell>
        </row>
        <row r="132">
          <cell r="B132">
            <v>7290</v>
          </cell>
        </row>
        <row r="140">
          <cell r="B140">
            <v>1100</v>
          </cell>
        </row>
        <row r="147">
          <cell r="B147">
            <v>31.5</v>
          </cell>
        </row>
        <row r="148">
          <cell r="B148">
            <v>1200</v>
          </cell>
        </row>
        <row r="150">
          <cell r="B150">
            <v>3000</v>
          </cell>
        </row>
        <row r="174">
          <cell r="B174">
            <v>7900</v>
          </cell>
        </row>
        <row r="177">
          <cell r="B177">
            <v>7000</v>
          </cell>
        </row>
        <row r="178">
          <cell r="B178">
            <v>3500</v>
          </cell>
        </row>
        <row r="179">
          <cell r="B179">
            <v>5500</v>
          </cell>
        </row>
        <row r="182">
          <cell r="B182">
            <v>17500</v>
          </cell>
        </row>
        <row r="183">
          <cell r="B183">
            <v>167.5</v>
          </cell>
        </row>
        <row r="188">
          <cell r="B188">
            <v>2700</v>
          </cell>
        </row>
        <row r="196">
          <cell r="B196">
            <v>18000</v>
          </cell>
        </row>
        <row r="198">
          <cell r="B198">
            <v>3</v>
          </cell>
        </row>
        <row r="207">
          <cell r="B207">
            <v>212.51</v>
          </cell>
        </row>
        <row r="208">
          <cell r="B208">
            <v>275</v>
          </cell>
        </row>
        <row r="209">
          <cell r="B209">
            <v>387.5</v>
          </cell>
        </row>
        <row r="211">
          <cell r="B211">
            <v>562.5</v>
          </cell>
        </row>
        <row r="212">
          <cell r="B212">
            <v>825</v>
          </cell>
        </row>
        <row r="245">
          <cell r="B245">
            <v>4350</v>
          </cell>
        </row>
        <row r="246">
          <cell r="B246">
            <v>2100</v>
          </cell>
        </row>
        <row r="247">
          <cell r="B247">
            <v>4000</v>
          </cell>
        </row>
        <row r="248">
          <cell r="B248">
            <v>17500</v>
          </cell>
        </row>
        <row r="249">
          <cell r="B249">
            <v>7000</v>
          </cell>
        </row>
        <row r="250">
          <cell r="B250">
            <v>13200</v>
          </cell>
        </row>
        <row r="252">
          <cell r="B252">
            <v>22000</v>
          </cell>
        </row>
        <row r="256">
          <cell r="B256">
            <v>6200</v>
          </cell>
        </row>
        <row r="257">
          <cell r="B257">
            <v>55000</v>
          </cell>
        </row>
        <row r="258">
          <cell r="B258">
            <v>1770.67</v>
          </cell>
        </row>
        <row r="259">
          <cell r="B259">
            <v>155</v>
          </cell>
        </row>
        <row r="264">
          <cell r="B264">
            <v>250</v>
          </cell>
        </row>
        <row r="265">
          <cell r="B265">
            <v>300</v>
          </cell>
        </row>
        <row r="270">
          <cell r="B270">
            <v>6640</v>
          </cell>
        </row>
        <row r="271">
          <cell r="B271">
            <v>553.33000000000004</v>
          </cell>
        </row>
        <row r="272">
          <cell r="B272">
            <v>885.33</v>
          </cell>
        </row>
        <row r="359">
          <cell r="B359">
            <v>21750</v>
          </cell>
        </row>
        <row r="361">
          <cell r="B361">
            <v>18000</v>
          </cell>
        </row>
        <row r="365">
          <cell r="B365">
            <v>32800</v>
          </cell>
        </row>
        <row r="366">
          <cell r="B366">
            <v>30000</v>
          </cell>
        </row>
        <row r="368">
          <cell r="B368">
            <v>54000</v>
          </cell>
        </row>
        <row r="371">
          <cell r="B371">
            <v>50400</v>
          </cell>
        </row>
        <row r="372">
          <cell r="B372">
            <v>155</v>
          </cell>
        </row>
        <row r="374">
          <cell r="B374">
            <v>2800</v>
          </cell>
        </row>
        <row r="375">
          <cell r="B375">
            <v>4000</v>
          </cell>
        </row>
        <row r="376">
          <cell r="B376">
            <v>180</v>
          </cell>
        </row>
        <row r="380">
          <cell r="B380">
            <v>4200</v>
          </cell>
        </row>
        <row r="382">
          <cell r="B382">
            <v>1800</v>
          </cell>
        </row>
        <row r="396">
          <cell r="B396">
            <v>7500</v>
          </cell>
        </row>
        <row r="397">
          <cell r="B397">
            <v>1260</v>
          </cell>
        </row>
        <row r="399">
          <cell r="B399">
            <v>3600</v>
          </cell>
        </row>
        <row r="400">
          <cell r="B400">
            <v>80000</v>
          </cell>
        </row>
        <row r="401">
          <cell r="B401">
            <v>10500</v>
          </cell>
        </row>
        <row r="402">
          <cell r="B402">
            <v>12000</v>
          </cell>
        </row>
        <row r="409">
          <cell r="B409">
            <v>750</v>
          </cell>
        </row>
        <row r="415">
          <cell r="B415">
            <v>1300</v>
          </cell>
        </row>
        <row r="421">
          <cell r="B421">
            <v>2692.5</v>
          </cell>
        </row>
        <row r="451">
          <cell r="B451">
            <v>20000</v>
          </cell>
        </row>
        <row r="452">
          <cell r="B452">
            <v>1600</v>
          </cell>
        </row>
        <row r="453">
          <cell r="B453">
            <v>1500</v>
          </cell>
        </row>
        <row r="454">
          <cell r="B454">
            <v>5000</v>
          </cell>
        </row>
        <row r="458">
          <cell r="B458">
            <v>3000</v>
          </cell>
        </row>
        <row r="463">
          <cell r="B463">
            <v>6490</v>
          </cell>
        </row>
        <row r="464">
          <cell r="B464">
            <v>450</v>
          </cell>
        </row>
        <row r="470">
          <cell r="B470">
            <v>3400</v>
          </cell>
        </row>
        <row r="490">
          <cell r="B490">
            <v>95</v>
          </cell>
        </row>
        <row r="501">
          <cell r="B501">
            <v>4200</v>
          </cell>
        </row>
        <row r="502">
          <cell r="B502">
            <v>4800</v>
          </cell>
        </row>
        <row r="516">
          <cell r="B516">
            <v>2250</v>
          </cell>
        </row>
        <row r="528">
          <cell r="B528">
            <v>30000</v>
          </cell>
        </row>
        <row r="529">
          <cell r="B529">
            <v>5400</v>
          </cell>
        </row>
        <row r="531">
          <cell r="B531">
            <v>2300</v>
          </cell>
        </row>
        <row r="533">
          <cell r="B533">
            <v>1200</v>
          </cell>
        </row>
        <row r="534">
          <cell r="B534">
            <v>330</v>
          </cell>
        </row>
        <row r="535">
          <cell r="B535">
            <v>375</v>
          </cell>
        </row>
        <row r="536">
          <cell r="B536">
            <v>600</v>
          </cell>
        </row>
        <row r="539">
          <cell r="B539">
            <v>7500</v>
          </cell>
        </row>
        <row r="560">
          <cell r="B560">
            <v>2600</v>
          </cell>
        </row>
        <row r="561">
          <cell r="B561">
            <v>5700</v>
          </cell>
        </row>
        <row r="563">
          <cell r="B563">
            <v>1328</v>
          </cell>
        </row>
        <row r="567">
          <cell r="B567">
            <v>3645</v>
          </cell>
        </row>
        <row r="569">
          <cell r="B569">
            <v>13379.6</v>
          </cell>
        </row>
        <row r="571">
          <cell r="B571">
            <v>0.22</v>
          </cell>
        </row>
        <row r="572">
          <cell r="B572">
            <v>2800</v>
          </cell>
        </row>
        <row r="579">
          <cell r="B579">
            <v>265.60000000000002</v>
          </cell>
        </row>
      </sheetData>
      <sheetData sheetId="1">
        <row r="52">
          <cell r="A52">
            <v>1</v>
          </cell>
        </row>
        <row r="54">
          <cell r="A54">
            <v>3</v>
          </cell>
        </row>
        <row r="56">
          <cell r="A56">
            <v>5</v>
          </cell>
        </row>
        <row r="61">
          <cell r="A61">
            <v>10</v>
          </cell>
        </row>
        <row r="63">
          <cell r="A63">
            <v>12</v>
          </cell>
        </row>
        <row r="66">
          <cell r="A66">
            <v>15</v>
          </cell>
        </row>
        <row r="70">
          <cell r="A70">
            <v>19</v>
          </cell>
        </row>
        <row r="71">
          <cell r="A71">
            <v>20</v>
          </cell>
        </row>
        <row r="86">
          <cell r="A86">
            <v>35</v>
          </cell>
        </row>
        <row r="93">
          <cell r="A93">
            <v>42</v>
          </cell>
        </row>
        <row r="95">
          <cell r="A95">
            <v>44</v>
          </cell>
        </row>
        <row r="98">
          <cell r="A98">
            <v>47</v>
          </cell>
        </row>
        <row r="99">
          <cell r="A99">
            <v>48</v>
          </cell>
        </row>
        <row r="105">
          <cell r="A105">
            <v>54</v>
          </cell>
        </row>
        <row r="106">
          <cell r="A106">
            <v>55</v>
          </cell>
        </row>
        <row r="108">
          <cell r="A108">
            <v>57</v>
          </cell>
        </row>
        <row r="113">
          <cell r="A113">
            <v>62</v>
          </cell>
        </row>
        <row r="114">
          <cell r="A114">
            <v>63</v>
          </cell>
        </row>
        <row r="118">
          <cell r="A118">
            <v>67</v>
          </cell>
        </row>
        <row r="119">
          <cell r="A119">
            <v>68</v>
          </cell>
        </row>
        <row r="120">
          <cell r="A120">
            <v>69</v>
          </cell>
        </row>
        <row r="216">
          <cell r="A216">
            <v>165</v>
          </cell>
        </row>
        <row r="237">
          <cell r="A237">
            <v>186</v>
          </cell>
        </row>
        <row r="238">
          <cell r="A238">
            <v>187</v>
          </cell>
        </row>
        <row r="241">
          <cell r="A241">
            <v>190</v>
          </cell>
        </row>
      </sheetData>
      <sheetData sheetId="2">
        <row r="1">
          <cell r="B1">
            <v>1</v>
          </cell>
        </row>
        <row r="2">
          <cell r="B2">
            <v>1</v>
          </cell>
        </row>
      </sheetData>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ibit VI-8"/>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Shape Codes"/>
      <sheetName val="Database"/>
      <sheetName val="Help"/>
      <sheetName val="Setup"/>
      <sheetName val="page"/>
      <sheetName val="Info"/>
      <sheetName val="check"/>
      <sheetName val="Shape_Codes"/>
    </sheetNames>
    <sheetDataSet>
      <sheetData sheetId="0"/>
      <sheetData sheetId="1"/>
      <sheetData sheetId="2"/>
      <sheetData sheetId="3"/>
      <sheetData sheetId="4"/>
      <sheetData sheetId="5"/>
      <sheetData sheetId="6"/>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work mb"/>
      <sheetName val="restaurant"/>
      <sheetName val="MOSQUE"/>
      <sheetName val="ABLUTION BLOCK"/>
      <sheetName val="GATE HOUSE"/>
      <sheetName val="EXTERNAL WORKS"/>
      <sheetName val="Summary"/>
      <sheetName val="Materials on site"/>
      <sheetName val="builder_work_mb"/>
      <sheetName val="ABLUTION_BLOCK"/>
      <sheetName val="GATE_HOUSE"/>
      <sheetName val="EXTERNAL_WORKS"/>
      <sheetName val="Materials_on_site"/>
      <sheetName val="builder_work_mb1"/>
      <sheetName val="ABLUTION_BLOCK1"/>
      <sheetName val="GATE_HOUSE1"/>
      <sheetName val="EXTERNAL_WORKS1"/>
      <sheetName val="Materials_on_site2"/>
      <sheetName val="Materials_on_site1"/>
      <sheetName val="builder_work_mb2"/>
      <sheetName val="ABLUTION_BLOCK2"/>
      <sheetName val="GATE_HOUSE2"/>
      <sheetName val="EXTERNAL_WORKS2"/>
      <sheetName val="Materials_on_site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AIN BUILDING"/>
      <sheetName val="BILL 06 EXTERNAL WRK"/>
      <sheetName val="SUMMARY"/>
      <sheetName val="REV"/>
      <sheetName val="Rates"/>
      <sheetName val="breakdown"/>
      <sheetName val="BUILD UP  05 10 2015"/>
      <sheetName val="Sheet2"/>
      <sheetName val="Elec "/>
      <sheetName val="plumbing"/>
      <sheetName val="Sheet3"/>
      <sheetName val="AC"/>
      <sheetName val="ELALN"/>
      <sheetName val="formworl"/>
      <sheetName val="MST"/>
      <sheetName val="MST orig"/>
      <sheetName val="lintel"/>
      <sheetName val="Prices"/>
      <sheetName val="Simulation"/>
    </sheetNames>
    <sheetDataSet>
      <sheetData sheetId="0"/>
      <sheetData sheetId="1"/>
      <sheetData sheetId="2"/>
      <sheetData sheetId="3"/>
      <sheetData sheetId="4"/>
      <sheetData sheetId="5">
        <row r="52">
          <cell r="A52">
            <v>1</v>
          </cell>
        </row>
        <row r="62">
          <cell r="A62">
            <v>11</v>
          </cell>
        </row>
        <row r="78">
          <cell r="A78">
            <v>27</v>
          </cell>
        </row>
        <row r="102">
          <cell r="A102">
            <v>51</v>
          </cell>
        </row>
        <row r="200">
          <cell r="A200">
            <v>149</v>
          </cell>
        </row>
        <row r="202">
          <cell r="A202">
            <v>151</v>
          </cell>
        </row>
        <row r="209">
          <cell r="A209">
            <v>158</v>
          </cell>
        </row>
        <row r="210">
          <cell r="A210">
            <v>159</v>
          </cell>
        </row>
        <row r="217">
          <cell r="A217">
            <v>166</v>
          </cell>
        </row>
        <row r="227">
          <cell r="A227">
            <v>176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15">
          <cell r="B15">
            <v>3244.8</v>
          </cell>
        </row>
      </sheetData>
      <sheetData sheetId="19">
        <row r="1">
          <cell r="B1">
            <v>1</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 Details"/>
      <sheetName val="Front Sheet"/>
      <sheetName val="Movement Sheet"/>
      <sheetName val="Valuation Form"/>
      <sheetName val="Safe Rec"/>
      <sheetName val="Val Summary"/>
      <sheetName val="Val Over Under Msd"/>
      <sheetName val="Val Over Under Var,etc"/>
      <sheetName val="Val Over Under Misc"/>
      <sheetName val="SC Ext Val"/>
      <sheetName val="Sub Contractors"/>
      <sheetName val="P&amp;G Allowables"/>
      <sheetName val="P&amp;G Detail"/>
      <sheetName val="P&amp;G Ext App"/>
      <sheetName val="Claims Analysis"/>
      <sheetName val="R.V.s"/>
      <sheetName val="Costs Adustments"/>
      <sheetName val="Over cost"/>
      <sheetName val="Site Clear"/>
      <sheetName val="Defect Liab"/>
      <sheetName val="Free Issues"/>
      <sheetName val="Further Res"/>
      <sheetName val="Payment Schedule"/>
      <sheetName val="Mat Wastage Report"/>
      <sheetName val="Output"/>
      <sheetName val="Purchased Vs delivered"/>
      <sheetName val="Recomended vs Purchased"/>
      <sheetName val="Macro Prepurchase"/>
      <sheetName val="MOS"/>
      <sheetName val="P&amp;G Recovery"/>
      <sheetName val="Net applied vs Certified"/>
      <sheetName val="Declared vs Certfied"/>
      <sheetName val="Applied vs Certfied"/>
      <sheetName val="Schedule of loss 1"/>
      <sheetName val="Lobour strength"/>
      <sheetName val="Commercial issues"/>
      <sheetName val="Assert Reg"/>
      <sheetName val="Schedule of loss"/>
      <sheetName val="Plant over cost"/>
      <sheetName val="Interest on late"/>
      <sheetName val="Plant Recovery"/>
      <sheetName val="Sheet1"/>
      <sheetName val="Module1"/>
    </sheetNames>
    <sheetDataSet>
      <sheetData sheetId="0" refreshError="1">
        <row r="50">
          <cell r="C50" t="str">
            <v xml:space="preserve">B310 </v>
          </cell>
        </row>
        <row r="51">
          <cell r="C51" t="str">
            <v>Masvingo State University</v>
          </cell>
        </row>
        <row r="52">
          <cell r="C52" t="str">
            <v>M. Malisa</v>
          </cell>
        </row>
        <row r="53">
          <cell r="C53">
            <v>39263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1">
          <cell r="J21">
            <v>64542500.470810004</v>
          </cell>
          <cell r="N21">
            <v>8401579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nu-Ptshp Splits"/>
      <sheetName val="Monthly"/>
      <sheetName val=" Draw Schedule"/>
      <sheetName val=" Budget"/>
      <sheetName val="Operating"/>
      <sheetName val="Annual Operating"/>
      <sheetName val="sources.uses"/>
      <sheetName val="NMTC Analysis"/>
      <sheetName val="PROGRAM "/>
      <sheetName val="Rent&amp;Exp Drivers"/>
      <sheetName val="dnu-Taxes"/>
      <sheetName val="dnu-LIBOR"/>
      <sheetName val="dnu-Cons Annual CF"/>
      <sheetName val="dnu - Cons Monthly"/>
      <sheetName val="dnu-Cons Budget"/>
      <sheetName val="dnu-Budget Drivers"/>
      <sheetName val="dnu-Residential Proforma"/>
      <sheetName val="dnu-Debt Service"/>
    </sheetNames>
    <sheetDataSet>
      <sheetData sheetId="0">
        <row r="9">
          <cell r="C9">
            <v>1</v>
          </cell>
        </row>
        <row r="15">
          <cell r="B15" t="str">
            <v>(not used)</v>
          </cell>
        </row>
        <row r="17">
          <cell r="B17" t="str">
            <v xml:space="preserve">The Strand </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tion"/>
      <sheetName val="Bud.Summ P n L"/>
      <sheetName val="Budgeted Profit and Loss"/>
      <sheetName val="Dep Sch"/>
      <sheetName val="Bud V Actual Funding"/>
      <sheetName val="Idale Const Budget Tracker"/>
      <sheetName val="Idale Cashflow"/>
      <sheetName val="Sheet5"/>
      <sheetName val="Variablecosts"/>
      <sheetName val="FixedCosts"/>
      <sheetName val="BEP"/>
      <sheetName val="Sheet1"/>
      <sheetName val="Break even analysis 2 as at 26t"/>
      <sheetName val="Break%20even%20analysis%202%20a"/>
    </sheetNames>
    <sheetDataSet>
      <sheetData sheetId="0"/>
      <sheetData sheetId="1">
        <row r="30">
          <cell r="U30">
            <v>229484730.66999999</v>
          </cell>
        </row>
      </sheetData>
      <sheetData sheetId="2"/>
      <sheetData sheetId="3"/>
      <sheetData sheetId="4"/>
      <sheetData sheetId="5"/>
      <sheetData sheetId="6"/>
      <sheetData sheetId="7"/>
      <sheetData sheetId="8"/>
      <sheetData sheetId="9"/>
      <sheetData sheetId="10">
        <row r="4">
          <cell r="C4">
            <v>9000000</v>
          </cell>
        </row>
        <row r="5">
          <cell r="C5">
            <v>2000</v>
          </cell>
        </row>
        <row r="7">
          <cell r="C7">
            <v>12401371676.029423</v>
          </cell>
        </row>
        <row r="8">
          <cell r="C8">
            <v>1505634518.6668048</v>
          </cell>
        </row>
        <row r="10">
          <cell r="C10">
            <v>2799314.1619852884</v>
          </cell>
        </row>
        <row r="11">
          <cell r="C11">
            <v>5598628323.9705763</v>
          </cell>
        </row>
      </sheetData>
      <sheetData sheetId="11"/>
      <sheetData sheetId="12"/>
      <sheetData sheetId="1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99 "/>
      <sheetName val="Oct-99"/>
      <sheetName val="Nov-99"/>
      <sheetName val="DECEMBER-99"/>
      <sheetName val="JAN-2000"/>
      <sheetName val="FEB-2000"/>
      <sheetName val="MARCH-2000"/>
      <sheetName val="APRIL-2000"/>
      <sheetName val="MAY-2000 "/>
      <sheetName val="JUNE-2000"/>
      <sheetName val="JULY-2000 "/>
      <sheetName val="AUG,-2000 "/>
      <sheetName val="SEPT-2000 "/>
      <sheetName val="OCT-2000 "/>
      <sheetName val="Nov-2000 "/>
      <sheetName val="DEC-2000"/>
      <sheetName val="JAN-2001"/>
      <sheetName val="FEB-2001"/>
      <sheetName val="MARCH-200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EPT-99_"/>
      <sheetName val="MAY-2000_"/>
      <sheetName val="JULY-2000_"/>
      <sheetName val="AUG,-2000_"/>
      <sheetName val="SEPT-2000_"/>
      <sheetName val="OCT-2000_"/>
      <sheetName val="Nov-2000_"/>
      <sheetName val="SEPT-99_1"/>
      <sheetName val="MAY-2000_1"/>
      <sheetName val="JULY-2000_1"/>
      <sheetName val="AUG,-2000_1"/>
      <sheetName val="SEPT-2000_1"/>
      <sheetName val="OCT-2000_1"/>
      <sheetName val="Nov-2000_1"/>
      <sheetName val="SEPT-99_3"/>
      <sheetName val="MAY-2000_3"/>
      <sheetName val="JULY-2000_3"/>
      <sheetName val="AUG,-2000_3"/>
      <sheetName val="SEPT-2000_3"/>
      <sheetName val="OCT-2000_3"/>
      <sheetName val="Nov-2000_3"/>
      <sheetName val="SEPT-99_2"/>
      <sheetName val="MAY-2000_2"/>
      <sheetName val="JULY-2000_2"/>
      <sheetName val="AUG,-2000_2"/>
      <sheetName val="SEPT-2000_2"/>
      <sheetName val="OCT-2000_2"/>
      <sheetName val="Nov-2000_2"/>
      <sheetName val="SEPT-99_4"/>
      <sheetName val="MAY-2000_4"/>
      <sheetName val="JULY-2000_4"/>
      <sheetName val="AUG,-2000_4"/>
      <sheetName val="SEPT-2000_4"/>
      <sheetName val="OCT-2000_4"/>
      <sheetName val="Nov-2000_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Total Summary"/>
      <sheetName val="1-Total Summary"/>
      <sheetName val="2-BTS Site Models"/>
      <sheetName val="3-BTS swap Model"/>
      <sheetName val="4-BSC Models"/>
      <sheetName val="5-BTS Unit Prices"/>
      <sheetName val="6-Other BSS &amp; GPRS Equip"/>
      <sheetName val="7-Aerials Unit Price"/>
      <sheetName val="8-MW&amp;SDH&amp;HDSL"/>
      <sheetName val="9-Spares"/>
      <sheetName val="10-SW Options"/>
      <sheetName val="11-Additional_Services "/>
      <sheetName val="12-Op. Additional Items"/>
      <sheetName val="     "/>
      <sheetName val="BOQ"/>
      <sheetName val="3-BTS Site Models Swap"/>
      <sheetName val="Sites Models Unit P"/>
      <sheetName val="Inputs"/>
      <sheetName val="Comparis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
          <cell r="C6">
            <v>0.225806451612903</v>
          </cell>
        </row>
      </sheetData>
      <sheetData sheetId="1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EXPORT from accounts"/>
      <sheetName val="EXPORT"/>
      <sheetName val="P&amp;G"/>
      <sheetName val="Allow Workings"/>
      <sheetName val="Cost Analysis (1)"/>
      <sheetName val="ICC's CERTIFIED"/>
      <sheetName val="sorted"/>
      <sheetName val="EXPORT 08"/>
      <sheetName val="Sheet3"/>
      <sheetName val="Value Remaining"/>
      <sheetName val="Re-Allocations"/>
      <sheetName val="Est. Allow vrs Cost"/>
      <sheetName val="Man costs"/>
      <sheetName val="Cost Report"/>
      <sheetName val="Labour Analysis"/>
      <sheetName val="Sub Analysis"/>
      <sheetName val="P &amp; G Spread"/>
    </sheetNames>
    <sheetDataSet>
      <sheetData sheetId="0"/>
      <sheetData sheetId="1"/>
      <sheetData sheetId="2"/>
      <sheetData sheetId="3"/>
      <sheetData sheetId="4"/>
      <sheetData sheetId="5"/>
      <sheetData sheetId="6"/>
      <sheetData sheetId="7"/>
      <sheetData sheetId="8"/>
      <sheetData sheetId="9"/>
      <sheetData sheetId="10">
        <row r="102">
          <cell r="D102">
            <v>177650747.26999998</v>
          </cell>
        </row>
        <row r="106">
          <cell r="C106">
            <v>826618993.43339002</v>
          </cell>
        </row>
      </sheetData>
      <sheetData sheetId="11"/>
      <sheetData sheetId="12"/>
      <sheetData sheetId="13"/>
      <sheetData sheetId="14"/>
      <sheetData sheetId="15"/>
      <sheetData sheetId="16"/>
      <sheetData sheetId="17"/>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 Rate"/>
      <sheetName val="MPDU-14.8%"/>
      <sheetName val="Total"/>
      <sheetName val="Model"/>
    </sheetNames>
    <sheetDataSet>
      <sheetData sheetId="0" refreshError="1"/>
      <sheetData sheetId="1" refreshError="1"/>
      <sheetData sheetId="2" refreshError="1"/>
      <sheetData sheetId="3"/>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G PRODUCT MENU"/>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esel claim"/>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
      <sheetName val="Assumptions"/>
      <sheetName val="Unit Mix"/>
      <sheetName val="Project Budget"/>
      <sheetName val="Monthly CF"/>
      <sheetName val="Quarterly CF"/>
      <sheetName val="Yearly CF"/>
      <sheetName val="OS"/>
      <sheetName val="Construction Schedule"/>
      <sheetName val="Construction Matrix"/>
    </sheetNames>
    <sheetDataSet>
      <sheetData sheetId="0"/>
      <sheetData sheetId="1"/>
      <sheetData sheetId="2">
        <row r="26">
          <cell r="G26">
            <v>325</v>
          </cell>
          <cell r="K26">
            <v>304852</v>
          </cell>
        </row>
      </sheetData>
      <sheetData sheetId="3"/>
      <sheetData sheetId="4"/>
      <sheetData sheetId="5"/>
      <sheetData sheetId="6"/>
      <sheetData sheetId="7"/>
      <sheetData sheetId="8"/>
      <sheetData sheetId="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51-55 (2)"/>
      <sheetName val="TH51-55"/>
      <sheetName val="terrace"/>
      <sheetName val="Main building (material)"/>
    </sheetNames>
    <sheetDataSet>
      <sheetData sheetId="0"/>
      <sheetData sheetId="1"/>
      <sheetData sheetId="2">
        <row r="642">
          <cell r="F642">
            <v>8986900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FURN LECT HALLS"/>
      <sheetName val="FUR CHIEF LECT"/>
      <sheetName val="FUR 4 OFF"/>
      <sheetName val="GS"/>
      <sheetName val="GS  FOR TENDERS"/>
      <sheetName val="GS FOR TENDERS BLANK"/>
      <sheetName val="FURN"/>
      <sheetName val="MAIN_BLD_TAKE_OFF"/>
      <sheetName val="MAIN_BLD_BILLS"/>
      <sheetName val="FURN_LECT_HALLS"/>
      <sheetName val="FUR_CHIEF_LECT"/>
      <sheetName val="FUR_4_OFF"/>
      <sheetName val="GS__FOR_TENDERS"/>
      <sheetName val="GS_FOR_TENDERS_BLANK"/>
      <sheetName val="MAIN_BLD_TAKE_OFF1"/>
      <sheetName val="MAIN_BLD_BILLS1"/>
      <sheetName val="FURN_LECT_HALLS1"/>
      <sheetName val="FUR_CHIEF_LECT1"/>
      <sheetName val="FUR_4_OFF1"/>
      <sheetName val="GS__FOR_TENDERS1"/>
      <sheetName val="GS_FOR_TENDERS_BLANK1"/>
      <sheetName val="MAIN_BLD_TAKE_OFF3"/>
      <sheetName val="MAIN_BLD_BILLS3"/>
      <sheetName val="FURN_LECT_HALLS3"/>
      <sheetName val="FUR_CHIEF_LECT3"/>
      <sheetName val="FUR_4_OFF3"/>
      <sheetName val="GS__FOR_TENDERS3"/>
      <sheetName val="GS_FOR_TENDERS_BLANK3"/>
      <sheetName val="MAIN_BLD_TAKE_OFF2"/>
      <sheetName val="MAIN_BLD_BILLS2"/>
      <sheetName val="FURN_LECT_HALLS2"/>
      <sheetName val="FUR_CHIEF_LECT2"/>
      <sheetName val="FUR_4_OFF2"/>
      <sheetName val="GS__FOR_TENDERS2"/>
      <sheetName val="GS_FOR_TENDERS_BLANK2"/>
      <sheetName val="MAIN_BLD_TAKE_OFF4"/>
      <sheetName val="MAIN_BLD_BILLS4"/>
      <sheetName val="FURN_LECT_HALLS4"/>
      <sheetName val="FUR_CHIEF_LECT4"/>
      <sheetName val="FUR_4_OFF4"/>
      <sheetName val="GS__FOR_TENDERS4"/>
      <sheetName val="GS_FOR_TENDERS_BLANK4"/>
    </sheetNames>
    <sheetDataSet>
      <sheetData sheetId="0">
        <row r="18">
          <cell r="I18">
            <v>24</v>
          </cell>
        </row>
        <row r="34">
          <cell r="I34">
            <v>0.69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8">
          <cell r="I18">
            <v>24</v>
          </cell>
        </row>
      </sheetData>
      <sheetData sheetId="10"/>
      <sheetData sheetId="11"/>
      <sheetData sheetId="12"/>
      <sheetData sheetId="13"/>
      <sheetData sheetId="14"/>
      <sheetData sheetId="15"/>
      <sheetData sheetId="16">
        <row r="18">
          <cell r="I18">
            <v>24</v>
          </cell>
        </row>
      </sheetData>
      <sheetData sheetId="17"/>
      <sheetData sheetId="18"/>
      <sheetData sheetId="19"/>
      <sheetData sheetId="20"/>
      <sheetData sheetId="21"/>
      <sheetData sheetId="22"/>
      <sheetData sheetId="23">
        <row r="18">
          <cell r="I18">
            <v>24</v>
          </cell>
        </row>
      </sheetData>
      <sheetData sheetId="24"/>
      <sheetData sheetId="25"/>
      <sheetData sheetId="26"/>
      <sheetData sheetId="27"/>
      <sheetData sheetId="28"/>
      <sheetData sheetId="29"/>
      <sheetData sheetId="30">
        <row r="18">
          <cell r="I18">
            <v>24</v>
          </cell>
        </row>
      </sheetData>
      <sheetData sheetId="31"/>
      <sheetData sheetId="32"/>
      <sheetData sheetId="33"/>
      <sheetData sheetId="34"/>
      <sheetData sheetId="35"/>
      <sheetData sheetId="36"/>
      <sheetData sheetId="37">
        <row r="18">
          <cell r="I18">
            <v>24</v>
          </cell>
        </row>
      </sheetData>
      <sheetData sheetId="38"/>
      <sheetData sheetId="39"/>
      <sheetData sheetId="40"/>
      <sheetData sheetId="41"/>
      <sheetData sheetId="42"/>
      <sheetData sheetId="43"/>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heetName val="Take off"/>
    </sheetNames>
    <sheetDataSet>
      <sheetData sheetId="0"/>
      <sheetData sheetId="1">
        <row r="5">
          <cell r="L5">
            <v>44</v>
          </cell>
        </row>
        <row r="6">
          <cell r="H6">
            <v>18</v>
          </cell>
        </row>
        <row r="9">
          <cell r="P9">
            <v>121</v>
          </cell>
        </row>
        <row r="10">
          <cell r="D10">
            <v>121</v>
          </cell>
        </row>
        <row r="14">
          <cell r="D14">
            <v>66</v>
          </cell>
        </row>
        <row r="26">
          <cell r="L26">
            <v>106</v>
          </cell>
        </row>
        <row r="27">
          <cell r="H27">
            <v>12</v>
          </cell>
        </row>
        <row r="41">
          <cell r="K41">
            <v>8.1</v>
          </cell>
        </row>
        <row r="44">
          <cell r="K44">
            <v>12.96</v>
          </cell>
        </row>
        <row r="47">
          <cell r="K47">
            <v>10.26</v>
          </cell>
        </row>
        <row r="52">
          <cell r="D52">
            <v>72</v>
          </cell>
          <cell r="H52">
            <v>72</v>
          </cell>
        </row>
        <row r="71">
          <cell r="D71">
            <v>121</v>
          </cell>
        </row>
        <row r="75">
          <cell r="D75">
            <v>48</v>
          </cell>
        </row>
        <row r="77">
          <cell r="L77">
            <v>8</v>
          </cell>
        </row>
        <row r="78">
          <cell r="H78">
            <v>1</v>
          </cell>
          <cell r="P78">
            <v>188.08333333333334</v>
          </cell>
        </row>
        <row r="86">
          <cell r="L86">
            <v>194.67692307692309</v>
          </cell>
        </row>
        <row r="89">
          <cell r="D89">
            <v>191</v>
          </cell>
          <cell r="H89">
            <v>15.786666666666667</v>
          </cell>
        </row>
        <row r="113">
          <cell r="H113">
            <v>132</v>
          </cell>
        </row>
        <row r="114">
          <cell r="D114">
            <v>8</v>
          </cell>
        </row>
        <row r="127">
          <cell r="H127">
            <v>244</v>
          </cell>
        </row>
        <row r="128">
          <cell r="D128">
            <v>23</v>
          </cell>
        </row>
        <row r="136">
          <cell r="D136">
            <v>200.41666666666666</v>
          </cell>
        </row>
        <row r="142">
          <cell r="D142">
            <v>740</v>
          </cell>
        </row>
        <row r="149">
          <cell r="D149">
            <v>569.89866666666671</v>
          </cell>
        </row>
        <row r="161">
          <cell r="D161">
            <v>519.85</v>
          </cell>
        </row>
        <row r="173">
          <cell r="P173">
            <v>147</v>
          </cell>
        </row>
        <row r="174">
          <cell r="D174">
            <v>26</v>
          </cell>
          <cell r="H174">
            <v>116</v>
          </cell>
          <cell r="L174">
            <v>24</v>
          </cell>
        </row>
        <row r="178">
          <cell r="P178">
            <v>51</v>
          </cell>
        </row>
        <row r="179">
          <cell r="H179">
            <v>54</v>
          </cell>
        </row>
        <row r="244">
          <cell r="H244">
            <v>30</v>
          </cell>
        </row>
        <row r="248">
          <cell r="H248">
            <v>7</v>
          </cell>
        </row>
        <row r="252">
          <cell r="H252">
            <v>106</v>
          </cell>
        </row>
        <row r="256">
          <cell r="H256">
            <v>9</v>
          </cell>
        </row>
        <row r="258">
          <cell r="D258">
            <v>9</v>
          </cell>
        </row>
        <row r="260">
          <cell r="H260">
            <v>17</v>
          </cell>
        </row>
        <row r="264">
          <cell r="H264">
            <v>5</v>
          </cell>
        </row>
        <row r="305">
          <cell r="H305">
            <v>228</v>
          </cell>
        </row>
        <row r="306">
          <cell r="D306">
            <v>21</v>
          </cell>
        </row>
        <row r="315">
          <cell r="H315">
            <v>15</v>
          </cell>
        </row>
        <row r="316">
          <cell r="D316">
            <v>2</v>
          </cell>
        </row>
        <row r="474">
          <cell r="D474">
            <v>203.59499999999997</v>
          </cell>
          <cell r="L474">
            <v>38.122500000000002</v>
          </cell>
        </row>
        <row r="475">
          <cell r="H475">
            <v>2.9227250000000002</v>
          </cell>
        </row>
        <row r="704">
          <cell r="D704">
            <v>156.81</v>
          </cell>
          <cell r="L704">
            <v>10.0395</v>
          </cell>
        </row>
        <row r="705">
          <cell r="H705">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BD Duplex"/>
      <sheetName val="AJIWE COST ESTIMATE (Revised)"/>
      <sheetName val="ANALYSIS (REVISED)"/>
      <sheetName val="PLASTERING SUMMARY"/>
      <sheetName val="CONCRETE SUMMARY"/>
      <sheetName val="1and2 bdrm Apartment (12UNIT) "/>
      <sheetName val="4 bedroom 6unit "/>
      <sheetName val="4 bedroom 5unit "/>
      <sheetName val="2bd terrace 8unit"/>
      <sheetName val="2bd terrace 6Unit"/>
      <sheetName val="3 BEDROOM 7UNIT"/>
      <sheetName val="AJIWE STRIP MALL "/>
      <sheetName val="1BD APPARTMENT"/>
      <sheetName val="RATE BUILD UP (Projection)"/>
      <sheetName val="RATE BUILD UP (Projection) (2)"/>
      <sheetName val="5BD ELECTRI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6">
          <cell r="E46">
            <v>150</v>
          </cell>
        </row>
        <row r="49">
          <cell r="E49">
            <v>250</v>
          </cell>
        </row>
        <row r="54">
          <cell r="E54">
            <v>150</v>
          </cell>
        </row>
        <row r="117">
          <cell r="E117">
            <v>350</v>
          </cell>
        </row>
        <row r="708">
          <cell r="E708">
            <v>450</v>
          </cell>
        </row>
        <row r="712">
          <cell r="E712">
            <v>550</v>
          </cell>
        </row>
        <row r="729">
          <cell r="E729">
            <v>400</v>
          </cell>
        </row>
        <row r="730">
          <cell r="E730">
            <v>500</v>
          </cell>
        </row>
      </sheetData>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heetNames>
    <sheetDataSet>
      <sheetData sheetId="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JID"/>
      <sheetName val="Fence and wash area "/>
      <sheetName val="General Summary"/>
      <sheetName val=" MAT SCHDL FORMAT"/>
      <sheetName val="MATERIAL AND LABOUR"/>
    </sheetNames>
    <sheetDataSet>
      <sheetData sheetId="0"/>
      <sheetData sheetId="1"/>
      <sheetData sheetId="2"/>
      <sheetData sheetId="3"/>
      <sheetData sheetId="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4BD BLW"/>
    </sheetNames>
    <sheetDataSet>
      <sheetData sheetId="0"/>
      <sheetData sheetId="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4BD BLW"/>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FURN LECT HALLS"/>
      <sheetName val="FUR CHIEF LECT"/>
      <sheetName val="FUR 4 OFF"/>
      <sheetName val="GS"/>
      <sheetName val="GS  FOR TENDERS"/>
      <sheetName val="GS FOR TENDERS BLANK"/>
      <sheetName val="FURN"/>
    </sheetNames>
    <sheetDataSet>
      <sheetData sheetId="0">
        <row r="18">
          <cell r="I18">
            <v>24</v>
          </cell>
        </row>
        <row r="34">
          <cell r="I34">
            <v>0.69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 val="MAIN_BLD_TAKE_OFF"/>
      <sheetName val="MAIN_BLD_BILLS"/>
      <sheetName val="LIST_OF_REINF"/>
      <sheetName val="STORE_(2)"/>
      <sheetName val="MAIN_BLD_TAKE_OFF2"/>
      <sheetName val="MAIN_BLD_BILLS1"/>
      <sheetName val="LIST_OF_REINF1"/>
      <sheetName val="STORE_(2)1"/>
      <sheetName val="MAIN_BLD_TAKE_OFF1"/>
      <sheetName val="MAIN_BLD_TAKE_OFF3"/>
      <sheetName val="MAIN_BLD_BILLS2"/>
      <sheetName val="LIST_OF_REINF2"/>
      <sheetName val="STORE_(2)2"/>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1_allcaz"/>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s>
    <sheetDataSet>
      <sheetData sheetId="0"/>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 val="MAIN_BLD_TAKE_OFF"/>
      <sheetName val="MAIN_BLD_BILLS"/>
      <sheetName val="LIST_OF_REINF"/>
      <sheetName val="STORE_(2)"/>
      <sheetName val="MAIN_BLD_TAKE_OFF1"/>
      <sheetName val="MAIN_BLD_BILLS1"/>
      <sheetName val="LIST_OF_REINF1"/>
      <sheetName val="STORE_(2)1"/>
      <sheetName val="MAIN_BLD_TAKE_OFF3"/>
      <sheetName val="MAIN_BLD_BILLS3"/>
      <sheetName val="LIST_OF_REINF3"/>
      <sheetName val="STORE_(2)3"/>
      <sheetName val="MAIN_BLD_TAKE_OFF2"/>
      <sheetName val="MAIN_BLD_BILLS2"/>
      <sheetName val="LIST_OF_REINF2"/>
      <sheetName val="STORE_(2)2"/>
      <sheetName val="MAIN_BLD_TAKE_OFF4"/>
      <sheetName val="MAIN_BLD_BILLS4"/>
      <sheetName val="LIST_OF_REINF4"/>
      <sheetName val="STORE_(2)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work mb"/>
      <sheetName val="EXTERNAL WORKS"/>
      <sheetName val="Summary"/>
      <sheetName val="previus pay"/>
      <sheetName val="Materials on site"/>
      <sheetName val="builder_work_mb"/>
      <sheetName val="EXTERNAL_WORKS"/>
      <sheetName val="previus_pay"/>
      <sheetName val="Materials_on_site"/>
      <sheetName val="builder_work_mb1"/>
      <sheetName val="EXTERNAL_WORKS1"/>
      <sheetName val="previus_pay1"/>
      <sheetName val="Materials_on_site1"/>
      <sheetName val="builder_work_mb3"/>
      <sheetName val="EXTERNAL_WORKS3"/>
      <sheetName val="previus_pay3"/>
      <sheetName val="Materials_on_site3"/>
      <sheetName val="builder_work_mb2"/>
      <sheetName val="EXTERNAL_WORKS2"/>
      <sheetName val="previus_pay2"/>
      <sheetName val="Materials_on_site2"/>
      <sheetName val="builder_work_mb4"/>
      <sheetName val="EXTERNAL_WORKS4"/>
      <sheetName val="previus_pay4"/>
      <sheetName val="Materials_on_site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59"/>
  <sheetViews>
    <sheetView view="pageBreakPreview" topLeftCell="A786" zoomScale="98" zoomScaleNormal="100" zoomScaleSheetLayoutView="98" workbookViewId="0">
      <selection activeCell="C829" sqref="C829"/>
    </sheetView>
  </sheetViews>
  <sheetFormatPr defaultColWidth="8.85546875" defaultRowHeight="12" x14ac:dyDescent="0.2"/>
  <cols>
    <col min="1" max="1" width="4.5703125" style="8" customWidth="1"/>
    <col min="2" max="2" width="43.85546875" style="6" customWidth="1"/>
    <col min="3" max="3" width="7.42578125" style="41" customWidth="1"/>
    <col min="4" max="4" width="5.7109375" style="8" customWidth="1"/>
    <col min="5" max="5" width="14.42578125" style="15" customWidth="1"/>
    <col min="6" max="6" width="18" style="15" customWidth="1"/>
    <col min="7" max="7" width="8.85546875" style="12"/>
    <col min="8" max="8" width="13.42578125" style="12" customWidth="1"/>
    <col min="9" max="9" width="9.42578125" style="12" bestFit="1" customWidth="1"/>
    <col min="10" max="256" width="8.85546875" style="12"/>
    <col min="257" max="257" width="4.5703125" style="12" customWidth="1"/>
    <col min="258" max="258" width="41.42578125" style="12" customWidth="1"/>
    <col min="259" max="259" width="7.42578125" style="12" customWidth="1"/>
    <col min="260" max="260" width="5.7109375" style="12" customWidth="1"/>
    <col min="261" max="261" width="12.5703125" style="12" customWidth="1"/>
    <col min="262" max="262" width="19" style="12" customWidth="1"/>
    <col min="263" max="263" width="8.85546875" style="12"/>
    <col min="264" max="264" width="12.140625" style="12" customWidth="1"/>
    <col min="265" max="512" width="8.85546875" style="12"/>
    <col min="513" max="513" width="4.5703125" style="12" customWidth="1"/>
    <col min="514" max="514" width="41.42578125" style="12" customWidth="1"/>
    <col min="515" max="515" width="7.42578125" style="12" customWidth="1"/>
    <col min="516" max="516" width="5.7109375" style="12" customWidth="1"/>
    <col min="517" max="517" width="12.5703125" style="12" customWidth="1"/>
    <col min="518" max="518" width="19" style="12" customWidth="1"/>
    <col min="519" max="519" width="8.85546875" style="12"/>
    <col min="520" max="520" width="12.140625" style="12" customWidth="1"/>
    <col min="521" max="768" width="8.85546875" style="12"/>
    <col min="769" max="769" width="4.5703125" style="12" customWidth="1"/>
    <col min="770" max="770" width="41.42578125" style="12" customWidth="1"/>
    <col min="771" max="771" width="7.42578125" style="12" customWidth="1"/>
    <col min="772" max="772" width="5.7109375" style="12" customWidth="1"/>
    <col min="773" max="773" width="12.5703125" style="12" customWidth="1"/>
    <col min="774" max="774" width="19" style="12" customWidth="1"/>
    <col min="775" max="775" width="8.85546875" style="12"/>
    <col min="776" max="776" width="12.140625" style="12" customWidth="1"/>
    <col min="777" max="1024" width="8.85546875" style="12"/>
    <col min="1025" max="1025" width="4.5703125" style="12" customWidth="1"/>
    <col min="1026" max="1026" width="41.42578125" style="12" customWidth="1"/>
    <col min="1027" max="1027" width="7.42578125" style="12" customWidth="1"/>
    <col min="1028" max="1028" width="5.7109375" style="12" customWidth="1"/>
    <col min="1029" max="1029" width="12.5703125" style="12" customWidth="1"/>
    <col min="1030" max="1030" width="19" style="12" customWidth="1"/>
    <col min="1031" max="1031" width="8.85546875" style="12"/>
    <col min="1032" max="1032" width="12.140625" style="12" customWidth="1"/>
    <col min="1033" max="1280" width="8.85546875" style="12"/>
    <col min="1281" max="1281" width="4.5703125" style="12" customWidth="1"/>
    <col min="1282" max="1282" width="41.42578125" style="12" customWidth="1"/>
    <col min="1283" max="1283" width="7.42578125" style="12" customWidth="1"/>
    <col min="1284" max="1284" width="5.7109375" style="12" customWidth="1"/>
    <col min="1285" max="1285" width="12.5703125" style="12" customWidth="1"/>
    <col min="1286" max="1286" width="19" style="12" customWidth="1"/>
    <col min="1287" max="1287" width="8.85546875" style="12"/>
    <col min="1288" max="1288" width="12.140625" style="12" customWidth="1"/>
    <col min="1289" max="1536" width="8.85546875" style="12"/>
    <col min="1537" max="1537" width="4.5703125" style="12" customWidth="1"/>
    <col min="1538" max="1538" width="41.42578125" style="12" customWidth="1"/>
    <col min="1539" max="1539" width="7.42578125" style="12" customWidth="1"/>
    <col min="1540" max="1540" width="5.7109375" style="12" customWidth="1"/>
    <col min="1541" max="1541" width="12.5703125" style="12" customWidth="1"/>
    <col min="1542" max="1542" width="19" style="12" customWidth="1"/>
    <col min="1543" max="1543" width="8.85546875" style="12"/>
    <col min="1544" max="1544" width="12.140625" style="12" customWidth="1"/>
    <col min="1545" max="1792" width="8.85546875" style="12"/>
    <col min="1793" max="1793" width="4.5703125" style="12" customWidth="1"/>
    <col min="1794" max="1794" width="41.42578125" style="12" customWidth="1"/>
    <col min="1795" max="1795" width="7.42578125" style="12" customWidth="1"/>
    <col min="1796" max="1796" width="5.7109375" style="12" customWidth="1"/>
    <col min="1797" max="1797" width="12.5703125" style="12" customWidth="1"/>
    <col min="1798" max="1798" width="19" style="12" customWidth="1"/>
    <col min="1799" max="1799" width="8.85546875" style="12"/>
    <col min="1800" max="1800" width="12.140625" style="12" customWidth="1"/>
    <col min="1801" max="2048" width="8.85546875" style="12"/>
    <col min="2049" max="2049" width="4.5703125" style="12" customWidth="1"/>
    <col min="2050" max="2050" width="41.42578125" style="12" customWidth="1"/>
    <col min="2051" max="2051" width="7.42578125" style="12" customWidth="1"/>
    <col min="2052" max="2052" width="5.7109375" style="12" customWidth="1"/>
    <col min="2053" max="2053" width="12.5703125" style="12" customWidth="1"/>
    <col min="2054" max="2054" width="19" style="12" customWidth="1"/>
    <col min="2055" max="2055" width="8.85546875" style="12"/>
    <col min="2056" max="2056" width="12.140625" style="12" customWidth="1"/>
    <col min="2057" max="2304" width="8.85546875" style="12"/>
    <col min="2305" max="2305" width="4.5703125" style="12" customWidth="1"/>
    <col min="2306" max="2306" width="41.42578125" style="12" customWidth="1"/>
    <col min="2307" max="2307" width="7.42578125" style="12" customWidth="1"/>
    <col min="2308" max="2308" width="5.7109375" style="12" customWidth="1"/>
    <col min="2309" max="2309" width="12.5703125" style="12" customWidth="1"/>
    <col min="2310" max="2310" width="19" style="12" customWidth="1"/>
    <col min="2311" max="2311" width="8.85546875" style="12"/>
    <col min="2312" max="2312" width="12.140625" style="12" customWidth="1"/>
    <col min="2313" max="2560" width="8.85546875" style="12"/>
    <col min="2561" max="2561" width="4.5703125" style="12" customWidth="1"/>
    <col min="2562" max="2562" width="41.42578125" style="12" customWidth="1"/>
    <col min="2563" max="2563" width="7.42578125" style="12" customWidth="1"/>
    <col min="2564" max="2564" width="5.7109375" style="12" customWidth="1"/>
    <col min="2565" max="2565" width="12.5703125" style="12" customWidth="1"/>
    <col min="2566" max="2566" width="19" style="12" customWidth="1"/>
    <col min="2567" max="2567" width="8.85546875" style="12"/>
    <col min="2568" max="2568" width="12.140625" style="12" customWidth="1"/>
    <col min="2569" max="2816" width="8.85546875" style="12"/>
    <col min="2817" max="2817" width="4.5703125" style="12" customWidth="1"/>
    <col min="2818" max="2818" width="41.42578125" style="12" customWidth="1"/>
    <col min="2819" max="2819" width="7.42578125" style="12" customWidth="1"/>
    <col min="2820" max="2820" width="5.7109375" style="12" customWidth="1"/>
    <col min="2821" max="2821" width="12.5703125" style="12" customWidth="1"/>
    <col min="2822" max="2822" width="19" style="12" customWidth="1"/>
    <col min="2823" max="2823" width="8.85546875" style="12"/>
    <col min="2824" max="2824" width="12.140625" style="12" customWidth="1"/>
    <col min="2825" max="3072" width="8.85546875" style="12"/>
    <col min="3073" max="3073" width="4.5703125" style="12" customWidth="1"/>
    <col min="3074" max="3074" width="41.42578125" style="12" customWidth="1"/>
    <col min="3075" max="3075" width="7.42578125" style="12" customWidth="1"/>
    <col min="3076" max="3076" width="5.7109375" style="12" customWidth="1"/>
    <col min="3077" max="3077" width="12.5703125" style="12" customWidth="1"/>
    <col min="3078" max="3078" width="19" style="12" customWidth="1"/>
    <col min="3079" max="3079" width="8.85546875" style="12"/>
    <col min="3080" max="3080" width="12.140625" style="12" customWidth="1"/>
    <col min="3081" max="3328" width="8.85546875" style="12"/>
    <col min="3329" max="3329" width="4.5703125" style="12" customWidth="1"/>
    <col min="3330" max="3330" width="41.42578125" style="12" customWidth="1"/>
    <col min="3331" max="3331" width="7.42578125" style="12" customWidth="1"/>
    <col min="3332" max="3332" width="5.7109375" style="12" customWidth="1"/>
    <col min="3333" max="3333" width="12.5703125" style="12" customWidth="1"/>
    <col min="3334" max="3334" width="19" style="12" customWidth="1"/>
    <col min="3335" max="3335" width="8.85546875" style="12"/>
    <col min="3336" max="3336" width="12.140625" style="12" customWidth="1"/>
    <col min="3337" max="3584" width="8.85546875" style="12"/>
    <col min="3585" max="3585" width="4.5703125" style="12" customWidth="1"/>
    <col min="3586" max="3586" width="41.42578125" style="12" customWidth="1"/>
    <col min="3587" max="3587" width="7.42578125" style="12" customWidth="1"/>
    <col min="3588" max="3588" width="5.7109375" style="12" customWidth="1"/>
    <col min="3589" max="3589" width="12.5703125" style="12" customWidth="1"/>
    <col min="3590" max="3590" width="19" style="12" customWidth="1"/>
    <col min="3591" max="3591" width="8.85546875" style="12"/>
    <col min="3592" max="3592" width="12.140625" style="12" customWidth="1"/>
    <col min="3593" max="3840" width="8.85546875" style="12"/>
    <col min="3841" max="3841" width="4.5703125" style="12" customWidth="1"/>
    <col min="3842" max="3842" width="41.42578125" style="12" customWidth="1"/>
    <col min="3843" max="3843" width="7.42578125" style="12" customWidth="1"/>
    <col min="3844" max="3844" width="5.7109375" style="12" customWidth="1"/>
    <col min="3845" max="3845" width="12.5703125" style="12" customWidth="1"/>
    <col min="3846" max="3846" width="19" style="12" customWidth="1"/>
    <col min="3847" max="3847" width="8.85546875" style="12"/>
    <col min="3848" max="3848" width="12.140625" style="12" customWidth="1"/>
    <col min="3849" max="4096" width="8.85546875" style="12"/>
    <col min="4097" max="4097" width="4.5703125" style="12" customWidth="1"/>
    <col min="4098" max="4098" width="41.42578125" style="12" customWidth="1"/>
    <col min="4099" max="4099" width="7.42578125" style="12" customWidth="1"/>
    <col min="4100" max="4100" width="5.7109375" style="12" customWidth="1"/>
    <col min="4101" max="4101" width="12.5703125" style="12" customWidth="1"/>
    <col min="4102" max="4102" width="19" style="12" customWidth="1"/>
    <col min="4103" max="4103" width="8.85546875" style="12"/>
    <col min="4104" max="4104" width="12.140625" style="12" customWidth="1"/>
    <col min="4105" max="4352" width="8.85546875" style="12"/>
    <col min="4353" max="4353" width="4.5703125" style="12" customWidth="1"/>
    <col min="4354" max="4354" width="41.42578125" style="12" customWidth="1"/>
    <col min="4355" max="4355" width="7.42578125" style="12" customWidth="1"/>
    <col min="4356" max="4356" width="5.7109375" style="12" customWidth="1"/>
    <col min="4357" max="4357" width="12.5703125" style="12" customWidth="1"/>
    <col min="4358" max="4358" width="19" style="12" customWidth="1"/>
    <col min="4359" max="4359" width="8.85546875" style="12"/>
    <col min="4360" max="4360" width="12.140625" style="12" customWidth="1"/>
    <col min="4361" max="4608" width="8.85546875" style="12"/>
    <col min="4609" max="4609" width="4.5703125" style="12" customWidth="1"/>
    <col min="4610" max="4610" width="41.42578125" style="12" customWidth="1"/>
    <col min="4611" max="4611" width="7.42578125" style="12" customWidth="1"/>
    <col min="4612" max="4612" width="5.7109375" style="12" customWidth="1"/>
    <col min="4613" max="4613" width="12.5703125" style="12" customWidth="1"/>
    <col min="4614" max="4614" width="19" style="12" customWidth="1"/>
    <col min="4615" max="4615" width="8.85546875" style="12"/>
    <col min="4616" max="4616" width="12.140625" style="12" customWidth="1"/>
    <col min="4617" max="4864" width="8.85546875" style="12"/>
    <col min="4865" max="4865" width="4.5703125" style="12" customWidth="1"/>
    <col min="4866" max="4866" width="41.42578125" style="12" customWidth="1"/>
    <col min="4867" max="4867" width="7.42578125" style="12" customWidth="1"/>
    <col min="4868" max="4868" width="5.7109375" style="12" customWidth="1"/>
    <col min="4869" max="4869" width="12.5703125" style="12" customWidth="1"/>
    <col min="4870" max="4870" width="19" style="12" customWidth="1"/>
    <col min="4871" max="4871" width="8.85546875" style="12"/>
    <col min="4872" max="4872" width="12.140625" style="12" customWidth="1"/>
    <col min="4873" max="5120" width="8.85546875" style="12"/>
    <col min="5121" max="5121" width="4.5703125" style="12" customWidth="1"/>
    <col min="5122" max="5122" width="41.42578125" style="12" customWidth="1"/>
    <col min="5123" max="5123" width="7.42578125" style="12" customWidth="1"/>
    <col min="5124" max="5124" width="5.7109375" style="12" customWidth="1"/>
    <col min="5125" max="5125" width="12.5703125" style="12" customWidth="1"/>
    <col min="5126" max="5126" width="19" style="12" customWidth="1"/>
    <col min="5127" max="5127" width="8.85546875" style="12"/>
    <col min="5128" max="5128" width="12.140625" style="12" customWidth="1"/>
    <col min="5129" max="5376" width="8.85546875" style="12"/>
    <col min="5377" max="5377" width="4.5703125" style="12" customWidth="1"/>
    <col min="5378" max="5378" width="41.42578125" style="12" customWidth="1"/>
    <col min="5379" max="5379" width="7.42578125" style="12" customWidth="1"/>
    <col min="5380" max="5380" width="5.7109375" style="12" customWidth="1"/>
    <col min="5381" max="5381" width="12.5703125" style="12" customWidth="1"/>
    <col min="5382" max="5382" width="19" style="12" customWidth="1"/>
    <col min="5383" max="5383" width="8.85546875" style="12"/>
    <col min="5384" max="5384" width="12.140625" style="12" customWidth="1"/>
    <col min="5385" max="5632" width="8.85546875" style="12"/>
    <col min="5633" max="5633" width="4.5703125" style="12" customWidth="1"/>
    <col min="5634" max="5634" width="41.42578125" style="12" customWidth="1"/>
    <col min="5635" max="5635" width="7.42578125" style="12" customWidth="1"/>
    <col min="5636" max="5636" width="5.7109375" style="12" customWidth="1"/>
    <col min="5637" max="5637" width="12.5703125" style="12" customWidth="1"/>
    <col min="5638" max="5638" width="19" style="12" customWidth="1"/>
    <col min="5639" max="5639" width="8.85546875" style="12"/>
    <col min="5640" max="5640" width="12.140625" style="12" customWidth="1"/>
    <col min="5641" max="5888" width="8.85546875" style="12"/>
    <col min="5889" max="5889" width="4.5703125" style="12" customWidth="1"/>
    <col min="5890" max="5890" width="41.42578125" style="12" customWidth="1"/>
    <col min="5891" max="5891" width="7.42578125" style="12" customWidth="1"/>
    <col min="5892" max="5892" width="5.7109375" style="12" customWidth="1"/>
    <col min="5893" max="5893" width="12.5703125" style="12" customWidth="1"/>
    <col min="5894" max="5894" width="19" style="12" customWidth="1"/>
    <col min="5895" max="5895" width="8.85546875" style="12"/>
    <col min="5896" max="5896" width="12.140625" style="12" customWidth="1"/>
    <col min="5897" max="6144" width="8.85546875" style="12"/>
    <col min="6145" max="6145" width="4.5703125" style="12" customWidth="1"/>
    <col min="6146" max="6146" width="41.42578125" style="12" customWidth="1"/>
    <col min="6147" max="6147" width="7.42578125" style="12" customWidth="1"/>
    <col min="6148" max="6148" width="5.7109375" style="12" customWidth="1"/>
    <col min="6149" max="6149" width="12.5703125" style="12" customWidth="1"/>
    <col min="6150" max="6150" width="19" style="12" customWidth="1"/>
    <col min="6151" max="6151" width="8.85546875" style="12"/>
    <col min="6152" max="6152" width="12.140625" style="12" customWidth="1"/>
    <col min="6153" max="6400" width="8.85546875" style="12"/>
    <col min="6401" max="6401" width="4.5703125" style="12" customWidth="1"/>
    <col min="6402" max="6402" width="41.42578125" style="12" customWidth="1"/>
    <col min="6403" max="6403" width="7.42578125" style="12" customWidth="1"/>
    <col min="6404" max="6404" width="5.7109375" style="12" customWidth="1"/>
    <col min="6405" max="6405" width="12.5703125" style="12" customWidth="1"/>
    <col min="6406" max="6406" width="19" style="12" customWidth="1"/>
    <col min="6407" max="6407" width="8.85546875" style="12"/>
    <col min="6408" max="6408" width="12.140625" style="12" customWidth="1"/>
    <col min="6409" max="6656" width="8.85546875" style="12"/>
    <col min="6657" max="6657" width="4.5703125" style="12" customWidth="1"/>
    <col min="6658" max="6658" width="41.42578125" style="12" customWidth="1"/>
    <col min="6659" max="6659" width="7.42578125" style="12" customWidth="1"/>
    <col min="6660" max="6660" width="5.7109375" style="12" customWidth="1"/>
    <col min="6661" max="6661" width="12.5703125" style="12" customWidth="1"/>
    <col min="6662" max="6662" width="19" style="12" customWidth="1"/>
    <col min="6663" max="6663" width="8.85546875" style="12"/>
    <col min="6664" max="6664" width="12.140625" style="12" customWidth="1"/>
    <col min="6665" max="6912" width="8.85546875" style="12"/>
    <col min="6913" max="6913" width="4.5703125" style="12" customWidth="1"/>
    <col min="6914" max="6914" width="41.42578125" style="12" customWidth="1"/>
    <col min="6915" max="6915" width="7.42578125" style="12" customWidth="1"/>
    <col min="6916" max="6916" width="5.7109375" style="12" customWidth="1"/>
    <col min="6917" max="6917" width="12.5703125" style="12" customWidth="1"/>
    <col min="6918" max="6918" width="19" style="12" customWidth="1"/>
    <col min="6919" max="6919" width="8.85546875" style="12"/>
    <col min="6920" max="6920" width="12.140625" style="12" customWidth="1"/>
    <col min="6921" max="7168" width="8.85546875" style="12"/>
    <col min="7169" max="7169" width="4.5703125" style="12" customWidth="1"/>
    <col min="7170" max="7170" width="41.42578125" style="12" customWidth="1"/>
    <col min="7171" max="7171" width="7.42578125" style="12" customWidth="1"/>
    <col min="7172" max="7172" width="5.7109375" style="12" customWidth="1"/>
    <col min="7173" max="7173" width="12.5703125" style="12" customWidth="1"/>
    <col min="7174" max="7174" width="19" style="12" customWidth="1"/>
    <col min="7175" max="7175" width="8.85546875" style="12"/>
    <col min="7176" max="7176" width="12.140625" style="12" customWidth="1"/>
    <col min="7177" max="7424" width="8.85546875" style="12"/>
    <col min="7425" max="7425" width="4.5703125" style="12" customWidth="1"/>
    <col min="7426" max="7426" width="41.42578125" style="12" customWidth="1"/>
    <col min="7427" max="7427" width="7.42578125" style="12" customWidth="1"/>
    <col min="7428" max="7428" width="5.7109375" style="12" customWidth="1"/>
    <col min="7429" max="7429" width="12.5703125" style="12" customWidth="1"/>
    <col min="7430" max="7430" width="19" style="12" customWidth="1"/>
    <col min="7431" max="7431" width="8.85546875" style="12"/>
    <col min="7432" max="7432" width="12.140625" style="12" customWidth="1"/>
    <col min="7433" max="7680" width="8.85546875" style="12"/>
    <col min="7681" max="7681" width="4.5703125" style="12" customWidth="1"/>
    <col min="7682" max="7682" width="41.42578125" style="12" customWidth="1"/>
    <col min="7683" max="7683" width="7.42578125" style="12" customWidth="1"/>
    <col min="7684" max="7684" width="5.7109375" style="12" customWidth="1"/>
    <col min="7685" max="7685" width="12.5703125" style="12" customWidth="1"/>
    <col min="7686" max="7686" width="19" style="12" customWidth="1"/>
    <col min="7687" max="7687" width="8.85546875" style="12"/>
    <col min="7688" max="7688" width="12.140625" style="12" customWidth="1"/>
    <col min="7689" max="7936" width="8.85546875" style="12"/>
    <col min="7937" max="7937" width="4.5703125" style="12" customWidth="1"/>
    <col min="7938" max="7938" width="41.42578125" style="12" customWidth="1"/>
    <col min="7939" max="7939" width="7.42578125" style="12" customWidth="1"/>
    <col min="7940" max="7940" width="5.7109375" style="12" customWidth="1"/>
    <col min="7941" max="7941" width="12.5703125" style="12" customWidth="1"/>
    <col min="7942" max="7942" width="19" style="12" customWidth="1"/>
    <col min="7943" max="7943" width="8.85546875" style="12"/>
    <col min="7944" max="7944" width="12.140625" style="12" customWidth="1"/>
    <col min="7945" max="8192" width="8.85546875" style="12"/>
    <col min="8193" max="8193" width="4.5703125" style="12" customWidth="1"/>
    <col min="8194" max="8194" width="41.42578125" style="12" customWidth="1"/>
    <col min="8195" max="8195" width="7.42578125" style="12" customWidth="1"/>
    <col min="8196" max="8196" width="5.7109375" style="12" customWidth="1"/>
    <col min="8197" max="8197" width="12.5703125" style="12" customWidth="1"/>
    <col min="8198" max="8198" width="19" style="12" customWidth="1"/>
    <col min="8199" max="8199" width="8.85546875" style="12"/>
    <col min="8200" max="8200" width="12.140625" style="12" customWidth="1"/>
    <col min="8201" max="8448" width="8.85546875" style="12"/>
    <col min="8449" max="8449" width="4.5703125" style="12" customWidth="1"/>
    <col min="8450" max="8450" width="41.42578125" style="12" customWidth="1"/>
    <col min="8451" max="8451" width="7.42578125" style="12" customWidth="1"/>
    <col min="8452" max="8452" width="5.7109375" style="12" customWidth="1"/>
    <col min="8453" max="8453" width="12.5703125" style="12" customWidth="1"/>
    <col min="8454" max="8454" width="19" style="12" customWidth="1"/>
    <col min="8455" max="8455" width="8.85546875" style="12"/>
    <col min="8456" max="8456" width="12.140625" style="12" customWidth="1"/>
    <col min="8457" max="8704" width="8.85546875" style="12"/>
    <col min="8705" max="8705" width="4.5703125" style="12" customWidth="1"/>
    <col min="8706" max="8706" width="41.42578125" style="12" customWidth="1"/>
    <col min="8707" max="8707" width="7.42578125" style="12" customWidth="1"/>
    <col min="8708" max="8708" width="5.7109375" style="12" customWidth="1"/>
    <col min="8709" max="8709" width="12.5703125" style="12" customWidth="1"/>
    <col min="8710" max="8710" width="19" style="12" customWidth="1"/>
    <col min="8711" max="8711" width="8.85546875" style="12"/>
    <col min="8712" max="8712" width="12.140625" style="12" customWidth="1"/>
    <col min="8713" max="8960" width="8.85546875" style="12"/>
    <col min="8961" max="8961" width="4.5703125" style="12" customWidth="1"/>
    <col min="8962" max="8962" width="41.42578125" style="12" customWidth="1"/>
    <col min="8963" max="8963" width="7.42578125" style="12" customWidth="1"/>
    <col min="8964" max="8964" width="5.7109375" style="12" customWidth="1"/>
    <col min="8965" max="8965" width="12.5703125" style="12" customWidth="1"/>
    <col min="8966" max="8966" width="19" style="12" customWidth="1"/>
    <col min="8967" max="8967" width="8.85546875" style="12"/>
    <col min="8968" max="8968" width="12.140625" style="12" customWidth="1"/>
    <col min="8969" max="9216" width="8.85546875" style="12"/>
    <col min="9217" max="9217" width="4.5703125" style="12" customWidth="1"/>
    <col min="9218" max="9218" width="41.42578125" style="12" customWidth="1"/>
    <col min="9219" max="9219" width="7.42578125" style="12" customWidth="1"/>
    <col min="9220" max="9220" width="5.7109375" style="12" customWidth="1"/>
    <col min="9221" max="9221" width="12.5703125" style="12" customWidth="1"/>
    <col min="9222" max="9222" width="19" style="12" customWidth="1"/>
    <col min="9223" max="9223" width="8.85546875" style="12"/>
    <col min="9224" max="9224" width="12.140625" style="12" customWidth="1"/>
    <col min="9225" max="9472" width="8.85546875" style="12"/>
    <col min="9473" max="9473" width="4.5703125" style="12" customWidth="1"/>
    <col min="9474" max="9474" width="41.42578125" style="12" customWidth="1"/>
    <col min="9475" max="9475" width="7.42578125" style="12" customWidth="1"/>
    <col min="9476" max="9476" width="5.7109375" style="12" customWidth="1"/>
    <col min="9477" max="9477" width="12.5703125" style="12" customWidth="1"/>
    <col min="9478" max="9478" width="19" style="12" customWidth="1"/>
    <col min="9479" max="9479" width="8.85546875" style="12"/>
    <col min="9480" max="9480" width="12.140625" style="12" customWidth="1"/>
    <col min="9481" max="9728" width="8.85546875" style="12"/>
    <col min="9729" max="9729" width="4.5703125" style="12" customWidth="1"/>
    <col min="9730" max="9730" width="41.42578125" style="12" customWidth="1"/>
    <col min="9731" max="9731" width="7.42578125" style="12" customWidth="1"/>
    <col min="9732" max="9732" width="5.7109375" style="12" customWidth="1"/>
    <col min="9733" max="9733" width="12.5703125" style="12" customWidth="1"/>
    <col min="9734" max="9734" width="19" style="12" customWidth="1"/>
    <col min="9735" max="9735" width="8.85546875" style="12"/>
    <col min="9736" max="9736" width="12.140625" style="12" customWidth="1"/>
    <col min="9737" max="9984" width="8.85546875" style="12"/>
    <col min="9985" max="9985" width="4.5703125" style="12" customWidth="1"/>
    <col min="9986" max="9986" width="41.42578125" style="12" customWidth="1"/>
    <col min="9987" max="9987" width="7.42578125" style="12" customWidth="1"/>
    <col min="9988" max="9988" width="5.7109375" style="12" customWidth="1"/>
    <col min="9989" max="9989" width="12.5703125" style="12" customWidth="1"/>
    <col min="9990" max="9990" width="19" style="12" customWidth="1"/>
    <col min="9991" max="9991" width="8.85546875" style="12"/>
    <col min="9992" max="9992" width="12.140625" style="12" customWidth="1"/>
    <col min="9993" max="10240" width="8.85546875" style="12"/>
    <col min="10241" max="10241" width="4.5703125" style="12" customWidth="1"/>
    <col min="10242" max="10242" width="41.42578125" style="12" customWidth="1"/>
    <col min="10243" max="10243" width="7.42578125" style="12" customWidth="1"/>
    <col min="10244" max="10244" width="5.7109375" style="12" customWidth="1"/>
    <col min="10245" max="10245" width="12.5703125" style="12" customWidth="1"/>
    <col min="10246" max="10246" width="19" style="12" customWidth="1"/>
    <col min="10247" max="10247" width="8.85546875" style="12"/>
    <col min="10248" max="10248" width="12.140625" style="12" customWidth="1"/>
    <col min="10249" max="10496" width="8.85546875" style="12"/>
    <col min="10497" max="10497" width="4.5703125" style="12" customWidth="1"/>
    <col min="10498" max="10498" width="41.42578125" style="12" customWidth="1"/>
    <col min="10499" max="10499" width="7.42578125" style="12" customWidth="1"/>
    <col min="10500" max="10500" width="5.7109375" style="12" customWidth="1"/>
    <col min="10501" max="10501" width="12.5703125" style="12" customWidth="1"/>
    <col min="10502" max="10502" width="19" style="12" customWidth="1"/>
    <col min="10503" max="10503" width="8.85546875" style="12"/>
    <col min="10504" max="10504" width="12.140625" style="12" customWidth="1"/>
    <col min="10505" max="10752" width="8.85546875" style="12"/>
    <col min="10753" max="10753" width="4.5703125" style="12" customWidth="1"/>
    <col min="10754" max="10754" width="41.42578125" style="12" customWidth="1"/>
    <col min="10755" max="10755" width="7.42578125" style="12" customWidth="1"/>
    <col min="10756" max="10756" width="5.7109375" style="12" customWidth="1"/>
    <col min="10757" max="10757" width="12.5703125" style="12" customWidth="1"/>
    <col min="10758" max="10758" width="19" style="12" customWidth="1"/>
    <col min="10759" max="10759" width="8.85546875" style="12"/>
    <col min="10760" max="10760" width="12.140625" style="12" customWidth="1"/>
    <col min="10761" max="11008" width="8.85546875" style="12"/>
    <col min="11009" max="11009" width="4.5703125" style="12" customWidth="1"/>
    <col min="11010" max="11010" width="41.42578125" style="12" customWidth="1"/>
    <col min="11011" max="11011" width="7.42578125" style="12" customWidth="1"/>
    <col min="11012" max="11012" width="5.7109375" style="12" customWidth="1"/>
    <col min="11013" max="11013" width="12.5703125" style="12" customWidth="1"/>
    <col min="11014" max="11014" width="19" style="12" customWidth="1"/>
    <col min="11015" max="11015" width="8.85546875" style="12"/>
    <col min="11016" max="11016" width="12.140625" style="12" customWidth="1"/>
    <col min="11017" max="11264" width="8.85546875" style="12"/>
    <col min="11265" max="11265" width="4.5703125" style="12" customWidth="1"/>
    <col min="11266" max="11266" width="41.42578125" style="12" customWidth="1"/>
    <col min="11267" max="11267" width="7.42578125" style="12" customWidth="1"/>
    <col min="11268" max="11268" width="5.7109375" style="12" customWidth="1"/>
    <col min="11269" max="11269" width="12.5703125" style="12" customWidth="1"/>
    <col min="11270" max="11270" width="19" style="12" customWidth="1"/>
    <col min="11271" max="11271" width="8.85546875" style="12"/>
    <col min="11272" max="11272" width="12.140625" style="12" customWidth="1"/>
    <col min="11273" max="11520" width="8.85546875" style="12"/>
    <col min="11521" max="11521" width="4.5703125" style="12" customWidth="1"/>
    <col min="11522" max="11522" width="41.42578125" style="12" customWidth="1"/>
    <col min="11523" max="11523" width="7.42578125" style="12" customWidth="1"/>
    <col min="11524" max="11524" width="5.7109375" style="12" customWidth="1"/>
    <col min="11525" max="11525" width="12.5703125" style="12" customWidth="1"/>
    <col min="11526" max="11526" width="19" style="12" customWidth="1"/>
    <col min="11527" max="11527" width="8.85546875" style="12"/>
    <col min="11528" max="11528" width="12.140625" style="12" customWidth="1"/>
    <col min="11529" max="11776" width="8.85546875" style="12"/>
    <col min="11777" max="11777" width="4.5703125" style="12" customWidth="1"/>
    <col min="11778" max="11778" width="41.42578125" style="12" customWidth="1"/>
    <col min="11779" max="11779" width="7.42578125" style="12" customWidth="1"/>
    <col min="11780" max="11780" width="5.7109375" style="12" customWidth="1"/>
    <col min="11781" max="11781" width="12.5703125" style="12" customWidth="1"/>
    <col min="11782" max="11782" width="19" style="12" customWidth="1"/>
    <col min="11783" max="11783" width="8.85546875" style="12"/>
    <col min="11784" max="11784" width="12.140625" style="12" customWidth="1"/>
    <col min="11785" max="12032" width="8.85546875" style="12"/>
    <col min="12033" max="12033" width="4.5703125" style="12" customWidth="1"/>
    <col min="12034" max="12034" width="41.42578125" style="12" customWidth="1"/>
    <col min="12035" max="12035" width="7.42578125" style="12" customWidth="1"/>
    <col min="12036" max="12036" width="5.7109375" style="12" customWidth="1"/>
    <col min="12037" max="12037" width="12.5703125" style="12" customWidth="1"/>
    <col min="12038" max="12038" width="19" style="12" customWidth="1"/>
    <col min="12039" max="12039" width="8.85546875" style="12"/>
    <col min="12040" max="12040" width="12.140625" style="12" customWidth="1"/>
    <col min="12041" max="12288" width="8.85546875" style="12"/>
    <col min="12289" max="12289" width="4.5703125" style="12" customWidth="1"/>
    <col min="12290" max="12290" width="41.42578125" style="12" customWidth="1"/>
    <col min="12291" max="12291" width="7.42578125" style="12" customWidth="1"/>
    <col min="12292" max="12292" width="5.7109375" style="12" customWidth="1"/>
    <col min="12293" max="12293" width="12.5703125" style="12" customWidth="1"/>
    <col min="12294" max="12294" width="19" style="12" customWidth="1"/>
    <col min="12295" max="12295" width="8.85546875" style="12"/>
    <col min="12296" max="12296" width="12.140625" style="12" customWidth="1"/>
    <col min="12297" max="12544" width="8.85546875" style="12"/>
    <col min="12545" max="12545" width="4.5703125" style="12" customWidth="1"/>
    <col min="12546" max="12546" width="41.42578125" style="12" customWidth="1"/>
    <col min="12547" max="12547" width="7.42578125" style="12" customWidth="1"/>
    <col min="12548" max="12548" width="5.7109375" style="12" customWidth="1"/>
    <col min="12549" max="12549" width="12.5703125" style="12" customWidth="1"/>
    <col min="12550" max="12550" width="19" style="12" customWidth="1"/>
    <col min="12551" max="12551" width="8.85546875" style="12"/>
    <col min="12552" max="12552" width="12.140625" style="12" customWidth="1"/>
    <col min="12553" max="12800" width="8.85546875" style="12"/>
    <col min="12801" max="12801" width="4.5703125" style="12" customWidth="1"/>
    <col min="12802" max="12802" width="41.42578125" style="12" customWidth="1"/>
    <col min="12803" max="12803" width="7.42578125" style="12" customWidth="1"/>
    <col min="12804" max="12804" width="5.7109375" style="12" customWidth="1"/>
    <col min="12805" max="12805" width="12.5703125" style="12" customWidth="1"/>
    <col min="12806" max="12806" width="19" style="12" customWidth="1"/>
    <col min="12807" max="12807" width="8.85546875" style="12"/>
    <col min="12808" max="12808" width="12.140625" style="12" customWidth="1"/>
    <col min="12809" max="13056" width="8.85546875" style="12"/>
    <col min="13057" max="13057" width="4.5703125" style="12" customWidth="1"/>
    <col min="13058" max="13058" width="41.42578125" style="12" customWidth="1"/>
    <col min="13059" max="13059" width="7.42578125" style="12" customWidth="1"/>
    <col min="13060" max="13060" width="5.7109375" style="12" customWidth="1"/>
    <col min="13061" max="13061" width="12.5703125" style="12" customWidth="1"/>
    <col min="13062" max="13062" width="19" style="12" customWidth="1"/>
    <col min="13063" max="13063" width="8.85546875" style="12"/>
    <col min="13064" max="13064" width="12.140625" style="12" customWidth="1"/>
    <col min="13065" max="13312" width="8.85546875" style="12"/>
    <col min="13313" max="13313" width="4.5703125" style="12" customWidth="1"/>
    <col min="13314" max="13314" width="41.42578125" style="12" customWidth="1"/>
    <col min="13315" max="13315" width="7.42578125" style="12" customWidth="1"/>
    <col min="13316" max="13316" width="5.7109375" style="12" customWidth="1"/>
    <col min="13317" max="13317" width="12.5703125" style="12" customWidth="1"/>
    <col min="13318" max="13318" width="19" style="12" customWidth="1"/>
    <col min="13319" max="13319" width="8.85546875" style="12"/>
    <col min="13320" max="13320" width="12.140625" style="12" customWidth="1"/>
    <col min="13321" max="13568" width="8.85546875" style="12"/>
    <col min="13569" max="13569" width="4.5703125" style="12" customWidth="1"/>
    <col min="13570" max="13570" width="41.42578125" style="12" customWidth="1"/>
    <col min="13571" max="13571" width="7.42578125" style="12" customWidth="1"/>
    <col min="13572" max="13572" width="5.7109375" style="12" customWidth="1"/>
    <col min="13573" max="13573" width="12.5703125" style="12" customWidth="1"/>
    <col min="13574" max="13574" width="19" style="12" customWidth="1"/>
    <col min="13575" max="13575" width="8.85546875" style="12"/>
    <col min="13576" max="13576" width="12.140625" style="12" customWidth="1"/>
    <col min="13577" max="13824" width="8.85546875" style="12"/>
    <col min="13825" max="13825" width="4.5703125" style="12" customWidth="1"/>
    <col min="13826" max="13826" width="41.42578125" style="12" customWidth="1"/>
    <col min="13827" max="13827" width="7.42578125" style="12" customWidth="1"/>
    <col min="13828" max="13828" width="5.7109375" style="12" customWidth="1"/>
    <col min="13829" max="13829" width="12.5703125" style="12" customWidth="1"/>
    <col min="13830" max="13830" width="19" style="12" customWidth="1"/>
    <col min="13831" max="13831" width="8.85546875" style="12"/>
    <col min="13832" max="13832" width="12.140625" style="12" customWidth="1"/>
    <col min="13833" max="14080" width="8.85546875" style="12"/>
    <col min="14081" max="14081" width="4.5703125" style="12" customWidth="1"/>
    <col min="14082" max="14082" width="41.42578125" style="12" customWidth="1"/>
    <col min="14083" max="14083" width="7.42578125" style="12" customWidth="1"/>
    <col min="14084" max="14084" width="5.7109375" style="12" customWidth="1"/>
    <col min="14085" max="14085" width="12.5703125" style="12" customWidth="1"/>
    <col min="14086" max="14086" width="19" style="12" customWidth="1"/>
    <col min="14087" max="14087" width="8.85546875" style="12"/>
    <col min="14088" max="14088" width="12.140625" style="12" customWidth="1"/>
    <col min="14089" max="14336" width="8.85546875" style="12"/>
    <col min="14337" max="14337" width="4.5703125" style="12" customWidth="1"/>
    <col min="14338" max="14338" width="41.42578125" style="12" customWidth="1"/>
    <col min="14339" max="14339" width="7.42578125" style="12" customWidth="1"/>
    <col min="14340" max="14340" width="5.7109375" style="12" customWidth="1"/>
    <col min="14341" max="14341" width="12.5703125" style="12" customWidth="1"/>
    <col min="14342" max="14342" width="19" style="12" customWidth="1"/>
    <col min="14343" max="14343" width="8.85546875" style="12"/>
    <col min="14344" max="14344" width="12.140625" style="12" customWidth="1"/>
    <col min="14345" max="14592" width="8.85546875" style="12"/>
    <col min="14593" max="14593" width="4.5703125" style="12" customWidth="1"/>
    <col min="14594" max="14594" width="41.42578125" style="12" customWidth="1"/>
    <col min="14595" max="14595" width="7.42578125" style="12" customWidth="1"/>
    <col min="14596" max="14596" width="5.7109375" style="12" customWidth="1"/>
    <col min="14597" max="14597" width="12.5703125" style="12" customWidth="1"/>
    <col min="14598" max="14598" width="19" style="12" customWidth="1"/>
    <col min="14599" max="14599" width="8.85546875" style="12"/>
    <col min="14600" max="14600" width="12.140625" style="12" customWidth="1"/>
    <col min="14601" max="14848" width="8.85546875" style="12"/>
    <col min="14849" max="14849" width="4.5703125" style="12" customWidth="1"/>
    <col min="14850" max="14850" width="41.42578125" style="12" customWidth="1"/>
    <col min="14851" max="14851" width="7.42578125" style="12" customWidth="1"/>
    <col min="14852" max="14852" width="5.7109375" style="12" customWidth="1"/>
    <col min="14853" max="14853" width="12.5703125" style="12" customWidth="1"/>
    <col min="14854" max="14854" width="19" style="12" customWidth="1"/>
    <col min="14855" max="14855" width="8.85546875" style="12"/>
    <col min="14856" max="14856" width="12.140625" style="12" customWidth="1"/>
    <col min="14857" max="15104" width="8.85546875" style="12"/>
    <col min="15105" max="15105" width="4.5703125" style="12" customWidth="1"/>
    <col min="15106" max="15106" width="41.42578125" style="12" customWidth="1"/>
    <col min="15107" max="15107" width="7.42578125" style="12" customWidth="1"/>
    <col min="15108" max="15108" width="5.7109375" style="12" customWidth="1"/>
    <col min="15109" max="15109" width="12.5703125" style="12" customWidth="1"/>
    <col min="15110" max="15110" width="19" style="12" customWidth="1"/>
    <col min="15111" max="15111" width="8.85546875" style="12"/>
    <col min="15112" max="15112" width="12.140625" style="12" customWidth="1"/>
    <col min="15113" max="15360" width="8.85546875" style="12"/>
    <col min="15361" max="15361" width="4.5703125" style="12" customWidth="1"/>
    <col min="15362" max="15362" width="41.42578125" style="12" customWidth="1"/>
    <col min="15363" max="15363" width="7.42578125" style="12" customWidth="1"/>
    <col min="15364" max="15364" width="5.7109375" style="12" customWidth="1"/>
    <col min="15365" max="15365" width="12.5703125" style="12" customWidth="1"/>
    <col min="15366" max="15366" width="19" style="12" customWidth="1"/>
    <col min="15367" max="15367" width="8.85546875" style="12"/>
    <col min="15368" max="15368" width="12.140625" style="12" customWidth="1"/>
    <col min="15369" max="15616" width="8.85546875" style="12"/>
    <col min="15617" max="15617" width="4.5703125" style="12" customWidth="1"/>
    <col min="15618" max="15618" width="41.42578125" style="12" customWidth="1"/>
    <col min="15619" max="15619" width="7.42578125" style="12" customWidth="1"/>
    <col min="15620" max="15620" width="5.7109375" style="12" customWidth="1"/>
    <col min="15621" max="15621" width="12.5703125" style="12" customWidth="1"/>
    <col min="15622" max="15622" width="19" style="12" customWidth="1"/>
    <col min="15623" max="15623" width="8.85546875" style="12"/>
    <col min="15624" max="15624" width="12.140625" style="12" customWidth="1"/>
    <col min="15625" max="15872" width="8.85546875" style="12"/>
    <col min="15873" max="15873" width="4.5703125" style="12" customWidth="1"/>
    <col min="15874" max="15874" width="41.42578125" style="12" customWidth="1"/>
    <col min="15875" max="15875" width="7.42578125" style="12" customWidth="1"/>
    <col min="15876" max="15876" width="5.7109375" style="12" customWidth="1"/>
    <col min="15877" max="15877" width="12.5703125" style="12" customWidth="1"/>
    <col min="15878" max="15878" width="19" style="12" customWidth="1"/>
    <col min="15879" max="15879" width="8.85546875" style="12"/>
    <col min="15880" max="15880" width="12.140625" style="12" customWidth="1"/>
    <col min="15881" max="16128" width="8.85546875" style="12"/>
    <col min="16129" max="16129" width="4.5703125" style="12" customWidth="1"/>
    <col min="16130" max="16130" width="41.42578125" style="12" customWidth="1"/>
    <col min="16131" max="16131" width="7.42578125" style="12" customWidth="1"/>
    <col min="16132" max="16132" width="5.7109375" style="12" customWidth="1"/>
    <col min="16133" max="16133" width="12.5703125" style="12" customWidth="1"/>
    <col min="16134" max="16134" width="19" style="12" customWidth="1"/>
    <col min="16135" max="16135" width="8.85546875" style="12"/>
    <col min="16136" max="16136" width="12.140625" style="12" customWidth="1"/>
    <col min="16137" max="16384" width="8.85546875" style="12"/>
  </cols>
  <sheetData>
    <row r="1" spans="1:6" s="20" customFormat="1" ht="15.75" customHeight="1" x14ac:dyDescent="0.2">
      <c r="A1" s="571" t="s">
        <v>41</v>
      </c>
      <c r="B1" s="571"/>
      <c r="C1" s="571"/>
      <c r="D1" s="571"/>
      <c r="E1" s="571"/>
      <c r="F1" s="571"/>
    </row>
    <row r="2" spans="1:6" x14ac:dyDescent="0.2">
      <c r="B2" s="9" t="s">
        <v>42</v>
      </c>
      <c r="C2" s="51"/>
    </row>
    <row r="3" spans="1:6" ht="12.6" customHeight="1" x14ac:dyDescent="0.2"/>
    <row r="4" spans="1:6" x14ac:dyDescent="0.2">
      <c r="B4" s="9" t="s">
        <v>43</v>
      </c>
      <c r="C4" s="51"/>
    </row>
    <row r="5" spans="1:6" ht="12.6" customHeight="1" x14ac:dyDescent="0.2"/>
    <row r="6" spans="1:6" x14ac:dyDescent="0.2">
      <c r="B6" s="9" t="s">
        <v>44</v>
      </c>
    </row>
    <row r="7" spans="1:6" ht="12.6" customHeight="1" x14ac:dyDescent="0.2">
      <c r="B7" s="9"/>
    </row>
    <row r="8" spans="1:6" ht="24" x14ac:dyDescent="0.2">
      <c r="A8" s="39" t="s">
        <v>2</v>
      </c>
      <c r="B8" s="40" t="s">
        <v>45</v>
      </c>
      <c r="C8" s="170" t="e">
        <f>#REF!</f>
        <v>#REF!</v>
      </c>
      <c r="D8" s="39" t="s">
        <v>35</v>
      </c>
      <c r="E8" s="19">
        <v>150</v>
      </c>
      <c r="F8" s="19" t="e">
        <f>C8*E8</f>
        <v>#REF!</v>
      </c>
    </row>
    <row r="9" spans="1:6" ht="12.6" customHeight="1" x14ac:dyDescent="0.3">
      <c r="C9" s="171"/>
    </row>
    <row r="10" spans="1:6" ht="14.25" x14ac:dyDescent="0.2">
      <c r="A10" s="8" t="s">
        <v>4</v>
      </c>
      <c r="B10" s="6" t="s">
        <v>46</v>
      </c>
      <c r="C10" s="170" t="e">
        <f>#REF!</f>
        <v>#REF!</v>
      </c>
      <c r="D10" s="8" t="s">
        <v>47</v>
      </c>
      <c r="E10" s="15">
        <v>1200</v>
      </c>
      <c r="F10" s="15" t="e">
        <f>C10*E10</f>
        <v>#REF!</v>
      </c>
    </row>
    <row r="11" spans="1:6" ht="14.25" x14ac:dyDescent="0.3">
      <c r="B11" s="6" t="s">
        <v>48</v>
      </c>
      <c r="C11" s="171"/>
    </row>
    <row r="12" spans="1:6" ht="12.6" customHeight="1" x14ac:dyDescent="0.3">
      <c r="C12" s="171"/>
    </row>
    <row r="13" spans="1:6" ht="24" x14ac:dyDescent="0.2">
      <c r="A13" s="39" t="s">
        <v>5</v>
      </c>
      <c r="B13" s="40" t="s">
        <v>49</v>
      </c>
      <c r="C13" s="170" t="e">
        <f>#REF!</f>
        <v>#REF!</v>
      </c>
      <c r="D13" s="39" t="s">
        <v>47</v>
      </c>
      <c r="E13" s="42">
        <f>E10</f>
        <v>1200</v>
      </c>
      <c r="F13" s="43" t="e">
        <f>C13*E13</f>
        <v>#REF!</v>
      </c>
    </row>
    <row r="14" spans="1:6" ht="12.6" customHeight="1" x14ac:dyDescent="0.2">
      <c r="A14" s="39"/>
      <c r="B14" s="44"/>
      <c r="C14" s="170"/>
      <c r="D14" s="39"/>
      <c r="E14" s="43"/>
      <c r="F14" s="43"/>
    </row>
    <row r="15" spans="1:6" ht="14.25" x14ac:dyDescent="0.3">
      <c r="A15" s="8" t="s">
        <v>6</v>
      </c>
      <c r="B15" s="6" t="s">
        <v>50</v>
      </c>
      <c r="C15" s="171" t="e">
        <f>#REF!</f>
        <v>#REF!</v>
      </c>
      <c r="D15" s="8" t="s">
        <v>47</v>
      </c>
      <c r="E15" s="15">
        <v>400</v>
      </c>
      <c r="F15" s="15" t="e">
        <f>C15*E15</f>
        <v>#REF!</v>
      </c>
    </row>
    <row r="16" spans="1:6" ht="14.25" x14ac:dyDescent="0.3">
      <c r="B16" s="6" t="s">
        <v>51</v>
      </c>
      <c r="C16" s="171"/>
    </row>
    <row r="17" spans="1:6" ht="12.6" customHeight="1" x14ac:dyDescent="0.3">
      <c r="C17" s="171"/>
    </row>
    <row r="18" spans="1:6" ht="14.25" x14ac:dyDescent="0.3">
      <c r="A18" s="8" t="s">
        <v>7</v>
      </c>
      <c r="B18" s="6" t="s">
        <v>52</v>
      </c>
      <c r="C18" s="171" t="e">
        <f>#REF!</f>
        <v>#REF!</v>
      </c>
      <c r="D18" s="8" t="s">
        <v>47</v>
      </c>
      <c r="E18" s="15">
        <v>300</v>
      </c>
      <c r="F18" s="15" t="e">
        <f>C18*E18</f>
        <v>#REF!</v>
      </c>
    </row>
    <row r="19" spans="1:6" ht="14.25" x14ac:dyDescent="0.3">
      <c r="B19" s="6" t="s">
        <v>53</v>
      </c>
      <c r="C19" s="171"/>
    </row>
    <row r="20" spans="1:6" ht="12.6" customHeight="1" x14ac:dyDescent="0.3">
      <c r="C20" s="171"/>
    </row>
    <row r="21" spans="1:6" ht="14.25" x14ac:dyDescent="0.3">
      <c r="A21" s="8" t="s">
        <v>8</v>
      </c>
      <c r="B21" s="6" t="s">
        <v>54</v>
      </c>
      <c r="C21" s="171" t="e">
        <f>#REF!</f>
        <v>#REF!</v>
      </c>
      <c r="D21" s="8" t="s">
        <v>47</v>
      </c>
      <c r="E21" s="15">
        <v>1900</v>
      </c>
      <c r="F21" s="15" t="e">
        <f>C21*E21</f>
        <v>#REF!</v>
      </c>
    </row>
    <row r="22" spans="1:6" x14ac:dyDescent="0.2">
      <c r="B22" s="6" t="s">
        <v>55</v>
      </c>
      <c r="C22" s="172"/>
      <c r="D22" s="12"/>
      <c r="E22" s="12"/>
      <c r="F22" s="12"/>
    </row>
    <row r="23" spans="1:6" ht="12.6" customHeight="1" x14ac:dyDescent="0.3">
      <c r="C23" s="171"/>
    </row>
    <row r="24" spans="1:6" ht="24" x14ac:dyDescent="0.3">
      <c r="A24" s="8" t="s">
        <v>9</v>
      </c>
      <c r="B24" s="45" t="s">
        <v>56</v>
      </c>
      <c r="C24" s="171" t="e">
        <f>#REF!</f>
        <v>#REF!</v>
      </c>
      <c r="D24" s="8" t="s">
        <v>35</v>
      </c>
      <c r="E24" s="15">
        <v>1100</v>
      </c>
      <c r="F24" s="15" t="e">
        <f>C24*E24</f>
        <v>#REF!</v>
      </c>
    </row>
    <row r="25" spans="1:6" ht="12.6" customHeight="1" x14ac:dyDescent="0.3">
      <c r="C25" s="171"/>
    </row>
    <row r="26" spans="1:6" ht="14.25" x14ac:dyDescent="0.3">
      <c r="A26" s="8" t="s">
        <v>10</v>
      </c>
      <c r="B26" s="6" t="s">
        <v>57</v>
      </c>
      <c r="C26" s="171" t="e">
        <f>#REF!</f>
        <v>#REF!</v>
      </c>
      <c r="D26" s="8" t="s">
        <v>35</v>
      </c>
      <c r="E26" s="15">
        <v>150</v>
      </c>
      <c r="F26" s="15" t="e">
        <f>C26*E26</f>
        <v>#REF!</v>
      </c>
    </row>
    <row r="27" spans="1:6" ht="14.25" x14ac:dyDescent="0.3">
      <c r="C27" s="171"/>
    </row>
    <row r="28" spans="1:6" ht="24" x14ac:dyDescent="0.2">
      <c r="A28" s="39" t="s">
        <v>11</v>
      </c>
      <c r="B28" s="46" t="s">
        <v>58</v>
      </c>
      <c r="C28" s="170"/>
      <c r="D28" s="39" t="s">
        <v>35</v>
      </c>
      <c r="E28" s="19">
        <v>95</v>
      </c>
      <c r="F28" s="19">
        <f>C28*E28</f>
        <v>0</v>
      </c>
    </row>
    <row r="29" spans="1:6" ht="14.25" x14ac:dyDescent="0.2">
      <c r="A29" s="39"/>
      <c r="B29" s="12"/>
      <c r="C29" s="173"/>
      <c r="D29" s="39"/>
      <c r="E29" s="47"/>
      <c r="F29" s="44"/>
    </row>
    <row r="30" spans="1:6" ht="14.25" x14ac:dyDescent="0.3">
      <c r="B30" s="48" t="s">
        <v>59</v>
      </c>
      <c r="C30" s="171"/>
    </row>
    <row r="31" spans="1:6" ht="14.25" x14ac:dyDescent="0.3">
      <c r="C31" s="171"/>
    </row>
    <row r="32" spans="1:6" ht="14.25" x14ac:dyDescent="0.3">
      <c r="A32" s="8" t="s">
        <v>12</v>
      </c>
      <c r="B32" s="6" t="s">
        <v>60</v>
      </c>
      <c r="C32" s="171" t="e">
        <f>#REF!</f>
        <v>#REF!</v>
      </c>
      <c r="D32" s="8" t="s">
        <v>47</v>
      </c>
      <c r="E32" s="15">
        <v>22000</v>
      </c>
      <c r="F32" s="15" t="e">
        <f>C32*E32</f>
        <v>#REF!</v>
      </c>
    </row>
    <row r="33" spans="1:6" ht="14.25" x14ac:dyDescent="0.3">
      <c r="C33" s="171"/>
    </row>
    <row r="34" spans="1:6" ht="14.25" x14ac:dyDescent="0.3">
      <c r="A34" s="8" t="s">
        <v>13</v>
      </c>
      <c r="B34" s="6" t="s">
        <v>61</v>
      </c>
      <c r="C34" s="171" t="e">
        <f>#REF!</f>
        <v>#REF!</v>
      </c>
      <c r="D34" s="8" t="s">
        <v>47</v>
      </c>
      <c r="E34" s="15">
        <f>E32</f>
        <v>22000</v>
      </c>
      <c r="F34" s="15" t="e">
        <f>C34*E34</f>
        <v>#REF!</v>
      </c>
    </row>
    <row r="35" spans="1:6" ht="14.25" x14ac:dyDescent="0.3">
      <c r="C35" s="171"/>
    </row>
    <row r="36" spans="1:6" ht="14.25" x14ac:dyDescent="0.3">
      <c r="B36" s="48" t="s">
        <v>62</v>
      </c>
      <c r="C36" s="171"/>
    </row>
    <row r="37" spans="1:6" ht="14.25" x14ac:dyDescent="0.3">
      <c r="C37" s="171"/>
    </row>
    <row r="38" spans="1:6" ht="14.25" x14ac:dyDescent="0.3">
      <c r="A38" s="8" t="s">
        <v>14</v>
      </c>
      <c r="B38" s="6" t="s">
        <v>63</v>
      </c>
      <c r="C38" s="171" t="e">
        <f>#REF!</f>
        <v>#REF!</v>
      </c>
      <c r="D38" s="8" t="s">
        <v>47</v>
      </c>
      <c r="E38" s="15">
        <v>30000</v>
      </c>
      <c r="F38" s="15" t="e">
        <f>C38*E38</f>
        <v>#REF!</v>
      </c>
    </row>
    <row r="39" spans="1:6" ht="14.25" x14ac:dyDescent="0.3">
      <c r="C39" s="171"/>
    </row>
    <row r="40" spans="1:6" ht="14.25" x14ac:dyDescent="0.3">
      <c r="A40" s="8" t="s">
        <v>15</v>
      </c>
      <c r="B40" s="6" t="s">
        <v>64</v>
      </c>
      <c r="C40" s="171" t="e">
        <f>#REF!</f>
        <v>#REF!</v>
      </c>
      <c r="D40" s="8" t="s">
        <v>47</v>
      </c>
      <c r="E40" s="15">
        <f>E38</f>
        <v>30000</v>
      </c>
      <c r="F40" s="15" t="e">
        <f>C40*E40</f>
        <v>#REF!</v>
      </c>
    </row>
    <row r="41" spans="1:6" ht="14.25" x14ac:dyDescent="0.3">
      <c r="C41" s="171"/>
    </row>
    <row r="42" spans="1:6" ht="14.25" x14ac:dyDescent="0.3">
      <c r="A42" s="8" t="s">
        <v>16</v>
      </c>
      <c r="B42" s="6" t="s">
        <v>65</v>
      </c>
      <c r="C42" s="171" t="e">
        <f>#REF!</f>
        <v>#REF!</v>
      </c>
      <c r="D42" s="8" t="s">
        <v>47</v>
      </c>
      <c r="E42" s="15">
        <f>E38</f>
        <v>30000</v>
      </c>
      <c r="F42" s="15" t="e">
        <f>C42*E42</f>
        <v>#REF!</v>
      </c>
    </row>
    <row r="43" spans="1:6" ht="14.25" x14ac:dyDescent="0.3">
      <c r="C43" s="171"/>
    </row>
    <row r="44" spans="1:6" ht="14.25" x14ac:dyDescent="0.3">
      <c r="B44" s="6" t="s">
        <v>480</v>
      </c>
      <c r="C44" s="171"/>
    </row>
    <row r="46" spans="1:6" x14ac:dyDescent="0.2">
      <c r="B46" s="6" t="s">
        <v>481</v>
      </c>
    </row>
    <row r="49" spans="1:6" x14ac:dyDescent="0.2">
      <c r="B49" s="3" t="s">
        <v>66</v>
      </c>
      <c r="E49" s="10" t="s">
        <v>15</v>
      </c>
      <c r="F49" s="11" t="e">
        <f>SUM(F7:F43)</f>
        <v>#REF!</v>
      </c>
    </row>
    <row r="50" spans="1:6" x14ac:dyDescent="0.2">
      <c r="B50" s="9" t="s">
        <v>43</v>
      </c>
      <c r="C50" s="51"/>
    </row>
    <row r="52" spans="1:6" x14ac:dyDescent="0.2">
      <c r="B52" s="9" t="s">
        <v>67</v>
      </c>
    </row>
    <row r="53" spans="1:6" x14ac:dyDescent="0.2">
      <c r="B53" s="48" t="s">
        <v>68</v>
      </c>
    </row>
    <row r="55" spans="1:6" ht="14.25" x14ac:dyDescent="0.3">
      <c r="A55" s="8" t="s">
        <v>2</v>
      </c>
      <c r="B55" s="6" t="s">
        <v>69</v>
      </c>
      <c r="C55" s="171" t="e">
        <f>#REF!</f>
        <v>#REF!</v>
      </c>
      <c r="D55" s="8" t="s">
        <v>22</v>
      </c>
      <c r="E55" s="15">
        <f>E57*0.15</f>
        <v>375</v>
      </c>
      <c r="F55" s="15" t="e">
        <f>C55*E55</f>
        <v>#REF!</v>
      </c>
    </row>
    <row r="56" spans="1:6" ht="14.25" x14ac:dyDescent="0.3">
      <c r="C56" s="171"/>
    </row>
    <row r="57" spans="1:6" ht="14.25" x14ac:dyDescent="0.3">
      <c r="A57" s="8" t="s">
        <v>4</v>
      </c>
      <c r="B57" s="6" t="s">
        <v>70</v>
      </c>
      <c r="C57" s="171" t="e">
        <f>#REF!</f>
        <v>#REF!</v>
      </c>
      <c r="D57" s="8" t="s">
        <v>35</v>
      </c>
      <c r="E57" s="15">
        <v>2500</v>
      </c>
      <c r="F57" s="15" t="e">
        <f>C57*E57</f>
        <v>#REF!</v>
      </c>
    </row>
    <row r="58" spans="1:6" ht="14.25" x14ac:dyDescent="0.3">
      <c r="C58" s="171"/>
    </row>
    <row r="59" spans="1:6" ht="14.25" x14ac:dyDescent="0.3">
      <c r="A59" s="8" t="s">
        <v>5</v>
      </c>
      <c r="B59" s="6" t="s">
        <v>71</v>
      </c>
      <c r="C59" s="171" t="e">
        <f>#REF!</f>
        <v>#REF!</v>
      </c>
      <c r="D59" s="8" t="s">
        <v>35</v>
      </c>
      <c r="E59" s="15">
        <f>E57</f>
        <v>2500</v>
      </c>
      <c r="F59" s="15" t="e">
        <f>C59*E59</f>
        <v>#REF!</v>
      </c>
    </row>
    <row r="60" spans="1:6" ht="14.25" x14ac:dyDescent="0.3">
      <c r="C60" s="171"/>
    </row>
    <row r="61" spans="1:6" ht="14.25" x14ac:dyDescent="0.3">
      <c r="B61" s="174" t="s">
        <v>493</v>
      </c>
      <c r="C61" s="171" t="e">
        <f>#REF!</f>
        <v>#REF!</v>
      </c>
    </row>
    <row r="63" spans="1:6" ht="14.25" x14ac:dyDescent="0.3">
      <c r="B63" s="174" t="s">
        <v>492</v>
      </c>
    </row>
    <row r="64" spans="1:6" ht="14.25" x14ac:dyDescent="0.3">
      <c r="B64" s="174"/>
    </row>
    <row r="65" spans="1:6" x14ac:dyDescent="0.2">
      <c r="B65" s="6" t="s">
        <v>23</v>
      </c>
    </row>
    <row r="66" spans="1:6" x14ac:dyDescent="0.2">
      <c r="B66" s="9" t="s">
        <v>72</v>
      </c>
    </row>
    <row r="68" spans="1:6" x14ac:dyDescent="0.2">
      <c r="B68" s="48" t="s">
        <v>73</v>
      </c>
    </row>
    <row r="69" spans="1:6" ht="14.25" x14ac:dyDescent="0.3">
      <c r="A69" s="8" t="s">
        <v>6</v>
      </c>
      <c r="B69" s="6" t="s">
        <v>482</v>
      </c>
      <c r="C69" s="171">
        <v>0</v>
      </c>
      <c r="D69" s="8" t="s">
        <v>75</v>
      </c>
      <c r="E69" s="15">
        <v>368</v>
      </c>
      <c r="F69" s="15">
        <f>C69*E69</f>
        <v>0</v>
      </c>
    </row>
    <row r="70" spans="1:6" ht="14.25" x14ac:dyDescent="0.3">
      <c r="C70" s="171"/>
    </row>
    <row r="71" spans="1:6" ht="14.25" x14ac:dyDescent="0.3">
      <c r="A71" s="8" t="s">
        <v>6</v>
      </c>
      <c r="B71" s="6" t="s">
        <v>74</v>
      </c>
      <c r="C71" s="171" t="e">
        <f>#REF!</f>
        <v>#REF!</v>
      </c>
      <c r="D71" s="8" t="s">
        <v>75</v>
      </c>
      <c r="E71" s="15">
        <v>368</v>
      </c>
      <c r="F71" s="15" t="e">
        <f>C71*E71</f>
        <v>#REF!</v>
      </c>
    </row>
    <row r="72" spans="1:6" ht="14.25" x14ac:dyDescent="0.3">
      <c r="C72" s="171"/>
    </row>
    <row r="73" spans="1:6" ht="14.25" x14ac:dyDescent="0.3">
      <c r="A73" s="8" t="s">
        <v>7</v>
      </c>
      <c r="B73" s="6" t="s">
        <v>76</v>
      </c>
      <c r="C73" s="171" t="e">
        <f>#REF!</f>
        <v>#REF!</v>
      </c>
      <c r="D73" s="8" t="s">
        <v>75</v>
      </c>
      <c r="E73" s="15">
        <f>E71</f>
        <v>368</v>
      </c>
      <c r="F73" s="15" t="e">
        <f>C73*E73</f>
        <v>#REF!</v>
      </c>
    </row>
    <row r="74" spans="1:6" ht="14.25" x14ac:dyDescent="0.3">
      <c r="C74" s="171"/>
    </row>
    <row r="75" spans="1:6" ht="14.25" x14ac:dyDescent="0.3">
      <c r="A75" s="8" t="s">
        <v>8</v>
      </c>
      <c r="B75" s="6" t="s">
        <v>77</v>
      </c>
      <c r="C75" s="171">
        <v>0</v>
      </c>
      <c r="D75" s="8" t="s">
        <v>75</v>
      </c>
      <c r="E75" s="15">
        <f>E71</f>
        <v>368</v>
      </c>
      <c r="F75" s="15">
        <f>C75*E75</f>
        <v>0</v>
      </c>
    </row>
    <row r="76" spans="1:6" ht="14.25" x14ac:dyDescent="0.3">
      <c r="C76" s="171"/>
    </row>
    <row r="77" spans="1:6" ht="14.25" x14ac:dyDescent="0.3">
      <c r="A77" s="8" t="s">
        <v>9</v>
      </c>
      <c r="B77" s="6" t="s">
        <v>78</v>
      </c>
      <c r="C77" s="171" t="e">
        <f>#REF!</f>
        <v>#REF!</v>
      </c>
      <c r="D77" s="8" t="s">
        <v>75</v>
      </c>
      <c r="E77" s="15">
        <f>E71</f>
        <v>368</v>
      </c>
      <c r="F77" s="15" t="e">
        <f>C77*E77</f>
        <v>#REF!</v>
      </c>
    </row>
    <row r="79" spans="1:6" x14ac:dyDescent="0.2">
      <c r="B79" s="9" t="s">
        <v>79</v>
      </c>
    </row>
    <row r="81" spans="1:6" x14ac:dyDescent="0.2">
      <c r="B81" s="48" t="s">
        <v>80</v>
      </c>
    </row>
    <row r="82" spans="1:6" x14ac:dyDescent="0.2">
      <c r="B82" s="48" t="s">
        <v>81</v>
      </c>
    </row>
    <row r="83" spans="1:6" x14ac:dyDescent="0.2">
      <c r="B83" s="48" t="s">
        <v>82</v>
      </c>
    </row>
    <row r="85" spans="1:6" ht="14.25" x14ac:dyDescent="0.3">
      <c r="A85" s="8" t="s">
        <v>10</v>
      </c>
      <c r="B85" s="6" t="s">
        <v>83</v>
      </c>
      <c r="C85" s="171" t="e">
        <f>#REF!</f>
        <v>#REF!</v>
      </c>
      <c r="D85" s="8" t="s">
        <v>35</v>
      </c>
      <c r="E85" s="15">
        <v>1000</v>
      </c>
      <c r="F85" s="15" t="e">
        <f>C85*E85</f>
        <v>#REF!</v>
      </c>
    </row>
    <row r="86" spans="1:6" ht="14.25" x14ac:dyDescent="0.3">
      <c r="C86" s="171"/>
    </row>
    <row r="87" spans="1:6" ht="14.25" x14ac:dyDescent="0.3">
      <c r="B87" s="9" t="s">
        <v>84</v>
      </c>
      <c r="C87" s="171"/>
    </row>
    <row r="88" spans="1:6" ht="14.25" x14ac:dyDescent="0.3">
      <c r="C88" s="171"/>
    </row>
    <row r="89" spans="1:6" ht="14.25" x14ac:dyDescent="0.3">
      <c r="B89" s="48" t="s">
        <v>85</v>
      </c>
      <c r="C89" s="171"/>
    </row>
    <row r="90" spans="1:6" ht="14.25" x14ac:dyDescent="0.3">
      <c r="B90" s="48" t="s">
        <v>86</v>
      </c>
      <c r="C90" s="171"/>
    </row>
    <row r="91" spans="1:6" ht="14.25" x14ac:dyDescent="0.3">
      <c r="B91" s="48" t="s">
        <v>87</v>
      </c>
      <c r="C91" s="171"/>
    </row>
    <row r="92" spans="1:6" ht="14.25" x14ac:dyDescent="0.3">
      <c r="C92" s="171"/>
    </row>
    <row r="93" spans="1:6" ht="14.25" x14ac:dyDescent="0.3">
      <c r="A93" s="8" t="s">
        <v>11</v>
      </c>
      <c r="B93" s="6" t="s">
        <v>88</v>
      </c>
      <c r="C93" s="171" t="e">
        <f>#REF!</f>
        <v>#REF!</v>
      </c>
      <c r="D93" s="8" t="s">
        <v>35</v>
      </c>
      <c r="E93" s="15">
        <v>4000</v>
      </c>
      <c r="F93" s="15" t="e">
        <f>C93*E93</f>
        <v>#REF!</v>
      </c>
    </row>
    <row r="95" spans="1:6" x14ac:dyDescent="0.2">
      <c r="B95" s="48" t="s">
        <v>89</v>
      </c>
    </row>
    <row r="97" spans="1:6" x14ac:dyDescent="0.2">
      <c r="A97" s="8" t="s">
        <v>12</v>
      </c>
      <c r="B97" s="6" t="s">
        <v>90</v>
      </c>
    </row>
    <row r="98" spans="1:6" x14ac:dyDescent="0.2">
      <c r="B98" s="6" t="s">
        <v>91</v>
      </c>
      <c r="C98" s="41" t="e">
        <f>#REF!</f>
        <v>#REF!</v>
      </c>
      <c r="D98" s="8" t="s">
        <v>35</v>
      </c>
      <c r="E98" s="15">
        <v>180</v>
      </c>
      <c r="F98" s="15" t="e">
        <f>C98*E98</f>
        <v>#REF!</v>
      </c>
    </row>
    <row r="100" spans="1:6" x14ac:dyDescent="0.2">
      <c r="A100" s="49"/>
      <c r="B100" s="50" t="s">
        <v>66</v>
      </c>
      <c r="C100" s="51"/>
      <c r="E100" s="10" t="s">
        <v>15</v>
      </c>
      <c r="F100" s="11" t="e">
        <f>SUM(F54:F99)</f>
        <v>#REF!</v>
      </c>
    </row>
    <row r="102" spans="1:6" x14ac:dyDescent="0.2">
      <c r="B102" s="9" t="s">
        <v>92</v>
      </c>
    </row>
    <row r="103" spans="1:6" x14ac:dyDescent="0.2">
      <c r="B103" s="52" t="s">
        <v>93</v>
      </c>
      <c r="E103" s="15" t="e">
        <f>F49</f>
        <v>#REF!</v>
      </c>
    </row>
    <row r="104" spans="1:6" x14ac:dyDescent="0.2">
      <c r="B104" s="52"/>
    </row>
    <row r="105" spans="1:6" x14ac:dyDescent="0.2">
      <c r="B105" s="52" t="s">
        <v>94</v>
      </c>
      <c r="E105" s="15" t="e">
        <f>F100</f>
        <v>#REF!</v>
      </c>
    </row>
    <row r="111" spans="1:6" x14ac:dyDescent="0.2">
      <c r="B111" s="9" t="s">
        <v>43</v>
      </c>
      <c r="E111" s="10"/>
      <c r="F111" s="11"/>
    </row>
    <row r="112" spans="1:6" x14ac:dyDescent="0.2">
      <c r="B112" s="3" t="s">
        <v>95</v>
      </c>
      <c r="E112" s="10" t="s">
        <v>15</v>
      </c>
      <c r="F112" s="11" t="e">
        <f>SUM(E103:E106)</f>
        <v>#REF!</v>
      </c>
    </row>
    <row r="113" spans="1:6" x14ac:dyDescent="0.2">
      <c r="B113" s="9" t="s">
        <v>96</v>
      </c>
    </row>
    <row r="115" spans="1:6" x14ac:dyDescent="0.2">
      <c r="B115" s="9" t="s">
        <v>97</v>
      </c>
    </row>
    <row r="117" spans="1:6" x14ac:dyDescent="0.2">
      <c r="B117" s="9" t="s">
        <v>98</v>
      </c>
    </row>
    <row r="118" spans="1:6" x14ac:dyDescent="0.2">
      <c r="B118" s="9"/>
    </row>
    <row r="119" spans="1:6" ht="14.25" x14ac:dyDescent="0.3">
      <c r="A119" s="8" t="s">
        <v>2</v>
      </c>
      <c r="B119" s="6" t="s">
        <v>65</v>
      </c>
      <c r="C119" s="171" t="e">
        <f>#REF!</f>
        <v>#REF!</v>
      </c>
      <c r="D119" s="8" t="s">
        <v>47</v>
      </c>
      <c r="E119" s="15">
        <f>E42</f>
        <v>30000</v>
      </c>
      <c r="F119" s="15" t="e">
        <f>C119*E119</f>
        <v>#REF!</v>
      </c>
    </row>
    <row r="120" spans="1:6" ht="14.25" x14ac:dyDescent="0.3">
      <c r="B120" s="9"/>
      <c r="C120" s="171"/>
    </row>
    <row r="121" spans="1:6" ht="14.25" x14ac:dyDescent="0.3">
      <c r="A121" s="8" t="s">
        <v>4</v>
      </c>
      <c r="B121" s="6" t="s">
        <v>99</v>
      </c>
      <c r="C121" s="171" t="e">
        <f>#REF!</f>
        <v>#REF!</v>
      </c>
      <c r="D121" s="8" t="s">
        <v>47</v>
      </c>
      <c r="E121" s="15">
        <f>E119</f>
        <v>30000</v>
      </c>
      <c r="F121" s="15" t="e">
        <f>C121*E121</f>
        <v>#REF!</v>
      </c>
    </row>
    <row r="122" spans="1:6" ht="14.25" x14ac:dyDescent="0.3">
      <c r="C122" s="171"/>
    </row>
    <row r="123" spans="1:6" ht="14.25" x14ac:dyDescent="0.3">
      <c r="B123" s="9" t="s">
        <v>67</v>
      </c>
      <c r="C123" s="171"/>
    </row>
    <row r="124" spans="1:6" ht="14.25" x14ac:dyDescent="0.3">
      <c r="B124" s="9"/>
      <c r="C124" s="171"/>
    </row>
    <row r="125" spans="1:6" ht="14.25" x14ac:dyDescent="0.3">
      <c r="B125" s="48" t="s">
        <v>68</v>
      </c>
      <c r="C125" s="171"/>
    </row>
    <row r="126" spans="1:6" ht="14.25" x14ac:dyDescent="0.3">
      <c r="C126" s="171"/>
    </row>
    <row r="127" spans="1:6" ht="14.25" x14ac:dyDescent="0.3">
      <c r="A127" s="8" t="s">
        <v>5</v>
      </c>
      <c r="B127" s="6" t="s">
        <v>100</v>
      </c>
      <c r="C127" s="171" t="e">
        <f>#REF!</f>
        <v>#REF!</v>
      </c>
      <c r="D127" s="8" t="s">
        <v>35</v>
      </c>
      <c r="E127" s="15">
        <f>E57</f>
        <v>2500</v>
      </c>
      <c r="F127" s="15" t="e">
        <f>C127*E127</f>
        <v>#REF!</v>
      </c>
    </row>
    <row r="128" spans="1:6" ht="14.25" x14ac:dyDescent="0.3">
      <c r="C128" s="171"/>
    </row>
    <row r="129" spans="1:6" ht="14.25" x14ac:dyDescent="0.3">
      <c r="A129" s="8" t="s">
        <v>6</v>
      </c>
      <c r="B129" s="6" t="s">
        <v>101</v>
      </c>
      <c r="C129" s="171" t="e">
        <f>#REF!</f>
        <v>#REF!</v>
      </c>
      <c r="D129" s="8" t="s">
        <v>35</v>
      </c>
      <c r="E129" s="15">
        <f>E127</f>
        <v>2500</v>
      </c>
      <c r="F129" s="15" t="e">
        <f>C129*E129</f>
        <v>#REF!</v>
      </c>
    </row>
    <row r="130" spans="1:6" ht="14.25" x14ac:dyDescent="0.3">
      <c r="C130" s="171"/>
    </row>
    <row r="131" spans="1:6" x14ac:dyDescent="0.2">
      <c r="B131" s="9" t="s">
        <v>102</v>
      </c>
    </row>
    <row r="133" spans="1:6" x14ac:dyDescent="0.2">
      <c r="B133" s="48" t="s">
        <v>103</v>
      </c>
    </row>
    <row r="134" spans="1:6" x14ac:dyDescent="0.2">
      <c r="A134" s="8" t="s">
        <v>7</v>
      </c>
      <c r="B134" s="6" t="s">
        <v>483</v>
      </c>
      <c r="D134" s="8" t="s">
        <v>75</v>
      </c>
      <c r="E134" s="15">
        <f>E71</f>
        <v>368</v>
      </c>
      <c r="F134" s="15">
        <f>C134*E134</f>
        <v>0</v>
      </c>
    </row>
    <row r="136" spans="1:6" ht="14.25" x14ac:dyDescent="0.3">
      <c r="A136" s="8" t="s">
        <v>7</v>
      </c>
      <c r="B136" s="6" t="s">
        <v>104</v>
      </c>
      <c r="C136" s="171" t="e">
        <f>#REF!</f>
        <v>#REF!</v>
      </c>
      <c r="D136" s="8" t="s">
        <v>75</v>
      </c>
      <c r="E136" s="15">
        <f>E134</f>
        <v>368</v>
      </c>
      <c r="F136" s="15" t="e">
        <f>C136*E136</f>
        <v>#REF!</v>
      </c>
    </row>
    <row r="137" spans="1:6" ht="14.25" x14ac:dyDescent="0.3">
      <c r="C137" s="171"/>
    </row>
    <row r="138" spans="1:6" ht="14.25" x14ac:dyDescent="0.3">
      <c r="A138" s="8" t="s">
        <v>8</v>
      </c>
      <c r="B138" s="6" t="s">
        <v>105</v>
      </c>
      <c r="C138" s="171" t="e">
        <f>#REF!</f>
        <v>#REF!</v>
      </c>
      <c r="D138" s="8" t="s">
        <v>75</v>
      </c>
      <c r="E138" s="15">
        <f>E136</f>
        <v>368</v>
      </c>
      <c r="F138" s="15" t="e">
        <f>C138*E138</f>
        <v>#REF!</v>
      </c>
    </row>
    <row r="139" spans="1:6" ht="14.25" x14ac:dyDescent="0.3">
      <c r="C139" s="171"/>
    </row>
    <row r="140" spans="1:6" ht="14.25" x14ac:dyDescent="0.3">
      <c r="A140" s="8" t="s">
        <v>9</v>
      </c>
      <c r="B140" s="6" t="s">
        <v>106</v>
      </c>
      <c r="C140" s="171"/>
      <c r="D140" s="8" t="s">
        <v>75</v>
      </c>
      <c r="E140" s="15">
        <f>E138</f>
        <v>368</v>
      </c>
      <c r="F140" s="15">
        <f>C140*E140</f>
        <v>0</v>
      </c>
    </row>
    <row r="141" spans="1:6" ht="14.25" x14ac:dyDescent="0.3">
      <c r="C141" s="171"/>
    </row>
    <row r="142" spans="1:6" ht="14.25" x14ac:dyDescent="0.3">
      <c r="A142" s="8" t="s">
        <v>10</v>
      </c>
      <c r="B142" s="6" t="s">
        <v>107</v>
      </c>
      <c r="C142" s="171" t="e">
        <f>#REF!</f>
        <v>#REF!</v>
      </c>
      <c r="D142" s="8" t="s">
        <v>75</v>
      </c>
      <c r="E142" s="15">
        <f>E140</f>
        <v>368</v>
      </c>
      <c r="F142" s="15" t="e">
        <f>C142*E142</f>
        <v>#REF!</v>
      </c>
    </row>
    <row r="143" spans="1:6" ht="14.25" x14ac:dyDescent="0.3">
      <c r="C143" s="171"/>
    </row>
    <row r="165" spans="1:9" x14ac:dyDescent="0.2">
      <c r="B165" s="9" t="s">
        <v>108</v>
      </c>
    </row>
    <row r="166" spans="1:9" x14ac:dyDescent="0.2">
      <c r="B166" s="3" t="s">
        <v>95</v>
      </c>
      <c r="E166" s="10" t="s">
        <v>15</v>
      </c>
      <c r="F166" s="11" t="e">
        <f>SUM(F116:F165)</f>
        <v>#REF!</v>
      </c>
    </row>
    <row r="167" spans="1:9" x14ac:dyDescent="0.2">
      <c r="B167" s="9" t="s">
        <v>109</v>
      </c>
    </row>
    <row r="169" spans="1:9" x14ac:dyDescent="0.2">
      <c r="B169" s="9" t="s">
        <v>110</v>
      </c>
    </row>
    <row r="171" spans="1:9" s="4" customFormat="1" ht="84" x14ac:dyDescent="0.2">
      <c r="A171" s="53"/>
      <c r="B171" s="54" t="s">
        <v>111</v>
      </c>
      <c r="C171" s="53"/>
      <c r="D171" s="53"/>
      <c r="E171" s="55"/>
      <c r="F171" s="55"/>
    </row>
    <row r="172" spans="1:9" s="4" customFormat="1" x14ac:dyDescent="0.2">
      <c r="A172" s="53"/>
      <c r="B172" s="56"/>
      <c r="C172" s="53"/>
      <c r="D172" s="53"/>
      <c r="E172" s="55"/>
      <c r="F172" s="55"/>
    </row>
    <row r="173" spans="1:9" s="62" customFormat="1" ht="17.25" customHeight="1" x14ac:dyDescent="0.3">
      <c r="A173" s="57" t="s">
        <v>2</v>
      </c>
      <c r="B173" s="58" t="s">
        <v>112</v>
      </c>
      <c r="C173" s="177">
        <v>0</v>
      </c>
      <c r="D173" s="59" t="s">
        <v>35</v>
      </c>
      <c r="E173" s="60">
        <v>9500</v>
      </c>
      <c r="F173" s="61">
        <f>C173*E173</f>
        <v>0</v>
      </c>
      <c r="I173" s="63"/>
    </row>
    <row r="174" spans="1:9" s="4" customFormat="1" ht="17.25" customHeight="1" x14ac:dyDescent="0.2">
      <c r="A174" s="53"/>
      <c r="B174" s="56"/>
      <c r="C174" s="184"/>
      <c r="D174" s="53"/>
      <c r="E174" s="55"/>
      <c r="F174" s="55"/>
    </row>
    <row r="175" spans="1:9" s="4" customFormat="1" ht="17.25" customHeight="1" x14ac:dyDescent="0.2">
      <c r="A175" s="39"/>
      <c r="B175" s="64" t="s">
        <v>113</v>
      </c>
      <c r="C175" s="184"/>
      <c r="D175" s="39"/>
      <c r="E175" s="19"/>
      <c r="F175" s="19"/>
    </row>
    <row r="176" spans="1:9" s="4" customFormat="1" ht="17.25" customHeight="1" x14ac:dyDescent="0.2">
      <c r="A176" s="39"/>
      <c r="B176" s="64"/>
      <c r="C176" s="184"/>
      <c r="D176" s="39"/>
      <c r="E176" s="19"/>
      <c r="F176" s="19"/>
    </row>
    <row r="177" spans="1:9" s="4" customFormat="1" ht="17.25" customHeight="1" x14ac:dyDescent="0.2">
      <c r="A177" s="39"/>
      <c r="B177" s="64" t="s">
        <v>485</v>
      </c>
      <c r="C177" s="173" t="e">
        <f>#REF!</f>
        <v>#REF!</v>
      </c>
      <c r="D177" s="173" t="s">
        <v>47</v>
      </c>
      <c r="E177" s="178">
        <f>E119</f>
        <v>30000</v>
      </c>
      <c r="F177" s="178" t="e">
        <f>C177*E177</f>
        <v>#REF!</v>
      </c>
    </row>
    <row r="178" spans="1:9" s="4" customFormat="1" x14ac:dyDescent="0.2">
      <c r="A178" s="39"/>
      <c r="B178" s="12"/>
      <c r="C178" s="39"/>
      <c r="D178" s="39"/>
      <c r="E178" s="19"/>
      <c r="F178" s="19"/>
    </row>
    <row r="179" spans="1:9" s="4" customFormat="1" x14ac:dyDescent="0.2">
      <c r="A179" s="39"/>
      <c r="B179" s="65" t="s">
        <v>114</v>
      </c>
      <c r="C179" s="39"/>
      <c r="D179" s="39"/>
      <c r="E179" s="55"/>
      <c r="F179" s="55"/>
    </row>
    <row r="180" spans="1:9" s="4" customFormat="1" x14ac:dyDescent="0.2">
      <c r="A180" s="39"/>
      <c r="B180" s="12"/>
      <c r="C180" s="39"/>
      <c r="D180" s="39"/>
      <c r="E180" s="55"/>
      <c r="F180" s="55"/>
    </row>
    <row r="181" spans="1:9" s="4" customFormat="1" ht="14.25" x14ac:dyDescent="0.2">
      <c r="A181" s="39" t="s">
        <v>4</v>
      </c>
      <c r="B181" s="12" t="s">
        <v>115</v>
      </c>
      <c r="C181" s="173" t="e">
        <f>#REF!</f>
        <v>#REF!</v>
      </c>
      <c r="D181" s="39" t="s">
        <v>75</v>
      </c>
      <c r="E181" s="19">
        <f>E138</f>
        <v>368</v>
      </c>
      <c r="F181" s="178" t="e">
        <f>C181*E181</f>
        <v>#REF!</v>
      </c>
    </row>
    <row r="182" spans="1:9" s="4" customFormat="1" x14ac:dyDescent="0.2">
      <c r="A182" s="39"/>
      <c r="B182" s="12"/>
      <c r="C182" s="39"/>
      <c r="D182" s="39"/>
      <c r="E182" s="19"/>
      <c r="F182" s="19"/>
    </row>
    <row r="183" spans="1:9" x14ac:dyDescent="0.2">
      <c r="B183" s="9" t="s">
        <v>67</v>
      </c>
    </row>
    <row r="184" spans="1:9" x14ac:dyDescent="0.2">
      <c r="B184" s="9"/>
    </row>
    <row r="185" spans="1:9" x14ac:dyDescent="0.2">
      <c r="B185" s="48" t="s">
        <v>116</v>
      </c>
    </row>
    <row r="187" spans="1:9" x14ac:dyDescent="0.2">
      <c r="A187" s="8" t="s">
        <v>5</v>
      </c>
      <c r="B187" s="6" t="s">
        <v>117</v>
      </c>
      <c r="D187" s="8" t="s">
        <v>22</v>
      </c>
      <c r="E187" s="15">
        <f>E193*0.15</f>
        <v>450</v>
      </c>
      <c r="F187" s="15">
        <f>C187*E187</f>
        <v>0</v>
      </c>
    </row>
    <row r="189" spans="1:9" x14ac:dyDescent="0.2">
      <c r="B189" s="48" t="s">
        <v>118</v>
      </c>
    </row>
    <row r="190" spans="1:9" x14ac:dyDescent="0.2">
      <c r="B190" s="48" t="s">
        <v>119</v>
      </c>
    </row>
    <row r="192" spans="1:9" s="62" customFormat="1" ht="17.25" customHeight="1" x14ac:dyDescent="0.2">
      <c r="A192" s="57"/>
      <c r="B192" s="58" t="s">
        <v>120</v>
      </c>
      <c r="C192" s="59"/>
      <c r="D192" s="59"/>
      <c r="E192" s="60"/>
      <c r="F192" s="66"/>
      <c r="I192" s="63"/>
    </row>
    <row r="193" spans="1:9" s="62" customFormat="1" ht="17.25" customHeight="1" x14ac:dyDescent="0.3">
      <c r="A193" s="57" t="s">
        <v>6</v>
      </c>
      <c r="B193" s="58" t="s">
        <v>121</v>
      </c>
      <c r="C193" s="177" t="e">
        <f>#REF!</f>
        <v>#REF!</v>
      </c>
      <c r="D193" s="59" t="s">
        <v>35</v>
      </c>
      <c r="E193" s="60">
        <v>3000</v>
      </c>
      <c r="F193" s="61" t="e">
        <f>C193*E193</f>
        <v>#REF!</v>
      </c>
      <c r="I193" s="63"/>
    </row>
    <row r="194" spans="1:9" s="62" customFormat="1" ht="17.25" customHeight="1" x14ac:dyDescent="0.3">
      <c r="A194" s="57"/>
      <c r="B194" s="58"/>
      <c r="C194" s="177"/>
      <c r="D194" s="59"/>
      <c r="E194" s="60"/>
      <c r="F194" s="61"/>
      <c r="I194" s="63"/>
    </row>
    <row r="195" spans="1:9" s="62" customFormat="1" ht="17.25" customHeight="1" x14ac:dyDescent="0.3">
      <c r="A195" s="57" t="s">
        <v>7</v>
      </c>
      <c r="B195" s="58" t="s">
        <v>122</v>
      </c>
      <c r="C195" s="177" t="e">
        <f>#REF!</f>
        <v>#REF!</v>
      </c>
      <c r="D195" s="59" t="s">
        <v>22</v>
      </c>
      <c r="E195" s="60">
        <v>500</v>
      </c>
      <c r="F195" s="61" t="e">
        <f>C195*E195</f>
        <v>#REF!</v>
      </c>
      <c r="I195" s="63"/>
    </row>
    <row r="196" spans="1:9" x14ac:dyDescent="0.2">
      <c r="B196" s="3"/>
      <c r="F196" s="11"/>
    </row>
    <row r="197" spans="1:9" x14ac:dyDescent="0.2">
      <c r="B197" s="3"/>
      <c r="F197" s="11"/>
    </row>
    <row r="198" spans="1:9" x14ac:dyDescent="0.2">
      <c r="B198" s="3"/>
      <c r="F198" s="11"/>
    </row>
    <row r="199" spans="1:9" x14ac:dyDescent="0.2">
      <c r="B199" s="3"/>
      <c r="F199" s="11"/>
    </row>
    <row r="200" spans="1:9" x14ac:dyDescent="0.2">
      <c r="B200" s="3"/>
      <c r="F200" s="11"/>
    </row>
    <row r="201" spans="1:9" x14ac:dyDescent="0.2">
      <c r="B201" s="3"/>
      <c r="F201" s="11"/>
    </row>
    <row r="202" spans="1:9" x14ac:dyDescent="0.2">
      <c r="B202" s="3"/>
      <c r="F202" s="11"/>
    </row>
    <row r="203" spans="1:9" x14ac:dyDescent="0.2">
      <c r="B203" s="3"/>
      <c r="F203" s="11"/>
    </row>
    <row r="204" spans="1:9" x14ac:dyDescent="0.2">
      <c r="B204" s="3"/>
      <c r="F204" s="11"/>
    </row>
    <row r="205" spans="1:9" x14ac:dyDescent="0.2">
      <c r="B205" s="3"/>
      <c r="F205" s="11"/>
    </row>
    <row r="206" spans="1:9" x14ac:dyDescent="0.2">
      <c r="B206" s="3"/>
      <c r="F206" s="11"/>
    </row>
    <row r="207" spans="1:9" x14ac:dyDescent="0.2">
      <c r="B207" s="3"/>
      <c r="F207" s="11"/>
    </row>
    <row r="208" spans="1:9" x14ac:dyDescent="0.2">
      <c r="B208" s="3"/>
      <c r="F208" s="11"/>
    </row>
    <row r="209" spans="2:6" x14ac:dyDescent="0.2">
      <c r="B209" s="3"/>
      <c r="F209" s="11"/>
    </row>
    <row r="210" spans="2:6" x14ac:dyDescent="0.2">
      <c r="B210" s="3"/>
      <c r="F210" s="11"/>
    </row>
    <row r="211" spans="2:6" x14ac:dyDescent="0.2">
      <c r="B211" s="3"/>
      <c r="F211" s="11"/>
    </row>
    <row r="212" spans="2:6" x14ac:dyDescent="0.2">
      <c r="B212" s="3"/>
      <c r="F212" s="11"/>
    </row>
    <row r="213" spans="2:6" x14ac:dyDescent="0.2">
      <c r="B213" s="3"/>
      <c r="F213" s="11"/>
    </row>
    <row r="214" spans="2:6" x14ac:dyDescent="0.2">
      <c r="B214" s="3"/>
      <c r="F214" s="11"/>
    </row>
    <row r="215" spans="2:6" x14ac:dyDescent="0.2">
      <c r="B215" s="3"/>
      <c r="F215" s="11"/>
    </row>
    <row r="216" spans="2:6" x14ac:dyDescent="0.2">
      <c r="B216" s="3"/>
      <c r="F216" s="11"/>
    </row>
    <row r="217" spans="2:6" x14ac:dyDescent="0.2">
      <c r="B217" s="3"/>
      <c r="F217" s="11"/>
    </row>
    <row r="218" spans="2:6" x14ac:dyDescent="0.2">
      <c r="B218" s="9" t="s">
        <v>123</v>
      </c>
      <c r="F218" s="11"/>
    </row>
    <row r="219" spans="2:6" x14ac:dyDescent="0.2">
      <c r="B219" s="3" t="s">
        <v>95</v>
      </c>
      <c r="E219" s="10" t="s">
        <v>15</v>
      </c>
      <c r="F219" s="11" t="e">
        <f>SUM(F170:F217)</f>
        <v>#REF!</v>
      </c>
    </row>
    <row r="220" spans="2:6" x14ac:dyDescent="0.2">
      <c r="B220" s="9" t="s">
        <v>124</v>
      </c>
    </row>
    <row r="221" spans="2:6" ht="12.6" customHeight="1" x14ac:dyDescent="0.2"/>
    <row r="222" spans="2:6" x14ac:dyDescent="0.2">
      <c r="B222" s="9" t="s">
        <v>125</v>
      </c>
    </row>
    <row r="223" spans="2:6" ht="12.6" customHeight="1" x14ac:dyDescent="0.2"/>
    <row r="224" spans="2:6" x14ac:dyDescent="0.2">
      <c r="B224" s="9" t="s">
        <v>98</v>
      </c>
    </row>
    <row r="225" spans="1:6" ht="12.6" customHeight="1" x14ac:dyDescent="0.2">
      <c r="B225" s="9"/>
    </row>
    <row r="226" spans="1:6" x14ac:dyDescent="0.2">
      <c r="B226" s="48" t="s">
        <v>126</v>
      </c>
    </row>
    <row r="227" spans="1:6" ht="12.6" customHeight="1" x14ac:dyDescent="0.2">
      <c r="B227" s="9"/>
    </row>
    <row r="228" spans="1:6" ht="14.25" x14ac:dyDescent="0.3">
      <c r="A228" s="8" t="s">
        <v>2</v>
      </c>
      <c r="B228" s="6" t="s">
        <v>127</v>
      </c>
      <c r="C228" s="171" t="e">
        <f>#REF!</f>
        <v>#REF!</v>
      </c>
      <c r="D228" s="8" t="s">
        <v>47</v>
      </c>
      <c r="E228" s="15">
        <f>E119</f>
        <v>30000</v>
      </c>
      <c r="F228" s="15" t="e">
        <f>C228*E228</f>
        <v>#REF!</v>
      </c>
    </row>
    <row r="229" spans="1:6" ht="12.6" customHeight="1" x14ac:dyDescent="0.3">
      <c r="B229" s="9"/>
      <c r="C229" s="171"/>
    </row>
    <row r="230" spans="1:6" ht="14.25" x14ac:dyDescent="0.3">
      <c r="A230" s="8" t="s">
        <v>4</v>
      </c>
      <c r="B230" s="6" t="s">
        <v>128</v>
      </c>
      <c r="C230" s="171">
        <v>0</v>
      </c>
      <c r="D230" s="8" t="s">
        <v>47</v>
      </c>
      <c r="E230" s="15">
        <f>E228</f>
        <v>30000</v>
      </c>
      <c r="F230" s="15">
        <f>C230*E230</f>
        <v>0</v>
      </c>
    </row>
    <row r="231" spans="1:6" ht="12.6" customHeight="1" x14ac:dyDescent="0.3">
      <c r="B231" s="9"/>
      <c r="C231" s="171"/>
    </row>
    <row r="232" spans="1:6" ht="14.25" x14ac:dyDescent="0.3">
      <c r="B232" s="9" t="s">
        <v>67</v>
      </c>
      <c r="C232" s="171"/>
    </row>
    <row r="233" spans="1:6" ht="12.6" customHeight="1" x14ac:dyDescent="0.3">
      <c r="B233" s="9"/>
      <c r="C233" s="171"/>
    </row>
    <row r="234" spans="1:6" ht="14.25" x14ac:dyDescent="0.3">
      <c r="B234" s="48" t="s">
        <v>129</v>
      </c>
      <c r="C234" s="171"/>
    </row>
    <row r="235" spans="1:6" ht="12.6" customHeight="1" x14ac:dyDescent="0.3">
      <c r="C235" s="171"/>
    </row>
    <row r="236" spans="1:6" ht="14.25" x14ac:dyDescent="0.2">
      <c r="A236" s="39" t="s">
        <v>5</v>
      </c>
      <c r="B236" s="44" t="s">
        <v>130</v>
      </c>
      <c r="C236" s="175" t="e">
        <f>#REF!</f>
        <v>#REF!</v>
      </c>
      <c r="D236" s="8" t="s">
        <v>35</v>
      </c>
      <c r="E236" s="42">
        <f>E129</f>
        <v>2500</v>
      </c>
      <c r="F236" s="43" t="e">
        <f>C236*E236</f>
        <v>#REF!</v>
      </c>
    </row>
    <row r="237" spans="1:6" ht="12.6" customHeight="1" x14ac:dyDescent="0.2">
      <c r="A237" s="39"/>
      <c r="B237" s="44"/>
      <c r="C237" s="175"/>
      <c r="D237" s="39"/>
      <c r="E237" s="67"/>
      <c r="F237" s="68"/>
    </row>
    <row r="238" spans="1:6" ht="14.25" x14ac:dyDescent="0.2">
      <c r="A238" s="39" t="s">
        <v>6</v>
      </c>
      <c r="B238" s="44" t="s">
        <v>131</v>
      </c>
      <c r="C238" s="175" t="e">
        <f>#REF!+#REF!</f>
        <v>#REF!</v>
      </c>
      <c r="D238" s="8" t="s">
        <v>35</v>
      </c>
      <c r="E238" s="42">
        <f>E57</f>
        <v>2500</v>
      </c>
      <c r="F238" s="43" t="e">
        <f>C238*E238</f>
        <v>#REF!</v>
      </c>
    </row>
    <row r="239" spans="1:6" ht="12.6" customHeight="1" x14ac:dyDescent="0.2">
      <c r="A239" s="39"/>
      <c r="B239" s="44"/>
      <c r="C239" s="175"/>
      <c r="D239" s="39"/>
      <c r="E239" s="67"/>
      <c r="F239" s="68"/>
    </row>
    <row r="240" spans="1:6" ht="14.25" x14ac:dyDescent="0.2">
      <c r="A240" s="39" t="s">
        <v>7</v>
      </c>
      <c r="B240" s="40" t="s">
        <v>132</v>
      </c>
      <c r="C240" s="175" t="e">
        <f>#REF!</f>
        <v>#REF!</v>
      </c>
      <c r="D240" s="39" t="s">
        <v>35</v>
      </c>
      <c r="E240" s="42">
        <f>E57</f>
        <v>2500</v>
      </c>
      <c r="F240" s="43" t="e">
        <f>C240*E240</f>
        <v>#REF!</v>
      </c>
    </row>
    <row r="241" spans="1:6" ht="12.6" customHeight="1" x14ac:dyDescent="0.2">
      <c r="A241" s="39"/>
      <c r="B241" s="40"/>
      <c r="C241" s="175"/>
      <c r="D241" s="39"/>
      <c r="E241" s="68"/>
      <c r="F241" s="68"/>
    </row>
    <row r="242" spans="1:6" ht="14.25" x14ac:dyDescent="0.2">
      <c r="A242" s="39" t="s">
        <v>8</v>
      </c>
      <c r="B242" s="44" t="s">
        <v>133</v>
      </c>
      <c r="C242" s="175" t="e">
        <f>#REF!</f>
        <v>#REF!</v>
      </c>
      <c r="D242" s="39" t="s">
        <v>22</v>
      </c>
      <c r="E242" s="42">
        <f>E187</f>
        <v>450</v>
      </c>
      <c r="F242" s="43" t="e">
        <f>C242*E242</f>
        <v>#REF!</v>
      </c>
    </row>
    <row r="243" spans="1:6" ht="12.6" customHeight="1" x14ac:dyDescent="0.2">
      <c r="A243" s="39"/>
      <c r="B243" s="44"/>
      <c r="C243" s="175"/>
      <c r="D243" s="39"/>
      <c r="E243" s="42"/>
      <c r="F243" s="43"/>
    </row>
    <row r="244" spans="1:6" ht="14.25" x14ac:dyDescent="0.2">
      <c r="A244" s="39" t="s">
        <v>9</v>
      </c>
      <c r="B244" s="44" t="s">
        <v>507</v>
      </c>
      <c r="C244" s="175"/>
      <c r="D244" s="39" t="s">
        <v>22</v>
      </c>
      <c r="E244" s="42">
        <f>E242</f>
        <v>450</v>
      </c>
      <c r="F244" s="43">
        <f>C244*E244</f>
        <v>0</v>
      </c>
    </row>
    <row r="245" spans="1:6" ht="12.6" customHeight="1" x14ac:dyDescent="0.2">
      <c r="A245" s="39"/>
      <c r="B245" s="44"/>
      <c r="C245" s="26"/>
      <c r="D245" s="39"/>
      <c r="E245" s="42"/>
      <c r="F245" s="43"/>
    </row>
    <row r="246" spans="1:6" ht="14.25" x14ac:dyDescent="0.3">
      <c r="B246" s="9" t="s">
        <v>102</v>
      </c>
      <c r="C246" s="171"/>
    </row>
    <row r="247" spans="1:6" ht="14.25" x14ac:dyDescent="0.3">
      <c r="B247" s="48" t="s">
        <v>134</v>
      </c>
      <c r="C247" s="171"/>
    </row>
    <row r="248" spans="1:6" ht="12.6" customHeight="1" x14ac:dyDescent="0.3">
      <c r="C248" s="171"/>
    </row>
    <row r="249" spans="1:6" ht="14.25" x14ac:dyDescent="0.3">
      <c r="A249" s="8" t="s">
        <v>10</v>
      </c>
      <c r="B249" s="6" t="s">
        <v>135</v>
      </c>
      <c r="C249" s="171" t="e">
        <f>#REF!</f>
        <v>#REF!</v>
      </c>
      <c r="D249" s="8" t="s">
        <v>75</v>
      </c>
      <c r="E249" s="15">
        <f>E181</f>
        <v>368</v>
      </c>
      <c r="F249" s="15" t="e">
        <f>C249*E249</f>
        <v>#REF!</v>
      </c>
    </row>
    <row r="250" spans="1:6" ht="14.25" x14ac:dyDescent="0.3">
      <c r="C250" s="171"/>
    </row>
    <row r="251" spans="1:6" ht="14.25" x14ac:dyDescent="0.3">
      <c r="A251" s="8" t="s">
        <v>10</v>
      </c>
      <c r="B251" s="6" t="s">
        <v>106</v>
      </c>
      <c r="C251" s="171" t="e">
        <f>#REF!*0.6</f>
        <v>#REF!</v>
      </c>
      <c r="D251" s="8" t="s">
        <v>75</v>
      </c>
      <c r="E251" s="15">
        <f>E249</f>
        <v>368</v>
      </c>
      <c r="F251" s="15" t="e">
        <f>C251*E251</f>
        <v>#REF!</v>
      </c>
    </row>
    <row r="252" spans="1:6" ht="12.6" customHeight="1" x14ac:dyDescent="0.3">
      <c r="C252" s="171"/>
    </row>
    <row r="253" spans="1:6" ht="14.25" x14ac:dyDescent="0.3">
      <c r="A253" s="8" t="s">
        <v>11</v>
      </c>
      <c r="B253" s="6" t="s">
        <v>136</v>
      </c>
      <c r="C253" s="171" t="e">
        <f>#REF!*0.4</f>
        <v>#REF!</v>
      </c>
      <c r="D253" s="8" t="s">
        <v>75</v>
      </c>
      <c r="E253" s="15">
        <f>E251</f>
        <v>368</v>
      </c>
      <c r="F253" s="15" t="e">
        <f>C253*E253</f>
        <v>#REF!</v>
      </c>
    </row>
    <row r="254" spans="1:6" ht="12.6" customHeight="1" x14ac:dyDescent="0.3">
      <c r="C254" s="171"/>
    </row>
    <row r="255" spans="1:6" ht="14.25" x14ac:dyDescent="0.3">
      <c r="B255" s="9" t="s">
        <v>137</v>
      </c>
      <c r="C255" s="171"/>
    </row>
    <row r="256" spans="1:6" ht="14.25" x14ac:dyDescent="0.3">
      <c r="B256" s="69" t="s">
        <v>138</v>
      </c>
      <c r="C256" s="171"/>
    </row>
    <row r="257" spans="1:6" ht="12.6" customHeight="1" x14ac:dyDescent="0.3">
      <c r="C257" s="171"/>
    </row>
    <row r="258" spans="1:6" ht="14.25" x14ac:dyDescent="0.2">
      <c r="A258" s="39" t="s">
        <v>12</v>
      </c>
      <c r="B258" s="44" t="s">
        <v>131</v>
      </c>
      <c r="C258" s="181" t="e">
        <f>#REF!</f>
        <v>#REF!</v>
      </c>
      <c r="D258" s="39" t="s">
        <v>35</v>
      </c>
      <c r="E258" s="42">
        <v>35000</v>
      </c>
      <c r="F258" s="15" t="e">
        <f>C258*E258</f>
        <v>#REF!</v>
      </c>
    </row>
    <row r="259" spans="1:6" ht="12.6" customHeight="1" x14ac:dyDescent="0.2">
      <c r="A259" s="39"/>
      <c r="B259" s="44"/>
      <c r="C259" s="175"/>
      <c r="D259" s="39"/>
      <c r="E259" s="68"/>
      <c r="F259" s="68"/>
    </row>
    <row r="260" spans="1:6" ht="14.25" x14ac:dyDescent="0.2">
      <c r="A260" s="39" t="s">
        <v>13</v>
      </c>
      <c r="B260" s="44" t="s">
        <v>139</v>
      </c>
      <c r="C260" s="175" t="e">
        <f>#REF!</f>
        <v>#REF!</v>
      </c>
      <c r="D260" s="39" t="s">
        <v>35</v>
      </c>
      <c r="E260" s="42">
        <v>1050</v>
      </c>
      <c r="F260" s="15" t="e">
        <f>C260*E260</f>
        <v>#REF!</v>
      </c>
    </row>
    <row r="261" spans="1:6" ht="12.6" customHeight="1" x14ac:dyDescent="0.2">
      <c r="A261" s="39"/>
      <c r="B261" s="44"/>
      <c r="C261" s="175"/>
      <c r="D261" s="39"/>
      <c r="E261" s="12"/>
      <c r="F261" s="43"/>
    </row>
    <row r="262" spans="1:6" ht="14.25" x14ac:dyDescent="0.2">
      <c r="A262" s="39" t="s">
        <v>14</v>
      </c>
      <c r="B262" s="44" t="s">
        <v>140</v>
      </c>
      <c r="C262" s="175" t="e">
        <f>#REF!</f>
        <v>#REF!</v>
      </c>
      <c r="D262" s="39" t="s">
        <v>35</v>
      </c>
      <c r="E262" s="42">
        <v>525</v>
      </c>
      <c r="F262" s="15" t="e">
        <f>C262*E262</f>
        <v>#REF!</v>
      </c>
    </row>
    <row r="263" spans="1:6" ht="12.6" customHeight="1" x14ac:dyDescent="0.2">
      <c r="A263" s="39"/>
      <c r="B263" s="44"/>
      <c r="C263" s="175"/>
      <c r="D263" s="39"/>
      <c r="E263" s="68"/>
      <c r="F263" s="68"/>
    </row>
    <row r="264" spans="1:6" ht="14.25" x14ac:dyDescent="0.2">
      <c r="A264" s="39" t="s">
        <v>15</v>
      </c>
      <c r="B264" s="70" t="s">
        <v>141</v>
      </c>
      <c r="C264" s="175" t="e">
        <f>#REF!</f>
        <v>#REF!</v>
      </c>
      <c r="D264" s="39" t="s">
        <v>22</v>
      </c>
      <c r="E264" s="42">
        <v>300</v>
      </c>
      <c r="F264" s="15" t="e">
        <f>C264*E264</f>
        <v>#REF!</v>
      </c>
    </row>
    <row r="265" spans="1:6" ht="12.6" customHeight="1" x14ac:dyDescent="0.2">
      <c r="A265" s="39"/>
      <c r="B265" s="71"/>
      <c r="C265" s="187"/>
      <c r="D265" s="53"/>
      <c r="E265" s="72"/>
      <c r="F265" s="73"/>
    </row>
    <row r="266" spans="1:6" x14ac:dyDescent="0.2">
      <c r="B266" s="9" t="s">
        <v>142</v>
      </c>
    </row>
    <row r="267" spans="1:6" ht="12.6" customHeight="1" x14ac:dyDescent="0.2">
      <c r="B267" s="9"/>
    </row>
    <row r="268" spans="1:6" ht="14.25" x14ac:dyDescent="0.2">
      <c r="A268" s="8" t="s">
        <v>16</v>
      </c>
      <c r="B268" s="6" t="s">
        <v>143</v>
      </c>
      <c r="C268" s="181" t="e">
        <f>#REF!</f>
        <v>#REF!</v>
      </c>
      <c r="D268" s="8" t="s">
        <v>35</v>
      </c>
      <c r="E268" s="15">
        <v>1200</v>
      </c>
      <c r="F268" s="15" t="e">
        <f>C268*E268</f>
        <v>#REF!</v>
      </c>
    </row>
    <row r="269" spans="1:6" ht="12.6" customHeight="1" x14ac:dyDescent="0.2">
      <c r="C269" s="175"/>
    </row>
    <row r="270" spans="1:6" ht="14.25" x14ac:dyDescent="0.2">
      <c r="A270" s="8" t="s">
        <v>17</v>
      </c>
      <c r="B270" s="6" t="s">
        <v>144</v>
      </c>
      <c r="C270" s="175" t="e">
        <f>#REF!</f>
        <v>#REF!</v>
      </c>
      <c r="D270" s="8" t="s">
        <v>22</v>
      </c>
      <c r="E270" s="15">
        <f>E268</f>
        <v>1200</v>
      </c>
      <c r="F270" s="15" t="e">
        <f>C270*E270</f>
        <v>#REF!</v>
      </c>
    </row>
    <row r="271" spans="1:6" ht="12.6" customHeight="1" x14ac:dyDescent="0.2">
      <c r="C271" s="175"/>
    </row>
    <row r="272" spans="1:6" ht="14.25" x14ac:dyDescent="0.2">
      <c r="A272" s="8" t="s">
        <v>26</v>
      </c>
      <c r="B272" s="6" t="s">
        <v>145</v>
      </c>
      <c r="C272" s="175" t="e">
        <f>#REF!</f>
        <v>#REF!</v>
      </c>
      <c r="D272" s="8" t="s">
        <v>22</v>
      </c>
      <c r="E272" s="15">
        <f>E270</f>
        <v>1200</v>
      </c>
      <c r="F272" s="15" t="e">
        <f>C272*E272</f>
        <v>#REF!</v>
      </c>
    </row>
    <row r="273" spans="1:6" ht="12.6" customHeight="1" x14ac:dyDescent="0.2">
      <c r="C273" s="175"/>
    </row>
    <row r="274" spans="1:6" ht="14.25" x14ac:dyDescent="0.2">
      <c r="A274" s="8" t="s">
        <v>27</v>
      </c>
      <c r="B274" s="6" t="s">
        <v>146</v>
      </c>
      <c r="C274" s="175" t="e">
        <f>#REF!</f>
        <v>#REF!</v>
      </c>
      <c r="D274" s="8" t="s">
        <v>22</v>
      </c>
      <c r="E274" s="15">
        <f>E270</f>
        <v>1200</v>
      </c>
      <c r="F274" s="15" t="e">
        <f>C274*E274</f>
        <v>#REF!</v>
      </c>
    </row>
    <row r="275" spans="1:6" ht="14.25" x14ac:dyDescent="0.3">
      <c r="C275" s="171"/>
    </row>
    <row r="276" spans="1:6" ht="13.5" x14ac:dyDescent="0.25">
      <c r="B276" s="3" t="s">
        <v>66</v>
      </c>
      <c r="C276" s="185"/>
      <c r="E276" s="10" t="s">
        <v>15</v>
      </c>
      <c r="F276" s="11" t="e">
        <f>SUM(F224:F275)</f>
        <v>#REF!</v>
      </c>
    </row>
    <row r="277" spans="1:6" ht="14.25" x14ac:dyDescent="0.3">
      <c r="B277" s="9" t="s">
        <v>147</v>
      </c>
      <c r="C277" s="171"/>
    </row>
    <row r="278" spans="1:6" ht="14.25" x14ac:dyDescent="0.3">
      <c r="C278" s="171"/>
    </row>
    <row r="279" spans="1:6" ht="18" customHeight="1" x14ac:dyDescent="0.3">
      <c r="B279" s="48" t="s">
        <v>148</v>
      </c>
      <c r="C279" s="171"/>
    </row>
    <row r="280" spans="1:6" ht="14.25" x14ac:dyDescent="0.3">
      <c r="C280" s="171"/>
    </row>
    <row r="281" spans="1:6" ht="14.25" x14ac:dyDescent="0.3">
      <c r="A281" s="8" t="s">
        <v>2</v>
      </c>
      <c r="B281" s="74" t="s">
        <v>149</v>
      </c>
      <c r="C281" s="171" t="e">
        <f>#REF!</f>
        <v>#REF!</v>
      </c>
      <c r="D281" s="8" t="s">
        <v>35</v>
      </c>
      <c r="E281" s="15">
        <v>1000</v>
      </c>
      <c r="F281" s="15" t="e">
        <f>C281*E281</f>
        <v>#REF!</v>
      </c>
    </row>
    <row r="282" spans="1:6" ht="14.25" x14ac:dyDescent="0.3">
      <c r="B282" s="74"/>
      <c r="C282" s="171"/>
    </row>
    <row r="283" spans="1:6" ht="14.25" x14ac:dyDescent="0.3">
      <c r="A283" s="8" t="s">
        <v>4</v>
      </c>
      <c r="B283" s="44" t="s">
        <v>38</v>
      </c>
      <c r="C283" s="171" t="e">
        <f>#REF!</f>
        <v>#REF!</v>
      </c>
      <c r="D283" s="8" t="s">
        <v>35</v>
      </c>
      <c r="E283" s="15">
        <f>E281</f>
        <v>1000</v>
      </c>
      <c r="F283" s="15" t="e">
        <f>C283*E283</f>
        <v>#REF!</v>
      </c>
    </row>
    <row r="284" spans="1:6" ht="14.25" x14ac:dyDescent="0.3">
      <c r="B284" s="44"/>
      <c r="C284" s="171"/>
    </row>
    <row r="285" spans="1:6" ht="14.25" x14ac:dyDescent="0.3">
      <c r="A285" s="8" t="s">
        <v>5</v>
      </c>
      <c r="B285" s="44" t="s">
        <v>37</v>
      </c>
      <c r="C285" s="171" t="e">
        <f>#REF!</f>
        <v>#REF!</v>
      </c>
      <c r="D285" s="8" t="s">
        <v>22</v>
      </c>
      <c r="E285" s="15">
        <f>E283*0.3</f>
        <v>300</v>
      </c>
      <c r="F285" s="15" t="e">
        <f>C285*E285</f>
        <v>#REF!</v>
      </c>
    </row>
    <row r="287" spans="1:6" x14ac:dyDescent="0.2">
      <c r="A287" s="39"/>
      <c r="B287" s="69" t="s">
        <v>150</v>
      </c>
      <c r="C287" s="189"/>
      <c r="D287" s="39"/>
      <c r="E287" s="19"/>
      <c r="F287" s="19"/>
    </row>
    <row r="288" spans="1:6" x14ac:dyDescent="0.2">
      <c r="A288" s="39"/>
      <c r="B288" s="12"/>
      <c r="C288" s="189"/>
      <c r="D288" s="39"/>
      <c r="E288" s="19"/>
      <c r="F288" s="19"/>
    </row>
    <row r="289" spans="1:6" ht="24" x14ac:dyDescent="0.2">
      <c r="A289" s="39"/>
      <c r="B289" s="75" t="s">
        <v>151</v>
      </c>
      <c r="C289" s="189"/>
      <c r="D289" s="39"/>
      <c r="E289" s="19"/>
      <c r="F289" s="19"/>
    </row>
    <row r="290" spans="1:6" x14ac:dyDescent="0.2">
      <c r="A290" s="39"/>
      <c r="B290" s="12"/>
      <c r="C290" s="189"/>
      <c r="D290" s="39"/>
      <c r="E290" s="19"/>
      <c r="F290" s="19"/>
    </row>
    <row r="291" spans="1:6" x14ac:dyDescent="0.2">
      <c r="A291" s="8" t="s">
        <v>6</v>
      </c>
      <c r="B291" s="74" t="s">
        <v>149</v>
      </c>
      <c r="C291" s="41" t="e">
        <f>#REF!</f>
        <v>#REF!</v>
      </c>
      <c r="D291" s="8" t="s">
        <v>35</v>
      </c>
      <c r="E291" s="76">
        <v>500</v>
      </c>
      <c r="F291" s="15" t="e">
        <f>C291*E291</f>
        <v>#REF!</v>
      </c>
    </row>
    <row r="292" spans="1:6" x14ac:dyDescent="0.2">
      <c r="B292" s="74"/>
    </row>
    <row r="293" spans="1:6" x14ac:dyDescent="0.2">
      <c r="A293" s="8" t="s">
        <v>7</v>
      </c>
      <c r="B293" s="44" t="s">
        <v>38</v>
      </c>
      <c r="C293" s="41" t="e">
        <f>C283</f>
        <v>#REF!</v>
      </c>
      <c r="D293" s="8" t="s">
        <v>35</v>
      </c>
      <c r="E293" s="15">
        <f>E291</f>
        <v>500</v>
      </c>
      <c r="F293" s="15" t="e">
        <f>C293*E293</f>
        <v>#REF!</v>
      </c>
    </row>
    <row r="294" spans="1:6" x14ac:dyDescent="0.2">
      <c r="B294" s="44"/>
    </row>
    <row r="295" spans="1:6" x14ac:dyDescent="0.2">
      <c r="A295" s="8" t="s">
        <v>8</v>
      </c>
      <c r="B295" s="44" t="s">
        <v>37</v>
      </c>
      <c r="C295" s="41" t="e">
        <f>C285</f>
        <v>#REF!</v>
      </c>
      <c r="D295" s="8" t="s">
        <v>22</v>
      </c>
      <c r="E295" s="15">
        <f>E291*0.3</f>
        <v>150</v>
      </c>
      <c r="F295" s="15" t="e">
        <f>C295*E295</f>
        <v>#REF!</v>
      </c>
    </row>
    <row r="297" spans="1:6" x14ac:dyDescent="0.2">
      <c r="B297" s="9" t="s">
        <v>152</v>
      </c>
    </row>
    <row r="299" spans="1:6" x14ac:dyDescent="0.2">
      <c r="B299" s="48" t="s">
        <v>153</v>
      </c>
    </row>
    <row r="300" spans="1:6" x14ac:dyDescent="0.2">
      <c r="B300" s="48" t="s">
        <v>154</v>
      </c>
    </row>
    <row r="301" spans="1:6" x14ac:dyDescent="0.2">
      <c r="B301" s="48" t="s">
        <v>155</v>
      </c>
    </row>
    <row r="303" spans="1:6" x14ac:dyDescent="0.2">
      <c r="A303" s="8" t="s">
        <v>9</v>
      </c>
      <c r="B303" s="6" t="s">
        <v>156</v>
      </c>
      <c r="C303" s="41" t="e">
        <f>#REF!+#REF!+#REF!</f>
        <v>#REF!</v>
      </c>
      <c r="D303" s="8" t="s">
        <v>35</v>
      </c>
      <c r="E303" s="15">
        <v>750</v>
      </c>
      <c r="F303" s="15" t="e">
        <f>C303*E303</f>
        <v>#REF!</v>
      </c>
    </row>
    <row r="305" spans="1:6" x14ac:dyDescent="0.2">
      <c r="A305" s="8" t="s">
        <v>10</v>
      </c>
      <c r="B305" s="6" t="s">
        <v>157</v>
      </c>
      <c r="D305" s="8" t="s">
        <v>22</v>
      </c>
      <c r="E305" s="77">
        <f>E303*0.3</f>
        <v>225</v>
      </c>
      <c r="F305" s="15">
        <f>C305*E305</f>
        <v>0</v>
      </c>
    </row>
    <row r="307" spans="1:6" x14ac:dyDescent="0.2">
      <c r="B307" s="3" t="s">
        <v>158</v>
      </c>
      <c r="C307" s="51"/>
      <c r="E307" s="10" t="s">
        <v>15</v>
      </c>
      <c r="F307" s="11" t="e">
        <f>SUM(F280:F306)</f>
        <v>#REF!</v>
      </c>
    </row>
    <row r="309" spans="1:6" x14ac:dyDescent="0.2">
      <c r="B309" s="48" t="s">
        <v>92</v>
      </c>
    </row>
    <row r="311" spans="1:6" x14ac:dyDescent="0.2">
      <c r="B311" s="52" t="s">
        <v>159</v>
      </c>
      <c r="E311" s="15" t="e">
        <f>F276</f>
        <v>#REF!</v>
      </c>
    </row>
    <row r="312" spans="1:6" x14ac:dyDescent="0.2">
      <c r="B312" s="52"/>
    </row>
    <row r="313" spans="1:6" x14ac:dyDescent="0.2">
      <c r="B313" s="52" t="s">
        <v>160</v>
      </c>
      <c r="E313" s="15" t="e">
        <f>F307</f>
        <v>#REF!</v>
      </c>
      <c r="F313" s="78"/>
    </row>
    <row r="327" spans="1:6" x14ac:dyDescent="0.2">
      <c r="B327" s="9" t="s">
        <v>161</v>
      </c>
    </row>
    <row r="328" spans="1:6" x14ac:dyDescent="0.2">
      <c r="B328" s="3" t="s">
        <v>95</v>
      </c>
      <c r="E328" s="10" t="s">
        <v>15</v>
      </c>
      <c r="F328" s="11" t="e">
        <f>SUM(E310:E315)</f>
        <v>#REF!</v>
      </c>
    </row>
    <row r="329" spans="1:6" x14ac:dyDescent="0.2">
      <c r="B329" s="9" t="s">
        <v>162</v>
      </c>
    </row>
    <row r="330" spans="1:6" ht="12" customHeight="1" x14ac:dyDescent="0.2"/>
    <row r="331" spans="1:6" x14ac:dyDescent="0.2">
      <c r="B331" s="9" t="s">
        <v>163</v>
      </c>
    </row>
    <row r="332" spans="1:6" ht="12" customHeight="1" x14ac:dyDescent="0.2"/>
    <row r="333" spans="1:6" x14ac:dyDescent="0.2">
      <c r="B333" s="9" t="s">
        <v>164</v>
      </c>
    </row>
    <row r="334" spans="1:6" x14ac:dyDescent="0.2">
      <c r="B334" s="48" t="s">
        <v>165</v>
      </c>
    </row>
    <row r="335" spans="1:6" ht="12" customHeight="1" x14ac:dyDescent="0.2"/>
    <row r="336" spans="1:6" ht="14.25" x14ac:dyDescent="0.3">
      <c r="A336" s="8" t="s">
        <v>2</v>
      </c>
      <c r="B336" s="6" t="s">
        <v>166</v>
      </c>
      <c r="C336" s="171" t="e">
        <f>#REF!</f>
        <v>#REF!</v>
      </c>
      <c r="D336" s="8" t="s">
        <v>47</v>
      </c>
      <c r="E336" s="15">
        <f>E228</f>
        <v>30000</v>
      </c>
      <c r="F336" s="15" t="e">
        <f>C336*E336</f>
        <v>#REF!</v>
      </c>
    </row>
    <row r="338" spans="1:6" x14ac:dyDescent="0.2">
      <c r="A338" s="8" t="s">
        <v>4</v>
      </c>
      <c r="B338" s="6" t="s">
        <v>167</v>
      </c>
      <c r="C338" s="41">
        <v>0</v>
      </c>
      <c r="D338" s="8" t="s">
        <v>47</v>
      </c>
      <c r="E338" s="15">
        <f>E336</f>
        <v>30000</v>
      </c>
      <c r="F338" s="15">
        <f>C338*E338</f>
        <v>0</v>
      </c>
    </row>
    <row r="340" spans="1:6" x14ac:dyDescent="0.2">
      <c r="B340" s="6" t="s">
        <v>24</v>
      </c>
      <c r="C340" s="41">
        <v>0</v>
      </c>
      <c r="D340" s="8" t="s">
        <v>47</v>
      </c>
      <c r="E340" s="15">
        <f>E338</f>
        <v>30000</v>
      </c>
      <c r="F340" s="15">
        <f>C340*E340</f>
        <v>0</v>
      </c>
    </row>
    <row r="342" spans="1:6" x14ac:dyDescent="0.2">
      <c r="B342" s="6" t="s">
        <v>486</v>
      </c>
      <c r="C342" s="41">
        <v>0</v>
      </c>
      <c r="D342" s="8" t="s">
        <v>47</v>
      </c>
      <c r="E342" s="15">
        <f>E340</f>
        <v>30000</v>
      </c>
      <c r="F342" s="15">
        <f>C342*E342</f>
        <v>0</v>
      </c>
    </row>
    <row r="344" spans="1:6" x14ac:dyDescent="0.2">
      <c r="B344" s="9" t="s">
        <v>168</v>
      </c>
    </row>
    <row r="345" spans="1:6" x14ac:dyDescent="0.2">
      <c r="B345" s="56" t="s">
        <v>85</v>
      </c>
    </row>
    <row r="346" spans="1:6" x14ac:dyDescent="0.2">
      <c r="B346" s="56" t="s">
        <v>86</v>
      </c>
    </row>
    <row r="347" spans="1:6" ht="12" customHeight="1" x14ac:dyDescent="0.2">
      <c r="B347" s="12"/>
    </row>
    <row r="348" spans="1:6" x14ac:dyDescent="0.2">
      <c r="A348" s="8" t="s">
        <v>5</v>
      </c>
      <c r="B348" s="12" t="s">
        <v>169</v>
      </c>
      <c r="C348" s="41" t="e">
        <f>#REF!</f>
        <v>#REF!</v>
      </c>
      <c r="D348" s="8" t="s">
        <v>35</v>
      </c>
      <c r="E348" s="15">
        <v>3650</v>
      </c>
      <c r="F348" s="15" t="e">
        <f>C348*E348</f>
        <v>#REF!</v>
      </c>
    </row>
    <row r="349" spans="1:6" ht="12" customHeight="1" x14ac:dyDescent="0.2">
      <c r="B349" s="12"/>
    </row>
    <row r="350" spans="1:6" x14ac:dyDescent="0.2">
      <c r="B350" s="9" t="s">
        <v>67</v>
      </c>
    </row>
    <row r="351" spans="1:6" x14ac:dyDescent="0.2">
      <c r="B351" s="48" t="s">
        <v>116</v>
      </c>
    </row>
    <row r="352" spans="1:6" ht="12" customHeight="1" x14ac:dyDescent="0.2"/>
    <row r="353" spans="1:6" x14ac:dyDescent="0.2">
      <c r="A353" s="8" t="s">
        <v>6</v>
      </c>
      <c r="B353" s="6" t="s">
        <v>170</v>
      </c>
      <c r="D353" s="8" t="s">
        <v>35</v>
      </c>
      <c r="E353" s="15">
        <v>2900</v>
      </c>
      <c r="F353" s="15">
        <f>C353*E353</f>
        <v>0</v>
      </c>
    </row>
    <row r="354" spans="1:6" ht="12" customHeight="1" x14ac:dyDescent="0.2"/>
    <row r="355" spans="1:6" x14ac:dyDescent="0.2">
      <c r="A355" s="8" t="s">
        <v>7</v>
      </c>
      <c r="B355" s="6" t="s">
        <v>34</v>
      </c>
      <c r="C355" s="41" t="e">
        <f>#REF!</f>
        <v>#REF!</v>
      </c>
      <c r="D355" s="8" t="s">
        <v>35</v>
      </c>
      <c r="E355" s="15">
        <f>E240</f>
        <v>2500</v>
      </c>
      <c r="F355" s="15" t="e">
        <f>C355*E355</f>
        <v>#REF!</v>
      </c>
    </row>
    <row r="356" spans="1:6" ht="12" customHeight="1" x14ac:dyDescent="0.2"/>
    <row r="357" spans="1:6" x14ac:dyDescent="0.2">
      <c r="A357" s="8" t="s">
        <v>7</v>
      </c>
      <c r="B357" s="6" t="s">
        <v>24</v>
      </c>
      <c r="D357" s="8" t="s">
        <v>35</v>
      </c>
      <c r="E357" s="15">
        <f>E242</f>
        <v>450</v>
      </c>
      <c r="F357" s="15">
        <f>C357*E357</f>
        <v>0</v>
      </c>
    </row>
    <row r="358" spans="1:6" ht="12" customHeight="1" x14ac:dyDescent="0.2"/>
    <row r="359" spans="1:6" x14ac:dyDescent="0.2">
      <c r="A359" s="8" t="s">
        <v>8</v>
      </c>
      <c r="B359" s="6" t="s">
        <v>171</v>
      </c>
      <c r="D359" s="8" t="s">
        <v>22</v>
      </c>
      <c r="E359" s="15">
        <f>E353*0.15</f>
        <v>435</v>
      </c>
      <c r="F359" s="15">
        <f>C359*E359</f>
        <v>0</v>
      </c>
    </row>
    <row r="361" spans="1:6" x14ac:dyDescent="0.2">
      <c r="A361" s="8" t="s">
        <v>9</v>
      </c>
      <c r="B361" s="6" t="s">
        <v>172</v>
      </c>
      <c r="D361" s="8" t="s">
        <v>22</v>
      </c>
      <c r="E361" s="15">
        <f>E359</f>
        <v>435</v>
      </c>
      <c r="F361" s="15">
        <f>C361*E361</f>
        <v>0</v>
      </c>
    </row>
    <row r="362" spans="1:6" ht="12" customHeight="1" x14ac:dyDescent="0.2"/>
    <row r="363" spans="1:6" x14ac:dyDescent="0.2">
      <c r="B363" s="9" t="s">
        <v>102</v>
      </c>
    </row>
    <row r="364" spans="1:6" x14ac:dyDescent="0.2">
      <c r="B364" s="48" t="s">
        <v>103</v>
      </c>
    </row>
    <row r="365" spans="1:6" ht="12" customHeight="1" x14ac:dyDescent="0.2"/>
    <row r="366" spans="1:6" x14ac:dyDescent="0.2">
      <c r="A366" s="8" t="s">
        <v>10</v>
      </c>
      <c r="B366" s="6" t="s">
        <v>173</v>
      </c>
      <c r="C366" s="41" t="e">
        <f>#REF!</f>
        <v>#REF!</v>
      </c>
      <c r="D366" s="8" t="s">
        <v>75</v>
      </c>
      <c r="E366" s="15">
        <f>E253</f>
        <v>368</v>
      </c>
      <c r="F366" s="15" t="e">
        <f>C366*E366</f>
        <v>#REF!</v>
      </c>
    </row>
    <row r="368" spans="1:6" x14ac:dyDescent="0.2">
      <c r="A368" s="8" t="s">
        <v>11</v>
      </c>
      <c r="B368" s="6" t="s">
        <v>484</v>
      </c>
      <c r="C368" s="41" t="e">
        <f>#REF!</f>
        <v>#REF!</v>
      </c>
      <c r="D368" s="8" t="s">
        <v>75</v>
      </c>
      <c r="E368" s="15">
        <f>E251</f>
        <v>368</v>
      </c>
      <c r="F368" s="15" t="e">
        <f>C368*E368</f>
        <v>#REF!</v>
      </c>
    </row>
    <row r="370" spans="1:8" x14ac:dyDescent="0.2">
      <c r="A370" s="8" t="s">
        <v>11</v>
      </c>
      <c r="B370" s="6" t="s">
        <v>174</v>
      </c>
      <c r="C370" s="41" t="e">
        <f>#REF!</f>
        <v>#REF!</v>
      </c>
      <c r="D370" s="8" t="s">
        <v>75</v>
      </c>
      <c r="E370" s="15">
        <f>E253</f>
        <v>368</v>
      </c>
      <c r="F370" s="15" t="e">
        <f>C370*E370</f>
        <v>#REF!</v>
      </c>
    </row>
    <row r="372" spans="1:8" s="20" customFormat="1" x14ac:dyDescent="0.2">
      <c r="A372" s="23"/>
      <c r="B372" s="79" t="s">
        <v>175</v>
      </c>
      <c r="C372" s="572"/>
      <c r="D372" s="572"/>
      <c r="E372" s="572"/>
      <c r="F372" s="80"/>
      <c r="H372" s="81"/>
    </row>
    <row r="373" spans="1:8" s="20" customFormat="1" x14ac:dyDescent="0.2">
      <c r="A373" s="23"/>
      <c r="B373" s="82"/>
      <c r="C373" s="83"/>
      <c r="D373" s="83"/>
      <c r="E373" s="80"/>
      <c r="F373" s="80"/>
      <c r="H373" s="81"/>
    </row>
    <row r="374" spans="1:8" s="20" customFormat="1" ht="69.95" customHeight="1" x14ac:dyDescent="0.2">
      <c r="A374" s="23"/>
      <c r="B374" s="84" t="s">
        <v>176</v>
      </c>
      <c r="C374" s="83"/>
      <c r="D374" s="83"/>
      <c r="E374" s="80"/>
      <c r="F374" s="80"/>
      <c r="H374" s="81"/>
    </row>
    <row r="375" spans="1:8" s="20" customFormat="1" x14ac:dyDescent="0.2">
      <c r="A375" s="23"/>
      <c r="B375" s="82"/>
      <c r="C375" s="83"/>
      <c r="D375" s="83"/>
      <c r="E375" s="80"/>
      <c r="F375" s="80"/>
      <c r="H375" s="81"/>
    </row>
    <row r="376" spans="1:8" s="20" customFormat="1" ht="14.25" x14ac:dyDescent="0.2">
      <c r="A376" s="23" t="s">
        <v>12</v>
      </c>
      <c r="B376" s="85" t="s">
        <v>177</v>
      </c>
      <c r="C376" s="176" t="e">
        <f>#REF!</f>
        <v>#REF!</v>
      </c>
      <c r="D376" s="83" t="s">
        <v>35</v>
      </c>
      <c r="E376" s="86">
        <v>3950</v>
      </c>
      <c r="F376" s="86" t="e">
        <f>C376*E376</f>
        <v>#REF!</v>
      </c>
      <c r="H376" s="81"/>
    </row>
    <row r="377" spans="1:8" s="20" customFormat="1" ht="14.25" x14ac:dyDescent="0.2">
      <c r="A377" s="23"/>
      <c r="B377" s="87"/>
      <c r="C377" s="176"/>
      <c r="D377" s="83"/>
      <c r="E377" s="86"/>
      <c r="F377" s="86"/>
      <c r="H377" s="81"/>
    </row>
    <row r="378" spans="1:8" s="20" customFormat="1" ht="14.25" x14ac:dyDescent="0.2">
      <c r="A378" s="23" t="s">
        <v>13</v>
      </c>
      <c r="B378" s="87" t="s">
        <v>178</v>
      </c>
      <c r="C378" s="176" t="e">
        <f>#REF!</f>
        <v>#REF!</v>
      </c>
      <c r="D378" s="39" t="s">
        <v>22</v>
      </c>
      <c r="E378" s="86">
        <f>E376*0.1</f>
        <v>395</v>
      </c>
      <c r="F378" s="86" t="e">
        <f>C378*E378</f>
        <v>#REF!</v>
      </c>
      <c r="H378" s="81"/>
    </row>
    <row r="379" spans="1:8" s="20" customFormat="1" ht="14.25" x14ac:dyDescent="0.2">
      <c r="A379" s="23"/>
      <c r="B379" s="87"/>
      <c r="C379" s="176"/>
      <c r="D379" s="83"/>
      <c r="E379" s="86"/>
      <c r="F379" s="86"/>
      <c r="H379" s="81"/>
    </row>
    <row r="380" spans="1:8" s="20" customFormat="1" ht="14.25" x14ac:dyDescent="0.2">
      <c r="A380" s="23" t="s">
        <v>14</v>
      </c>
      <c r="B380" s="87" t="s">
        <v>179</v>
      </c>
      <c r="C380" s="176" t="e">
        <f>#REF!</f>
        <v>#REF!</v>
      </c>
      <c r="D380" s="83" t="s">
        <v>22</v>
      </c>
      <c r="E380" s="86">
        <f>E378</f>
        <v>395</v>
      </c>
      <c r="F380" s="86" t="e">
        <f>C380*E380</f>
        <v>#REF!</v>
      </c>
      <c r="H380" s="81"/>
    </row>
    <row r="381" spans="1:8" s="20" customFormat="1" x14ac:dyDescent="0.2">
      <c r="A381" s="23"/>
      <c r="B381" s="87"/>
      <c r="C381" s="83"/>
      <c r="D381" s="83"/>
      <c r="E381" s="80"/>
      <c r="F381" s="80"/>
      <c r="H381" s="81"/>
    </row>
    <row r="382" spans="1:8" x14ac:dyDescent="0.2">
      <c r="A382" s="39"/>
      <c r="B382" s="71" t="s">
        <v>180</v>
      </c>
      <c r="C382" s="189"/>
      <c r="D382" s="39"/>
      <c r="E382" s="88"/>
      <c r="F382" s="89"/>
    </row>
    <row r="383" spans="1:8" x14ac:dyDescent="0.2">
      <c r="A383" s="39"/>
      <c r="B383" s="90" t="s">
        <v>181</v>
      </c>
      <c r="C383" s="189"/>
      <c r="D383" s="39"/>
      <c r="E383" s="88"/>
      <c r="F383" s="89"/>
    </row>
    <row r="384" spans="1:8" x14ac:dyDescent="0.2">
      <c r="A384" s="39"/>
      <c r="B384" s="44"/>
      <c r="C384" s="189"/>
      <c r="D384" s="39"/>
      <c r="E384" s="88"/>
      <c r="F384" s="89"/>
    </row>
    <row r="385" spans="1:15" x14ac:dyDescent="0.2">
      <c r="A385" s="39" t="s">
        <v>15</v>
      </c>
      <c r="B385" s="44" t="s">
        <v>182</v>
      </c>
      <c r="D385" s="39" t="s">
        <v>35</v>
      </c>
      <c r="E385" s="88">
        <v>4000</v>
      </c>
      <c r="F385" s="15">
        <f>C385*E385</f>
        <v>0</v>
      </c>
    </row>
    <row r="386" spans="1:15" x14ac:dyDescent="0.2">
      <c r="A386" s="39"/>
      <c r="B386" s="44"/>
      <c r="D386" s="39"/>
      <c r="E386" s="88"/>
    </row>
    <row r="387" spans="1:15" x14ac:dyDescent="0.2">
      <c r="A387" s="39" t="s">
        <v>16</v>
      </c>
      <c r="B387" s="44" t="s">
        <v>183</v>
      </c>
      <c r="D387" s="39" t="s">
        <v>35</v>
      </c>
      <c r="E387" s="88">
        <f>E385</f>
        <v>4000</v>
      </c>
      <c r="F387" s="15">
        <f>C387*E387</f>
        <v>0</v>
      </c>
    </row>
    <row r="388" spans="1:15" x14ac:dyDescent="0.2">
      <c r="A388" s="39"/>
      <c r="B388" s="44"/>
      <c r="C388" s="189"/>
      <c r="D388" s="39"/>
      <c r="E388" s="88"/>
      <c r="F388" s="89"/>
    </row>
    <row r="389" spans="1:15" x14ac:dyDescent="0.2">
      <c r="A389" s="39" t="s">
        <v>17</v>
      </c>
      <c r="B389" s="44" t="s">
        <v>184</v>
      </c>
      <c r="D389" s="39" t="s">
        <v>185</v>
      </c>
      <c r="E389" s="88">
        <v>1500</v>
      </c>
      <c r="F389" s="15">
        <f>C389*E389</f>
        <v>0</v>
      </c>
    </row>
    <row r="390" spans="1:15" x14ac:dyDescent="0.2">
      <c r="A390" s="39"/>
      <c r="B390" s="44"/>
      <c r="C390" s="189"/>
      <c r="D390" s="39"/>
      <c r="E390" s="88"/>
      <c r="F390" s="89"/>
    </row>
    <row r="391" spans="1:15" x14ac:dyDescent="0.2">
      <c r="A391" s="39"/>
      <c r="B391" s="44"/>
      <c r="C391" s="189"/>
      <c r="D391" s="39"/>
      <c r="E391" s="88"/>
      <c r="F391" s="89"/>
    </row>
    <row r="392" spans="1:15" x14ac:dyDescent="0.2">
      <c r="A392" s="39"/>
      <c r="B392" s="44"/>
      <c r="C392" s="189"/>
      <c r="D392" s="39"/>
      <c r="E392" s="88"/>
      <c r="F392" s="89"/>
    </row>
    <row r="393" spans="1:15" x14ac:dyDescent="0.2">
      <c r="A393" s="39"/>
      <c r="B393" s="44"/>
      <c r="C393" s="189"/>
      <c r="D393" s="39"/>
      <c r="E393" s="88"/>
      <c r="F393" s="89"/>
    </row>
    <row r="394" spans="1:15" x14ac:dyDescent="0.2">
      <c r="A394" s="39"/>
      <c r="B394" s="44"/>
      <c r="C394" s="189"/>
      <c r="D394" s="39"/>
      <c r="E394" s="88"/>
      <c r="F394" s="89"/>
    </row>
    <row r="395" spans="1:15" x14ac:dyDescent="0.2">
      <c r="B395" s="3" t="s">
        <v>66</v>
      </c>
      <c r="C395" s="51"/>
      <c r="E395" s="10" t="s">
        <v>15</v>
      </c>
      <c r="F395" s="11" t="e">
        <f>SUM(F333:F390)</f>
        <v>#REF!</v>
      </c>
    </row>
    <row r="396" spans="1:15" x14ac:dyDescent="0.2">
      <c r="B396" s="9" t="s">
        <v>163</v>
      </c>
      <c r="H396" s="20"/>
      <c r="I396" s="20"/>
      <c r="J396" s="20"/>
      <c r="K396" s="20"/>
      <c r="L396" s="20"/>
      <c r="M396" s="20"/>
      <c r="N396" s="152"/>
      <c r="O396" s="20"/>
    </row>
    <row r="397" spans="1:15" ht="12" customHeight="1" x14ac:dyDescent="0.2">
      <c r="H397" s="20"/>
      <c r="I397" s="20"/>
      <c r="J397" s="20"/>
      <c r="K397" s="20"/>
      <c r="L397" s="20"/>
      <c r="M397" s="20"/>
      <c r="N397" s="152"/>
      <c r="O397" s="20"/>
    </row>
    <row r="398" spans="1:15" s="20" customFormat="1" x14ac:dyDescent="0.2">
      <c r="A398" s="16"/>
      <c r="B398" s="91" t="s">
        <v>186</v>
      </c>
      <c r="C398" s="16"/>
      <c r="D398" s="16"/>
      <c r="E398" s="92"/>
      <c r="F398" s="93"/>
      <c r="N398" s="152"/>
    </row>
    <row r="399" spans="1:15" s="20" customFormat="1" ht="12" customHeight="1" x14ac:dyDescent="0.2">
      <c r="A399" s="16"/>
      <c r="B399" s="21"/>
      <c r="C399" s="16"/>
      <c r="D399" s="16"/>
      <c r="E399" s="92"/>
      <c r="F399" s="93"/>
      <c r="N399" s="152"/>
    </row>
    <row r="400" spans="1:15" s="20" customFormat="1" ht="12.95" customHeight="1" x14ac:dyDescent="0.2">
      <c r="A400" s="16"/>
      <c r="B400" s="94" t="s">
        <v>187</v>
      </c>
      <c r="C400" s="16"/>
      <c r="D400" s="16"/>
      <c r="E400" s="92"/>
      <c r="F400" s="93"/>
      <c r="H400" s="95"/>
      <c r="N400" s="152"/>
    </row>
    <row r="401" spans="1:15" s="20" customFormat="1" x14ac:dyDescent="0.2">
      <c r="A401" s="16"/>
      <c r="B401" s="21"/>
      <c r="C401" s="16"/>
      <c r="D401" s="16"/>
      <c r="E401" s="92"/>
      <c r="F401" s="93"/>
      <c r="N401" s="152"/>
    </row>
    <row r="402" spans="1:15" s="20" customFormat="1" ht="14.25" x14ac:dyDescent="0.2">
      <c r="A402" s="16" t="s">
        <v>2</v>
      </c>
      <c r="B402" s="21" t="s">
        <v>188</v>
      </c>
      <c r="C402" s="7"/>
      <c r="D402" s="16" t="s">
        <v>22</v>
      </c>
      <c r="E402" s="96">
        <v>500</v>
      </c>
      <c r="F402" s="97">
        <f>C402*E402</f>
        <v>0</v>
      </c>
      <c r="G402" s="98"/>
      <c r="H402" s="95"/>
      <c r="N402" s="152"/>
    </row>
    <row r="403" spans="1:15" s="20" customFormat="1" ht="14.25" x14ac:dyDescent="0.2">
      <c r="A403" s="16"/>
      <c r="B403" s="21"/>
      <c r="C403" s="7"/>
      <c r="D403" s="16"/>
      <c r="E403" s="96"/>
      <c r="F403" s="97"/>
      <c r="N403" s="152"/>
    </row>
    <row r="404" spans="1:15" s="20" customFormat="1" ht="14.25" x14ac:dyDescent="0.2">
      <c r="A404" s="16" t="s">
        <v>4</v>
      </c>
      <c r="B404" s="21" t="s">
        <v>189</v>
      </c>
      <c r="C404" s="7"/>
      <c r="D404" s="16" t="s">
        <v>22</v>
      </c>
      <c r="E404" s="96">
        <f>E402</f>
        <v>500</v>
      </c>
      <c r="F404" s="97">
        <f>C409*E404</f>
        <v>0</v>
      </c>
      <c r="G404" s="98"/>
      <c r="H404" s="95"/>
      <c r="N404" s="152"/>
    </row>
    <row r="405" spans="1:15" s="20" customFormat="1" ht="14.25" x14ac:dyDescent="0.2">
      <c r="A405" s="16"/>
      <c r="B405" s="21"/>
      <c r="C405" s="7"/>
      <c r="D405" s="16"/>
      <c r="E405" s="96"/>
      <c r="F405" s="97"/>
      <c r="N405" s="152"/>
    </row>
    <row r="406" spans="1:15" s="20" customFormat="1" ht="14.25" x14ac:dyDescent="0.2">
      <c r="A406" s="16" t="s">
        <v>5</v>
      </c>
      <c r="B406" s="21" t="s">
        <v>190</v>
      </c>
      <c r="C406" s="7"/>
      <c r="D406" s="16" t="s">
        <v>22</v>
      </c>
      <c r="E406" s="96">
        <f>E402</f>
        <v>500</v>
      </c>
      <c r="F406" s="97">
        <f>C406*E406</f>
        <v>0</v>
      </c>
      <c r="G406" s="98"/>
      <c r="H406" s="95"/>
      <c r="N406" s="152"/>
    </row>
    <row r="407" spans="1:15" s="20" customFormat="1" ht="12" customHeight="1" x14ac:dyDescent="0.2">
      <c r="A407" s="16"/>
      <c r="B407" s="21"/>
      <c r="C407" s="7"/>
      <c r="D407" s="16"/>
      <c r="E407" s="96"/>
      <c r="F407" s="97"/>
      <c r="N407" s="152"/>
    </row>
    <row r="408" spans="1:15" s="20" customFormat="1" ht="14.25" x14ac:dyDescent="0.2">
      <c r="A408" s="16" t="s">
        <v>6</v>
      </c>
      <c r="B408" s="1" t="s">
        <v>662</v>
      </c>
      <c r="C408" s="7"/>
      <c r="D408" s="16" t="s">
        <v>22</v>
      </c>
      <c r="E408" s="96">
        <f>E402</f>
        <v>500</v>
      </c>
      <c r="F408" s="97">
        <v>6317500</v>
      </c>
      <c r="G408" s="98"/>
      <c r="H408" s="12"/>
      <c r="K408" s="12"/>
      <c r="L408" s="12"/>
      <c r="M408" s="12"/>
      <c r="N408" s="12"/>
      <c r="O408" s="12"/>
    </row>
    <row r="409" spans="1:15" s="20" customFormat="1" ht="12" customHeight="1" thickBot="1" x14ac:dyDescent="0.25">
      <c r="A409" s="16"/>
      <c r="B409" s="21"/>
      <c r="C409" s="99">
        <f>SUM(C402:C408)</f>
        <v>0</v>
      </c>
      <c r="D409" s="16"/>
      <c r="E409" s="96"/>
      <c r="F409" s="97"/>
      <c r="H409" s="12"/>
      <c r="K409" s="12"/>
      <c r="L409" s="12"/>
      <c r="M409" s="12"/>
      <c r="N409" s="12"/>
      <c r="O409" s="12"/>
    </row>
    <row r="410" spans="1:15" x14ac:dyDescent="0.2">
      <c r="B410" s="3" t="s">
        <v>158</v>
      </c>
      <c r="C410" s="51"/>
      <c r="E410" s="10" t="s">
        <v>15</v>
      </c>
      <c r="F410" s="11">
        <f>SUM(F399:F409)</f>
        <v>6317500</v>
      </c>
      <c r="I410" s="20"/>
      <c r="J410" s="20"/>
    </row>
    <row r="411" spans="1:15" x14ac:dyDescent="0.2">
      <c r="I411" s="20"/>
      <c r="J411" s="20"/>
    </row>
    <row r="412" spans="1:15" x14ac:dyDescent="0.2">
      <c r="B412" s="48" t="s">
        <v>92</v>
      </c>
      <c r="I412" s="20"/>
      <c r="J412" s="20"/>
    </row>
    <row r="413" spans="1:15" x14ac:dyDescent="0.2">
      <c r="I413" s="20"/>
      <c r="J413" s="20"/>
    </row>
    <row r="414" spans="1:15" x14ac:dyDescent="0.2">
      <c r="B414" s="52" t="s">
        <v>192</v>
      </c>
      <c r="E414" s="15" t="e">
        <f>F395</f>
        <v>#REF!</v>
      </c>
      <c r="I414" s="20"/>
      <c r="J414" s="20"/>
    </row>
    <row r="415" spans="1:15" x14ac:dyDescent="0.2">
      <c r="B415" s="52"/>
      <c r="I415" s="20"/>
      <c r="J415" s="20"/>
    </row>
    <row r="416" spans="1:15" x14ac:dyDescent="0.2">
      <c r="B416" s="52" t="s">
        <v>193</v>
      </c>
      <c r="E416" s="15">
        <f>F410</f>
        <v>6317500</v>
      </c>
      <c r="F416" s="78"/>
      <c r="I416" s="20"/>
      <c r="J416" s="20"/>
    </row>
    <row r="421" spans="1:6" x14ac:dyDescent="0.2">
      <c r="B421" s="9" t="s">
        <v>163</v>
      </c>
    </row>
    <row r="422" spans="1:6" x14ac:dyDescent="0.2">
      <c r="B422" s="3" t="s">
        <v>95</v>
      </c>
      <c r="E422" s="10" t="s">
        <v>15</v>
      </c>
      <c r="F422" s="11" t="e">
        <f>SUM(E412:E419)</f>
        <v>#REF!</v>
      </c>
    </row>
    <row r="423" spans="1:6" x14ac:dyDescent="0.2">
      <c r="B423" s="9" t="s">
        <v>194</v>
      </c>
    </row>
    <row r="425" spans="1:6" x14ac:dyDescent="0.2">
      <c r="B425" s="9" t="s">
        <v>195</v>
      </c>
    </row>
    <row r="427" spans="1:6" x14ac:dyDescent="0.2">
      <c r="B427" s="9" t="s">
        <v>84</v>
      </c>
    </row>
    <row r="429" spans="1:6" x14ac:dyDescent="0.2">
      <c r="B429" s="56" t="s">
        <v>85</v>
      </c>
    </row>
    <row r="430" spans="1:6" x14ac:dyDescent="0.2">
      <c r="B430" s="56" t="s">
        <v>86</v>
      </c>
    </row>
    <row r="431" spans="1:6" x14ac:dyDescent="0.2">
      <c r="B431" s="12"/>
    </row>
    <row r="432" spans="1:6" ht="14.25" x14ac:dyDescent="0.3">
      <c r="A432" s="8" t="s">
        <v>2</v>
      </c>
      <c r="B432" s="12" t="s">
        <v>196</v>
      </c>
      <c r="C432" s="171" t="e">
        <f>#REF!</f>
        <v>#REF!</v>
      </c>
      <c r="D432" s="8" t="s">
        <v>35</v>
      </c>
      <c r="E432" s="15">
        <v>3650</v>
      </c>
      <c r="F432" s="15" t="e">
        <f>C432*E432</f>
        <v>#REF!</v>
      </c>
    </row>
    <row r="433" spans="1:6" x14ac:dyDescent="0.2">
      <c r="B433" s="12"/>
    </row>
    <row r="434" spans="1:6" x14ac:dyDescent="0.2">
      <c r="A434" s="8" t="s">
        <v>4</v>
      </c>
      <c r="B434" s="12" t="s">
        <v>197</v>
      </c>
      <c r="D434" s="8" t="s">
        <v>35</v>
      </c>
      <c r="E434" s="76">
        <v>3650</v>
      </c>
      <c r="F434" s="15">
        <f>C434*E434</f>
        <v>0</v>
      </c>
    </row>
    <row r="474" spans="2:6" x14ac:dyDescent="0.2">
      <c r="B474" s="9" t="s">
        <v>198</v>
      </c>
    </row>
    <row r="475" spans="2:6" x14ac:dyDescent="0.2">
      <c r="B475" s="3" t="s">
        <v>95</v>
      </c>
      <c r="E475" s="10" t="s">
        <v>15</v>
      </c>
      <c r="F475" s="11" t="e">
        <f>SUM(F429:F474)</f>
        <v>#REF!</v>
      </c>
    </row>
    <row r="476" spans="2:6" ht="12.95" customHeight="1" x14ac:dyDescent="0.2">
      <c r="B476" s="9" t="s">
        <v>199</v>
      </c>
    </row>
    <row r="477" spans="2:6" ht="12" customHeight="1" x14ac:dyDescent="0.2"/>
    <row r="478" spans="2:6" x14ac:dyDescent="0.2">
      <c r="B478" s="9" t="s">
        <v>200</v>
      </c>
    </row>
    <row r="479" spans="2:6" ht="12" customHeight="1" x14ac:dyDescent="0.2">
      <c r="B479" s="9"/>
    </row>
    <row r="480" spans="2:6" x14ac:dyDescent="0.2">
      <c r="B480" s="9" t="s">
        <v>98</v>
      </c>
    </row>
    <row r="481" spans="1:6" x14ac:dyDescent="0.2">
      <c r="B481" s="48" t="s">
        <v>201</v>
      </c>
    </row>
    <row r="482" spans="1:6" ht="12" customHeight="1" x14ac:dyDescent="0.2"/>
    <row r="483" spans="1:6" ht="14.25" x14ac:dyDescent="0.3">
      <c r="A483" s="8" t="s">
        <v>2</v>
      </c>
      <c r="B483" s="6" t="s">
        <v>25</v>
      </c>
      <c r="C483" s="171" t="e">
        <f>#REF!</f>
        <v>#REF!</v>
      </c>
      <c r="D483" s="8" t="s">
        <v>47</v>
      </c>
      <c r="E483" s="15">
        <f>E336</f>
        <v>30000</v>
      </c>
      <c r="F483" s="15" t="e">
        <f>C483*E483</f>
        <v>#REF!</v>
      </c>
    </row>
    <row r="484" spans="1:6" ht="12" customHeight="1" x14ac:dyDescent="0.3">
      <c r="C484" s="171"/>
    </row>
    <row r="485" spans="1:6" ht="14.25" x14ac:dyDescent="0.3">
      <c r="B485" s="9" t="s">
        <v>67</v>
      </c>
      <c r="C485" s="171"/>
    </row>
    <row r="486" spans="1:6" ht="12" customHeight="1" x14ac:dyDescent="0.3">
      <c r="C486" s="171"/>
    </row>
    <row r="487" spans="1:6" ht="14.25" x14ac:dyDescent="0.3">
      <c r="B487" s="48" t="s">
        <v>68</v>
      </c>
      <c r="C487" s="171"/>
    </row>
    <row r="488" spans="1:6" ht="12" customHeight="1" x14ac:dyDescent="0.3">
      <c r="C488" s="171"/>
    </row>
    <row r="489" spans="1:6" ht="14.25" x14ac:dyDescent="0.3">
      <c r="A489" s="8" t="s">
        <v>4</v>
      </c>
      <c r="B489" s="44" t="s">
        <v>202</v>
      </c>
      <c r="C489" s="171" t="e">
        <f>#REF!</f>
        <v>#REF!</v>
      </c>
      <c r="D489" s="8" t="s">
        <v>35</v>
      </c>
      <c r="E489" s="15">
        <f>E355</f>
        <v>2500</v>
      </c>
      <c r="F489" s="15" t="e">
        <f>C489*E489</f>
        <v>#REF!</v>
      </c>
    </row>
    <row r="490" spans="1:6" ht="12" customHeight="1" x14ac:dyDescent="0.3">
      <c r="C490" s="171"/>
    </row>
    <row r="491" spans="1:6" ht="14.25" x14ac:dyDescent="0.3">
      <c r="B491" s="9" t="s">
        <v>102</v>
      </c>
      <c r="C491" s="171"/>
    </row>
    <row r="492" spans="1:6" ht="14.25" x14ac:dyDescent="0.3">
      <c r="B492" s="48" t="s">
        <v>103</v>
      </c>
      <c r="C492" s="171"/>
    </row>
    <row r="493" spans="1:6" ht="14.25" x14ac:dyDescent="0.3">
      <c r="C493" s="171"/>
    </row>
    <row r="494" spans="1:6" ht="14.25" x14ac:dyDescent="0.3">
      <c r="A494" s="8" t="s">
        <v>5</v>
      </c>
      <c r="B494" s="6" t="s">
        <v>106</v>
      </c>
      <c r="C494" s="171" t="e">
        <f>#REF!</f>
        <v>#REF!</v>
      </c>
      <c r="D494" s="8" t="s">
        <v>75</v>
      </c>
      <c r="E494" s="15">
        <f>E71</f>
        <v>368</v>
      </c>
      <c r="F494" s="15" t="e">
        <f>C494*E494</f>
        <v>#REF!</v>
      </c>
    </row>
    <row r="495" spans="1:6" ht="14.25" x14ac:dyDescent="0.3">
      <c r="C495" s="171"/>
    </row>
    <row r="496" spans="1:6" ht="14.25" x14ac:dyDescent="0.3">
      <c r="A496" s="8" t="s">
        <v>6</v>
      </c>
      <c r="B496" s="6" t="s">
        <v>136</v>
      </c>
      <c r="C496" s="171" t="e">
        <f>#REF!</f>
        <v>#REF!</v>
      </c>
      <c r="D496" s="8" t="s">
        <v>75</v>
      </c>
      <c r="E496" s="15">
        <f>E494</f>
        <v>368</v>
      </c>
      <c r="F496" s="15" t="e">
        <f>C496*E496</f>
        <v>#REF!</v>
      </c>
    </row>
    <row r="498" spans="1:8" x14ac:dyDescent="0.2">
      <c r="B498" s="9" t="s">
        <v>203</v>
      </c>
    </row>
    <row r="500" spans="1:8" x14ac:dyDescent="0.2">
      <c r="B500" s="9" t="s">
        <v>204</v>
      </c>
      <c r="D500" s="573"/>
      <c r="E500" s="573"/>
    </row>
    <row r="501" spans="1:8" x14ac:dyDescent="0.2">
      <c r="B501" s="9" t="s">
        <v>205</v>
      </c>
    </row>
    <row r="502" spans="1:8" x14ac:dyDescent="0.2">
      <c r="B502" s="9" t="s">
        <v>206</v>
      </c>
    </row>
    <row r="504" spans="1:8" ht="14.25" x14ac:dyDescent="0.3">
      <c r="A504" s="8" t="s">
        <v>7</v>
      </c>
      <c r="B504" s="6" t="s">
        <v>500</v>
      </c>
      <c r="C504" s="171"/>
      <c r="D504" s="8" t="s">
        <v>185</v>
      </c>
      <c r="E504" s="15">
        <v>243000.00000000003</v>
      </c>
      <c r="F504" s="15">
        <f>C504*E504</f>
        <v>0</v>
      </c>
      <c r="G504" s="103"/>
      <c r="H504" s="100">
        <f>3*1.8*45000</f>
        <v>243000.00000000003</v>
      </c>
    </row>
    <row r="505" spans="1:8" ht="14.25" x14ac:dyDescent="0.3">
      <c r="C505" s="171"/>
      <c r="G505" s="103"/>
      <c r="H505" s="100"/>
    </row>
    <row r="506" spans="1:8" ht="14.25" x14ac:dyDescent="0.3">
      <c r="A506" s="8" t="s">
        <v>8</v>
      </c>
      <c r="B506" s="6" t="s">
        <v>501</v>
      </c>
      <c r="C506" s="171"/>
      <c r="D506" s="8" t="s">
        <v>185</v>
      </c>
      <c r="E506" s="15">
        <v>121500.00000000001</v>
      </c>
      <c r="F506" s="15">
        <f>C506*E506</f>
        <v>0</v>
      </c>
      <c r="G506" s="103"/>
      <c r="H506" s="100">
        <f>1.5*1.8*45000</f>
        <v>121500.00000000001</v>
      </c>
    </row>
    <row r="507" spans="1:8" ht="14.25" x14ac:dyDescent="0.3">
      <c r="C507" s="171"/>
      <c r="G507" s="103"/>
      <c r="H507" s="100"/>
    </row>
    <row r="508" spans="1:8" ht="14.25" x14ac:dyDescent="0.3">
      <c r="A508" s="8" t="s">
        <v>9</v>
      </c>
      <c r="B508" s="6" t="s">
        <v>502</v>
      </c>
      <c r="C508" s="171"/>
      <c r="D508" s="8" t="s">
        <v>185</v>
      </c>
      <c r="E508" s="15">
        <v>64800</v>
      </c>
      <c r="F508" s="15">
        <f>C508*E508</f>
        <v>0</v>
      </c>
      <c r="G508" s="103"/>
      <c r="H508" s="100">
        <f>1.2*1.2*45000</f>
        <v>64800</v>
      </c>
    </row>
    <row r="509" spans="1:8" ht="14.25" x14ac:dyDescent="0.3">
      <c r="C509" s="171"/>
      <c r="G509" s="103"/>
      <c r="H509" s="100"/>
    </row>
    <row r="510" spans="1:8" ht="14.25" x14ac:dyDescent="0.3">
      <c r="A510" s="8" t="s">
        <v>10</v>
      </c>
      <c r="B510" s="6" t="s">
        <v>503</v>
      </c>
      <c r="C510" s="171"/>
      <c r="D510" s="8" t="s">
        <v>185</v>
      </c>
      <c r="E510" s="15">
        <v>20249.999999999996</v>
      </c>
      <c r="F510" s="15">
        <f>C510*E510</f>
        <v>0</v>
      </c>
      <c r="G510" s="103"/>
      <c r="H510" s="100">
        <f>0.6*0.75*45000</f>
        <v>20249.999999999996</v>
      </c>
    </row>
    <row r="511" spans="1:8" ht="14.25" x14ac:dyDescent="0.3">
      <c r="C511" s="171"/>
      <c r="G511" s="103"/>
      <c r="H511" s="100"/>
    </row>
    <row r="512" spans="1:8" ht="14.25" x14ac:dyDescent="0.3">
      <c r="A512" s="8" t="s">
        <v>11</v>
      </c>
      <c r="B512" s="6" t="s">
        <v>504</v>
      </c>
      <c r="C512" s="171"/>
      <c r="D512" s="8" t="s">
        <v>185</v>
      </c>
      <c r="E512" s="15">
        <v>182250</v>
      </c>
      <c r="F512" s="15">
        <f>C512*E512</f>
        <v>0</v>
      </c>
      <c r="G512" s="103"/>
      <c r="H512" s="100">
        <f>2.25*1.8*45000</f>
        <v>182250</v>
      </c>
    </row>
    <row r="513" spans="1:8" ht="14.25" x14ac:dyDescent="0.3">
      <c r="C513" s="171"/>
      <c r="G513" s="103"/>
      <c r="H513" s="100"/>
    </row>
    <row r="514" spans="1:8" ht="14.25" x14ac:dyDescent="0.3">
      <c r="A514" s="8" t="s">
        <v>12</v>
      </c>
      <c r="B514" s="6" t="s">
        <v>505</v>
      </c>
      <c r="C514" s="171"/>
      <c r="D514" s="8" t="s">
        <v>185</v>
      </c>
      <c r="E514" s="15">
        <v>97200</v>
      </c>
      <c r="F514" s="15">
        <f>C514*E514</f>
        <v>0</v>
      </c>
      <c r="G514" s="103"/>
      <c r="H514" s="100">
        <f>1.2*1.8*45000</f>
        <v>97200</v>
      </c>
    </row>
    <row r="515" spans="1:8" ht="14.25" x14ac:dyDescent="0.3">
      <c r="C515" s="171"/>
      <c r="G515" s="153"/>
      <c r="H515" s="100"/>
    </row>
    <row r="516" spans="1:8" ht="14.25" x14ac:dyDescent="0.3">
      <c r="A516" s="8" t="s">
        <v>13</v>
      </c>
      <c r="B516" s="6" t="s">
        <v>506</v>
      </c>
      <c r="C516" s="171"/>
      <c r="D516" s="8" t="s">
        <v>185</v>
      </c>
      <c r="E516" s="15">
        <v>30375.000000000004</v>
      </c>
      <c r="F516" s="15">
        <f>C516*E516</f>
        <v>0</v>
      </c>
      <c r="G516" s="103"/>
      <c r="H516" s="100">
        <f>0.9*0.75*45000</f>
        <v>30375.000000000004</v>
      </c>
    </row>
    <row r="517" spans="1:8" ht="14.25" x14ac:dyDescent="0.3">
      <c r="C517" s="171"/>
      <c r="G517" s="103"/>
      <c r="H517" s="100"/>
    </row>
    <row r="518" spans="1:8" ht="14.25" x14ac:dyDescent="0.3">
      <c r="A518" s="57" t="s">
        <v>14</v>
      </c>
      <c r="B518" s="58" t="s">
        <v>496</v>
      </c>
      <c r="C518" s="177"/>
      <c r="D518" s="59" t="s">
        <v>3</v>
      </c>
      <c r="E518" s="60">
        <v>194400</v>
      </c>
      <c r="F518" s="61">
        <f>C518*E518</f>
        <v>0</v>
      </c>
      <c r="H518" s="100">
        <f>2.4*1.8*45000</f>
        <v>194400</v>
      </c>
    </row>
    <row r="519" spans="1:8" ht="14.25" x14ac:dyDescent="0.3">
      <c r="A519" s="57"/>
      <c r="B519" s="58"/>
      <c r="C519" s="177"/>
      <c r="D519" s="59"/>
      <c r="E519" s="60"/>
      <c r="F519" s="61"/>
      <c r="H519" s="100"/>
    </row>
    <row r="520" spans="1:8" ht="14.25" x14ac:dyDescent="0.3">
      <c r="A520" s="57" t="s">
        <v>14</v>
      </c>
      <c r="B520" s="58" t="s">
        <v>497</v>
      </c>
      <c r="C520" s="177"/>
      <c r="D520" s="59" t="s">
        <v>3</v>
      </c>
      <c r="E520" s="60">
        <v>323999.99999999994</v>
      </c>
      <c r="F520" s="61">
        <f>C520*E520</f>
        <v>0</v>
      </c>
      <c r="H520" s="100">
        <f>3*2.4*45000</f>
        <v>323999.99999999994</v>
      </c>
    </row>
    <row r="521" spans="1:8" x14ac:dyDescent="0.2">
      <c r="B521" s="69" t="s">
        <v>207</v>
      </c>
    </row>
    <row r="522" spans="1:8" x14ac:dyDescent="0.2">
      <c r="B522" s="12"/>
    </row>
    <row r="523" spans="1:8" ht="29.45" customHeight="1" x14ac:dyDescent="0.2">
      <c r="B523" s="65" t="s">
        <v>208</v>
      </c>
    </row>
    <row r="524" spans="1:8" x14ac:dyDescent="0.2">
      <c r="B524" s="12"/>
    </row>
    <row r="525" spans="1:8" x14ac:dyDescent="0.2">
      <c r="A525" s="57" t="s">
        <v>16</v>
      </c>
      <c r="B525" s="58" t="s">
        <v>490</v>
      </c>
      <c r="C525" s="59"/>
      <c r="D525" s="59" t="s">
        <v>3</v>
      </c>
      <c r="E525" s="60">
        <v>200000</v>
      </c>
      <c r="F525" s="61">
        <f>C525*E525</f>
        <v>0</v>
      </c>
      <c r="G525" s="103"/>
      <c r="H525" s="100"/>
    </row>
    <row r="526" spans="1:8" x14ac:dyDescent="0.2">
      <c r="A526" s="57"/>
      <c r="B526" s="58"/>
      <c r="C526" s="59"/>
      <c r="D526" s="59"/>
      <c r="E526" s="60"/>
      <c r="F526" s="61"/>
    </row>
    <row r="527" spans="1:8" x14ac:dyDescent="0.2">
      <c r="A527" s="57" t="s">
        <v>15</v>
      </c>
      <c r="B527" s="58" t="s">
        <v>499</v>
      </c>
      <c r="C527" s="59" t="e">
        <f>#REF!</f>
        <v>#REF!</v>
      </c>
      <c r="D527" s="59" t="s">
        <v>3</v>
      </c>
      <c r="E527" s="60">
        <v>200000</v>
      </c>
      <c r="F527" s="61" t="e">
        <f>C527*E527</f>
        <v>#REF!</v>
      </c>
    </row>
    <row r="528" spans="1:8" x14ac:dyDescent="0.2">
      <c r="A528" s="57"/>
      <c r="B528" s="58"/>
      <c r="C528" s="59"/>
      <c r="D528" s="59"/>
      <c r="E528" s="60"/>
      <c r="F528" s="61"/>
    </row>
    <row r="529" spans="1:8" x14ac:dyDescent="0.2">
      <c r="A529" s="57" t="s">
        <v>16</v>
      </c>
      <c r="B529" s="58" t="s">
        <v>498</v>
      </c>
      <c r="C529" s="59" t="e">
        <f>#REF!</f>
        <v>#REF!</v>
      </c>
      <c r="D529" s="59" t="s">
        <v>3</v>
      </c>
      <c r="E529" s="60">
        <v>175000</v>
      </c>
      <c r="F529" s="61" t="e">
        <f>C529*E529</f>
        <v>#REF!</v>
      </c>
      <c r="G529" s="103"/>
      <c r="H529" s="100"/>
    </row>
    <row r="530" spans="1:8" x14ac:dyDescent="0.2">
      <c r="B530" s="48"/>
      <c r="G530" s="20"/>
      <c r="H530" s="20"/>
    </row>
    <row r="531" spans="1:8" x14ac:dyDescent="0.2">
      <c r="A531" s="57" t="s">
        <v>16</v>
      </c>
      <c r="B531" s="58" t="s">
        <v>491</v>
      </c>
      <c r="C531" s="59"/>
      <c r="D531" s="59" t="s">
        <v>3</v>
      </c>
      <c r="E531" s="60">
        <v>40000</v>
      </c>
      <c r="F531" s="61">
        <f>C531*E531</f>
        <v>0</v>
      </c>
      <c r="G531" s="103"/>
      <c r="H531" s="100"/>
    </row>
    <row r="540" spans="1:8" x14ac:dyDescent="0.2">
      <c r="B540" s="9" t="s">
        <v>200</v>
      </c>
    </row>
    <row r="541" spans="1:8" x14ac:dyDescent="0.2">
      <c r="B541" s="3" t="s">
        <v>95</v>
      </c>
      <c r="E541" s="10" t="s">
        <v>15</v>
      </c>
      <c r="F541" s="11" t="e">
        <f>SUM(F479:F539)</f>
        <v>#REF!</v>
      </c>
    </row>
    <row r="542" spans="1:8" x14ac:dyDescent="0.2">
      <c r="B542" s="9" t="s">
        <v>209</v>
      </c>
    </row>
    <row r="544" spans="1:8" x14ac:dyDescent="0.2">
      <c r="B544" s="9" t="s">
        <v>210</v>
      </c>
    </row>
    <row r="546" spans="1:6" x14ac:dyDescent="0.2">
      <c r="B546" s="9" t="s">
        <v>84</v>
      </c>
    </row>
    <row r="548" spans="1:6" x14ac:dyDescent="0.2">
      <c r="B548" s="56" t="s">
        <v>85</v>
      </c>
    </row>
    <row r="549" spans="1:6" x14ac:dyDescent="0.2">
      <c r="B549" s="56" t="s">
        <v>86</v>
      </c>
    </row>
    <row r="550" spans="1:6" x14ac:dyDescent="0.2">
      <c r="B550" s="12"/>
    </row>
    <row r="551" spans="1:6" ht="14.25" x14ac:dyDescent="0.3">
      <c r="A551" s="8" t="s">
        <v>2</v>
      </c>
      <c r="B551" s="12" t="s">
        <v>196</v>
      </c>
      <c r="C551" s="171" t="e">
        <f>#REF!</f>
        <v>#REF!</v>
      </c>
      <c r="D551" s="8" t="s">
        <v>35</v>
      </c>
      <c r="E551" s="15">
        <f>E432</f>
        <v>3650</v>
      </c>
      <c r="F551" s="15" t="e">
        <f>C551*E551</f>
        <v>#REF!</v>
      </c>
    </row>
    <row r="552" spans="1:6" ht="14.25" x14ac:dyDescent="0.3">
      <c r="B552" s="12"/>
      <c r="C552" s="171"/>
    </row>
    <row r="553" spans="1:6" ht="14.25" x14ac:dyDescent="0.3">
      <c r="A553" s="8" t="s">
        <v>4</v>
      </c>
      <c r="B553" s="12" t="s">
        <v>197</v>
      </c>
      <c r="C553" s="171" t="e">
        <f>#REF!</f>
        <v>#REF!</v>
      </c>
      <c r="D553" s="8" t="s">
        <v>35</v>
      </c>
      <c r="E553" s="15">
        <f>E434</f>
        <v>3650</v>
      </c>
      <c r="F553" s="15" t="e">
        <f>C553*E553</f>
        <v>#REF!</v>
      </c>
    </row>
    <row r="593" spans="1:6" x14ac:dyDescent="0.2">
      <c r="B593" s="9" t="s">
        <v>211</v>
      </c>
    </row>
    <row r="594" spans="1:6" x14ac:dyDescent="0.2">
      <c r="B594" s="3" t="s">
        <v>95</v>
      </c>
      <c r="E594" s="10" t="s">
        <v>15</v>
      </c>
      <c r="F594" s="11" t="e">
        <f>SUM(F548:F593)</f>
        <v>#REF!</v>
      </c>
    </row>
    <row r="595" spans="1:6" x14ac:dyDescent="0.2">
      <c r="B595" s="9" t="s">
        <v>212</v>
      </c>
    </row>
    <row r="597" spans="1:6" x14ac:dyDescent="0.2">
      <c r="B597" s="9" t="s">
        <v>213</v>
      </c>
    </row>
    <row r="599" spans="1:6" x14ac:dyDescent="0.2">
      <c r="B599" s="9" t="s">
        <v>98</v>
      </c>
    </row>
    <row r="600" spans="1:6" x14ac:dyDescent="0.2">
      <c r="B600" s="6" t="s">
        <v>201</v>
      </c>
    </row>
    <row r="602" spans="1:6" ht="14.25" x14ac:dyDescent="0.3">
      <c r="A602" s="8" t="s">
        <v>2</v>
      </c>
      <c r="B602" s="6" t="s">
        <v>214</v>
      </c>
      <c r="C602" s="171" t="e">
        <f>#REF!</f>
        <v>#REF!</v>
      </c>
      <c r="D602" s="8" t="s">
        <v>47</v>
      </c>
      <c r="E602" s="15">
        <f>E483</f>
        <v>30000</v>
      </c>
      <c r="F602" s="15" t="e">
        <f>C602*E602</f>
        <v>#REF!</v>
      </c>
    </row>
    <row r="603" spans="1:6" ht="14.25" x14ac:dyDescent="0.3">
      <c r="C603" s="171"/>
    </row>
    <row r="604" spans="1:6" ht="14.25" x14ac:dyDescent="0.3">
      <c r="B604" s="9" t="s">
        <v>67</v>
      </c>
      <c r="C604" s="171"/>
    </row>
    <row r="605" spans="1:6" ht="14.25" x14ac:dyDescent="0.3">
      <c r="C605" s="171"/>
    </row>
    <row r="606" spans="1:6" ht="14.25" x14ac:dyDescent="0.3">
      <c r="B606" s="48" t="s">
        <v>68</v>
      </c>
      <c r="C606" s="171"/>
    </row>
    <row r="607" spans="1:6" ht="14.25" x14ac:dyDescent="0.3">
      <c r="C607" s="171"/>
    </row>
    <row r="608" spans="1:6" ht="14.25" x14ac:dyDescent="0.3">
      <c r="A608" s="8" t="s">
        <v>4</v>
      </c>
      <c r="B608" s="44" t="s">
        <v>202</v>
      </c>
      <c r="C608" s="171" t="e">
        <f>#REF!</f>
        <v>#REF!</v>
      </c>
      <c r="D608" s="8" t="s">
        <v>35</v>
      </c>
      <c r="E608" s="15">
        <f>E489</f>
        <v>2500</v>
      </c>
      <c r="F608" s="15" t="e">
        <f>C608*E608</f>
        <v>#REF!</v>
      </c>
    </row>
    <row r="609" spans="1:6" ht="14.25" x14ac:dyDescent="0.3">
      <c r="C609" s="171"/>
    </row>
    <row r="610" spans="1:6" ht="14.25" x14ac:dyDescent="0.3">
      <c r="B610" s="9" t="s">
        <v>102</v>
      </c>
      <c r="C610" s="171"/>
    </row>
    <row r="611" spans="1:6" ht="14.25" x14ac:dyDescent="0.3">
      <c r="B611" s="6" t="s">
        <v>215</v>
      </c>
      <c r="C611" s="171"/>
    </row>
    <row r="612" spans="1:6" ht="14.25" x14ac:dyDescent="0.3">
      <c r="C612" s="171"/>
    </row>
    <row r="613" spans="1:6" ht="14.25" x14ac:dyDescent="0.3">
      <c r="A613" s="8" t="s">
        <v>5</v>
      </c>
      <c r="B613" s="6" t="s">
        <v>106</v>
      </c>
      <c r="C613" s="171" t="e">
        <f>#REF!</f>
        <v>#REF!</v>
      </c>
      <c r="D613" s="8" t="s">
        <v>75</v>
      </c>
      <c r="E613" s="15">
        <f>E494</f>
        <v>368</v>
      </c>
      <c r="F613" s="15" t="e">
        <f>C613*E613</f>
        <v>#REF!</v>
      </c>
    </row>
    <row r="614" spans="1:6" ht="14.25" x14ac:dyDescent="0.3">
      <c r="C614" s="171"/>
    </row>
    <row r="615" spans="1:6" ht="14.25" x14ac:dyDescent="0.3">
      <c r="A615" s="8" t="s">
        <v>6</v>
      </c>
      <c r="B615" s="6" t="s">
        <v>136</v>
      </c>
      <c r="C615" s="171" t="e">
        <f>#REF!</f>
        <v>#REF!</v>
      </c>
      <c r="D615" s="8" t="s">
        <v>75</v>
      </c>
      <c r="E615" s="15">
        <f>E613</f>
        <v>368</v>
      </c>
      <c r="F615" s="15" t="e">
        <f>C615*E615</f>
        <v>#REF!</v>
      </c>
    </row>
    <row r="617" spans="1:6" x14ac:dyDescent="0.2">
      <c r="B617" s="69" t="s">
        <v>207</v>
      </c>
    </row>
    <row r="618" spans="1:6" x14ac:dyDescent="0.2">
      <c r="B618" s="12"/>
    </row>
    <row r="619" spans="1:6" ht="29.45" customHeight="1" x14ac:dyDescent="0.2">
      <c r="B619" s="65" t="s">
        <v>208</v>
      </c>
    </row>
    <row r="620" spans="1:6" x14ac:dyDescent="0.2">
      <c r="B620" s="12"/>
    </row>
    <row r="621" spans="1:6" x14ac:dyDescent="0.2">
      <c r="A621" s="8" t="s">
        <v>7</v>
      </c>
      <c r="B621" s="12" t="s">
        <v>216</v>
      </c>
      <c r="C621" s="12" t="e">
        <f>#REF!</f>
        <v>#REF!</v>
      </c>
      <c r="D621" s="8" t="s">
        <v>185</v>
      </c>
      <c r="E621" s="15">
        <v>30000</v>
      </c>
      <c r="F621" s="15" t="e">
        <f>C621*E621</f>
        <v>#REF!</v>
      </c>
    </row>
    <row r="622" spans="1:6" x14ac:dyDescent="0.2">
      <c r="B622" s="12"/>
      <c r="C622" s="12"/>
    </row>
    <row r="623" spans="1:6" x14ac:dyDescent="0.2">
      <c r="A623" s="8" t="s">
        <v>7</v>
      </c>
      <c r="B623" s="12" t="s">
        <v>217</v>
      </c>
      <c r="C623" s="12" t="e">
        <f>#REF!</f>
        <v>#REF!</v>
      </c>
      <c r="D623" s="8" t="s">
        <v>185</v>
      </c>
      <c r="E623" s="15">
        <v>30000</v>
      </c>
      <c r="F623" s="15" t="e">
        <f>C623*E623</f>
        <v>#REF!</v>
      </c>
    </row>
    <row r="624" spans="1:6" x14ac:dyDescent="0.2">
      <c r="B624" s="12"/>
    </row>
    <row r="625" spans="1:6" x14ac:dyDescent="0.2">
      <c r="A625" s="8" t="s">
        <v>7</v>
      </c>
      <c r="B625" s="12" t="s">
        <v>218</v>
      </c>
      <c r="D625" s="8" t="s">
        <v>185</v>
      </c>
      <c r="E625" s="15">
        <v>60000</v>
      </c>
      <c r="F625" s="15">
        <f>C625*E625</f>
        <v>0</v>
      </c>
    </row>
    <row r="626" spans="1:6" x14ac:dyDescent="0.2">
      <c r="B626" s="12"/>
    </row>
    <row r="627" spans="1:6" ht="70.150000000000006" customHeight="1" x14ac:dyDescent="0.2">
      <c r="A627" s="39"/>
      <c r="B627" s="101" t="s">
        <v>219</v>
      </c>
      <c r="C627" s="39"/>
      <c r="D627" s="44"/>
      <c r="E627" s="81"/>
      <c r="F627" s="19"/>
    </row>
    <row r="628" spans="1:6" ht="10.15" customHeight="1" x14ac:dyDescent="0.2">
      <c r="A628" s="39"/>
      <c r="B628" s="12"/>
      <c r="C628" s="39"/>
      <c r="D628" s="44"/>
      <c r="E628" s="81"/>
      <c r="F628" s="19"/>
    </row>
    <row r="629" spans="1:6" x14ac:dyDescent="0.2">
      <c r="A629" s="39" t="s">
        <v>9</v>
      </c>
      <c r="B629" s="40" t="s">
        <v>220</v>
      </c>
      <c r="D629" s="8" t="s">
        <v>185</v>
      </c>
      <c r="E629" s="15">
        <v>110000</v>
      </c>
      <c r="F629" s="15">
        <f>C629*E629</f>
        <v>0</v>
      </c>
    </row>
    <row r="630" spans="1:6" ht="10.15" customHeight="1" x14ac:dyDescent="0.2">
      <c r="A630" s="39"/>
      <c r="B630" s="40"/>
      <c r="C630" s="39"/>
      <c r="D630" s="44"/>
      <c r="E630" s="81"/>
      <c r="F630" s="19"/>
    </row>
    <row r="631" spans="1:6" x14ac:dyDescent="0.2">
      <c r="A631" s="39"/>
      <c r="B631" s="56" t="s">
        <v>221</v>
      </c>
      <c r="C631" s="39"/>
      <c r="D631" s="44"/>
      <c r="E631" s="81"/>
      <c r="F631" s="19"/>
    </row>
    <row r="632" spans="1:6" x14ac:dyDescent="0.2">
      <c r="A632" s="39"/>
      <c r="B632" s="12"/>
      <c r="C632" s="39"/>
      <c r="D632" s="44"/>
      <c r="E632" s="81"/>
      <c r="F632" s="19"/>
    </row>
    <row r="633" spans="1:6" x14ac:dyDescent="0.2">
      <c r="B633" s="56" t="s">
        <v>222</v>
      </c>
    </row>
    <row r="634" spans="1:6" x14ac:dyDescent="0.2">
      <c r="B634" s="56" t="s">
        <v>223</v>
      </c>
    </row>
    <row r="635" spans="1:6" x14ac:dyDescent="0.2">
      <c r="B635" s="56"/>
    </row>
    <row r="636" spans="1:6" x14ac:dyDescent="0.2">
      <c r="B636" s="12" t="s">
        <v>218</v>
      </c>
      <c r="C636" s="172"/>
      <c r="D636" s="8" t="s">
        <v>185</v>
      </c>
      <c r="E636" s="15">
        <v>150000</v>
      </c>
      <c r="F636" s="15">
        <f>C636*E636</f>
        <v>0</v>
      </c>
    </row>
    <row r="637" spans="1:6" x14ac:dyDescent="0.2">
      <c r="B637" s="12"/>
      <c r="C637" s="172"/>
    </row>
    <row r="638" spans="1:6" ht="14.25" x14ac:dyDescent="0.3">
      <c r="A638" s="8" t="s">
        <v>11</v>
      </c>
      <c r="B638" s="12" t="s">
        <v>216</v>
      </c>
      <c r="C638" s="171"/>
      <c r="D638" s="8" t="s">
        <v>185</v>
      </c>
      <c r="E638" s="15">
        <v>125000</v>
      </c>
      <c r="F638" s="15">
        <f>C638*E638</f>
        <v>0</v>
      </c>
    </row>
    <row r="639" spans="1:6" ht="14.25" x14ac:dyDescent="0.3">
      <c r="B639" s="12"/>
      <c r="C639" s="171"/>
    </row>
    <row r="640" spans="1:6" ht="14.25" x14ac:dyDescent="0.3">
      <c r="A640" s="8" t="s">
        <v>11</v>
      </c>
      <c r="B640" s="12" t="s">
        <v>217</v>
      </c>
      <c r="C640" s="171"/>
      <c r="D640" s="8" t="s">
        <v>185</v>
      </c>
      <c r="E640" s="15">
        <f>E638</f>
        <v>125000</v>
      </c>
      <c r="F640" s="15">
        <f>C640*E640</f>
        <v>0</v>
      </c>
    </row>
    <row r="641" spans="1:6" x14ac:dyDescent="0.2">
      <c r="B641" s="12"/>
      <c r="C641" s="26"/>
    </row>
    <row r="642" spans="1:6" x14ac:dyDescent="0.2">
      <c r="A642" s="39"/>
      <c r="B642" s="69"/>
      <c r="C642" s="26"/>
      <c r="D642" s="39"/>
      <c r="E642" s="154"/>
      <c r="F642" s="155"/>
    </row>
    <row r="643" spans="1:6" x14ac:dyDescent="0.2">
      <c r="A643" s="39"/>
      <c r="B643" s="12"/>
      <c r="C643" s="26"/>
      <c r="D643" s="39"/>
      <c r="E643" s="154"/>
      <c r="F643" s="155"/>
    </row>
    <row r="644" spans="1:6" x14ac:dyDescent="0.2">
      <c r="A644" s="39"/>
      <c r="B644" s="40"/>
      <c r="C644" s="39"/>
      <c r="D644" s="44"/>
      <c r="E644" s="81"/>
      <c r="F644" s="19"/>
    </row>
    <row r="645" spans="1:6" x14ac:dyDescent="0.2">
      <c r="B645" s="9" t="s">
        <v>213</v>
      </c>
    </row>
    <row r="646" spans="1:6" x14ac:dyDescent="0.2">
      <c r="B646" s="3" t="s">
        <v>95</v>
      </c>
      <c r="E646" s="10" t="s">
        <v>15</v>
      </c>
      <c r="F646" s="11" t="e">
        <f>SUM(F598:F645)</f>
        <v>#REF!</v>
      </c>
    </row>
    <row r="647" spans="1:6" x14ac:dyDescent="0.2">
      <c r="B647" s="9" t="s">
        <v>224</v>
      </c>
    </row>
    <row r="649" spans="1:6" x14ac:dyDescent="0.2">
      <c r="B649" s="9" t="s">
        <v>225</v>
      </c>
    </row>
    <row r="651" spans="1:6" x14ac:dyDescent="0.2">
      <c r="B651" s="9" t="s">
        <v>226</v>
      </c>
    </row>
    <row r="653" spans="1:6" x14ac:dyDescent="0.2">
      <c r="B653" s="9" t="s">
        <v>227</v>
      </c>
    </row>
    <row r="655" spans="1:6" x14ac:dyDescent="0.2">
      <c r="B655" s="9" t="s">
        <v>228</v>
      </c>
    </row>
    <row r="656" spans="1:6" x14ac:dyDescent="0.2">
      <c r="B656" s="9"/>
    </row>
    <row r="657" spans="1:6" ht="15" customHeight="1" x14ac:dyDescent="0.2">
      <c r="B657" s="102" t="s">
        <v>229</v>
      </c>
    </row>
    <row r="658" spans="1:6" x14ac:dyDescent="0.2">
      <c r="B658" s="9"/>
    </row>
    <row r="659" spans="1:6" ht="14.25" x14ac:dyDescent="0.3">
      <c r="A659" s="8" t="s">
        <v>2</v>
      </c>
      <c r="B659" s="6" t="s">
        <v>230</v>
      </c>
      <c r="C659" s="171">
        <v>0</v>
      </c>
      <c r="D659" s="8" t="s">
        <v>22</v>
      </c>
      <c r="E659" s="15">
        <v>25000</v>
      </c>
      <c r="F659" s="15">
        <f>C659*E659</f>
        <v>0</v>
      </c>
    </row>
    <row r="660" spans="1:6" ht="14.25" x14ac:dyDescent="0.3">
      <c r="C660" s="171"/>
    </row>
    <row r="661" spans="1:6" s="106" customFormat="1" ht="14.25" x14ac:dyDescent="0.2">
      <c r="A661" s="16" t="s">
        <v>4</v>
      </c>
      <c r="B661" s="103" t="s">
        <v>231</v>
      </c>
      <c r="C661" s="179">
        <v>0</v>
      </c>
      <c r="D661" s="104" t="s">
        <v>22</v>
      </c>
      <c r="E661" s="105">
        <v>18500</v>
      </c>
      <c r="F661" s="15">
        <f>C661*E661</f>
        <v>0</v>
      </c>
    </row>
    <row r="662" spans="1:6" s="21" customFormat="1" ht="12.75" x14ac:dyDescent="0.2">
      <c r="A662" s="16"/>
      <c r="B662" s="103"/>
      <c r="C662" s="180"/>
      <c r="D662" s="16"/>
      <c r="E662" s="156"/>
      <c r="F662" s="157"/>
    </row>
    <row r="663" spans="1:6" ht="14.25" x14ac:dyDescent="0.3">
      <c r="B663" s="12"/>
      <c r="C663" s="171"/>
    </row>
    <row r="664" spans="1:6" ht="14.25" x14ac:dyDescent="0.3">
      <c r="B664" s="69" t="s">
        <v>232</v>
      </c>
      <c r="C664" s="171"/>
    </row>
    <row r="665" spans="1:6" ht="14.25" x14ac:dyDescent="0.3">
      <c r="B665" s="12"/>
      <c r="C665" s="171"/>
    </row>
    <row r="666" spans="1:6" ht="14.25" x14ac:dyDescent="0.3">
      <c r="A666" s="8" t="s">
        <v>5</v>
      </c>
      <c r="B666" s="12" t="s">
        <v>233</v>
      </c>
      <c r="C666" s="171">
        <v>6</v>
      </c>
      <c r="D666" s="8" t="s">
        <v>185</v>
      </c>
      <c r="E666" s="15">
        <v>350000</v>
      </c>
      <c r="F666" s="15">
        <f>C666*E666</f>
        <v>2100000</v>
      </c>
    </row>
    <row r="667" spans="1:6" ht="14.25" x14ac:dyDescent="0.3">
      <c r="B667" s="12"/>
      <c r="C667" s="171"/>
    </row>
    <row r="668" spans="1:6" x14ac:dyDescent="0.2">
      <c r="B668" s="12"/>
    </row>
    <row r="669" spans="1:6" x14ac:dyDescent="0.2">
      <c r="B669" s="12"/>
    </row>
    <row r="670" spans="1:6" x14ac:dyDescent="0.2">
      <c r="B670" s="12"/>
    </row>
    <row r="671" spans="1:6" x14ac:dyDescent="0.2">
      <c r="B671" s="12"/>
    </row>
    <row r="672" spans="1:6" x14ac:dyDescent="0.2">
      <c r="B672" s="12"/>
    </row>
    <row r="673" spans="2:2" x14ac:dyDescent="0.2">
      <c r="B673" s="12"/>
    </row>
    <row r="674" spans="2:2" x14ac:dyDescent="0.2">
      <c r="B674" s="12"/>
    </row>
    <row r="675" spans="2:2" x14ac:dyDescent="0.2">
      <c r="B675" s="12"/>
    </row>
    <row r="676" spans="2:2" x14ac:dyDescent="0.2">
      <c r="B676" s="12"/>
    </row>
    <row r="677" spans="2:2" x14ac:dyDescent="0.2">
      <c r="B677" s="12"/>
    </row>
    <row r="678" spans="2:2" x14ac:dyDescent="0.2">
      <c r="B678" s="12"/>
    </row>
    <row r="679" spans="2:2" x14ac:dyDescent="0.2">
      <c r="B679" s="12"/>
    </row>
    <row r="680" spans="2:2" x14ac:dyDescent="0.2">
      <c r="B680" s="12"/>
    </row>
    <row r="681" spans="2:2" x14ac:dyDescent="0.2">
      <c r="B681" s="12"/>
    </row>
    <row r="682" spans="2:2" x14ac:dyDescent="0.2">
      <c r="B682" s="12"/>
    </row>
    <row r="683" spans="2:2" x14ac:dyDescent="0.2">
      <c r="B683" s="12"/>
    </row>
    <row r="684" spans="2:2" x14ac:dyDescent="0.2">
      <c r="B684" s="12"/>
    </row>
    <row r="685" spans="2:2" x14ac:dyDescent="0.2">
      <c r="B685" s="12"/>
    </row>
    <row r="686" spans="2:2" x14ac:dyDescent="0.2">
      <c r="B686" s="12"/>
    </row>
    <row r="687" spans="2:2" x14ac:dyDescent="0.2">
      <c r="B687" s="12"/>
    </row>
    <row r="688" spans="2:2" x14ac:dyDescent="0.2">
      <c r="B688" s="9" t="s">
        <v>234</v>
      </c>
    </row>
    <row r="689" spans="1:6" x14ac:dyDescent="0.2">
      <c r="B689" s="3" t="s">
        <v>95</v>
      </c>
      <c r="E689" s="10" t="s">
        <v>15</v>
      </c>
      <c r="F689" s="11">
        <f>[29]terrace!$F$642</f>
        <v>8986900</v>
      </c>
    </row>
    <row r="690" spans="1:6" x14ac:dyDescent="0.2">
      <c r="B690" s="69" t="s">
        <v>235</v>
      </c>
    </row>
    <row r="691" spans="1:6" x14ac:dyDescent="0.2">
      <c r="B691" s="12"/>
    </row>
    <row r="692" spans="1:6" x14ac:dyDescent="0.2">
      <c r="B692" s="69" t="s">
        <v>236</v>
      </c>
    </row>
    <row r="693" spans="1:6" x14ac:dyDescent="0.2">
      <c r="B693" s="12"/>
    </row>
    <row r="694" spans="1:6" x14ac:dyDescent="0.2">
      <c r="B694" s="69" t="s">
        <v>237</v>
      </c>
    </row>
    <row r="695" spans="1:6" x14ac:dyDescent="0.2">
      <c r="B695" s="69"/>
    </row>
    <row r="696" spans="1:6" x14ac:dyDescent="0.2">
      <c r="B696" s="56" t="s">
        <v>238</v>
      </c>
    </row>
    <row r="697" spans="1:6" x14ac:dyDescent="0.2">
      <c r="B697" s="56" t="s">
        <v>239</v>
      </c>
    </row>
    <row r="698" spans="1:6" x14ac:dyDescent="0.2">
      <c r="B698" s="56" t="s">
        <v>240</v>
      </c>
    </row>
    <row r="699" spans="1:6" x14ac:dyDescent="0.2">
      <c r="B699" s="12"/>
    </row>
    <row r="700" spans="1:6" ht="14.25" x14ac:dyDescent="0.3">
      <c r="A700" s="8" t="s">
        <v>2</v>
      </c>
      <c r="B700" s="12" t="s">
        <v>241</v>
      </c>
      <c r="C700" s="171" t="e">
        <f>#REF!+#REF!</f>
        <v>#REF!</v>
      </c>
      <c r="D700" s="8" t="s">
        <v>35</v>
      </c>
      <c r="E700" s="15">
        <f>E283</f>
        <v>1000</v>
      </c>
      <c r="F700" s="15" t="e">
        <f>C700*E700</f>
        <v>#REF!</v>
      </c>
    </row>
    <row r="701" spans="1:6" ht="14.25" x14ac:dyDescent="0.3">
      <c r="B701" s="12"/>
      <c r="C701" s="171"/>
    </row>
    <row r="702" spans="1:6" ht="14.25" x14ac:dyDescent="0.3">
      <c r="A702" s="8" t="s">
        <v>4</v>
      </c>
      <c r="B702" s="12" t="s">
        <v>242</v>
      </c>
      <c r="C702" s="171" t="e">
        <f>#REF!</f>
        <v>#REF!</v>
      </c>
      <c r="D702" s="8" t="s">
        <v>35</v>
      </c>
      <c r="E702" s="15">
        <f>E700</f>
        <v>1000</v>
      </c>
      <c r="F702" s="15" t="e">
        <f>C702*E702</f>
        <v>#REF!</v>
      </c>
    </row>
    <row r="703" spans="1:6" ht="14.25" x14ac:dyDescent="0.3">
      <c r="B703" s="12"/>
      <c r="C703" s="171"/>
    </row>
    <row r="704" spans="1:6" ht="14.25" x14ac:dyDescent="0.3">
      <c r="A704" s="8" t="s">
        <v>5</v>
      </c>
      <c r="B704" s="12" t="s">
        <v>243</v>
      </c>
      <c r="C704" s="171" t="e">
        <f>#REF!</f>
        <v>#REF!</v>
      </c>
      <c r="D704" s="8" t="s">
        <v>22</v>
      </c>
      <c r="E704" s="15">
        <f>E702*0.3</f>
        <v>300</v>
      </c>
      <c r="F704" s="15" t="e">
        <f>C704*E704</f>
        <v>#REF!</v>
      </c>
    </row>
    <row r="705" spans="1:9" ht="14.25" x14ac:dyDescent="0.3">
      <c r="B705" s="12"/>
      <c r="C705" s="171"/>
    </row>
    <row r="706" spans="1:9" ht="14.25" x14ac:dyDescent="0.3">
      <c r="A706" s="8" t="s">
        <v>6</v>
      </c>
      <c r="B706" s="12" t="s">
        <v>244</v>
      </c>
      <c r="C706" s="171" t="e">
        <f>#REF!</f>
        <v>#REF!</v>
      </c>
      <c r="D706" s="8" t="s">
        <v>22</v>
      </c>
      <c r="E706" s="15">
        <f>E704</f>
        <v>300</v>
      </c>
      <c r="F706" s="15" t="e">
        <f>C706*E706</f>
        <v>#REF!</v>
      </c>
    </row>
    <row r="707" spans="1:9" ht="14.25" x14ac:dyDescent="0.3">
      <c r="B707" s="12"/>
      <c r="C707" s="171"/>
    </row>
    <row r="708" spans="1:9" ht="14.25" x14ac:dyDescent="0.3">
      <c r="A708" s="8" t="s">
        <v>7</v>
      </c>
      <c r="B708" s="12" t="s">
        <v>245</v>
      </c>
      <c r="C708" s="171">
        <v>0</v>
      </c>
      <c r="D708" s="8" t="s">
        <v>35</v>
      </c>
      <c r="E708" s="15">
        <f>E702</f>
        <v>1000</v>
      </c>
      <c r="F708" s="15">
        <f>C708*E708</f>
        <v>0</v>
      </c>
    </row>
    <row r="709" spans="1:9" ht="14.25" x14ac:dyDescent="0.3">
      <c r="B709" s="12"/>
      <c r="C709" s="171"/>
    </row>
    <row r="710" spans="1:9" s="62" customFormat="1" ht="20.25" customHeight="1" x14ac:dyDescent="0.3">
      <c r="A710" s="57" t="s">
        <v>246</v>
      </c>
      <c r="B710" s="107" t="s">
        <v>247</v>
      </c>
      <c r="C710" s="177">
        <v>0</v>
      </c>
      <c r="D710" s="59" t="s">
        <v>22</v>
      </c>
      <c r="E710" s="60">
        <v>750</v>
      </c>
      <c r="F710" s="61">
        <f>C710*E710</f>
        <v>0</v>
      </c>
      <c r="I710" s="63"/>
    </row>
    <row r="711" spans="1:9" s="62" customFormat="1" ht="20.25" customHeight="1" x14ac:dyDescent="0.3">
      <c r="A711" s="108"/>
      <c r="B711" s="107"/>
      <c r="C711" s="196"/>
      <c r="D711" s="108"/>
      <c r="E711" s="109"/>
      <c r="F711" s="110"/>
      <c r="I711" s="63"/>
    </row>
    <row r="712" spans="1:9" s="202" customFormat="1" ht="17.25" customHeight="1" x14ac:dyDescent="0.25">
      <c r="A712" s="197" t="s">
        <v>494</v>
      </c>
      <c r="B712" s="198" t="s">
        <v>495</v>
      </c>
      <c r="C712" s="199"/>
      <c r="D712" s="197" t="s">
        <v>22</v>
      </c>
      <c r="E712" s="200">
        <v>500</v>
      </c>
      <c r="F712" s="201">
        <f>E712*C712</f>
        <v>0</v>
      </c>
    </row>
    <row r="713" spans="1:9" s="62" customFormat="1" ht="20.25" customHeight="1" x14ac:dyDescent="0.3">
      <c r="A713" s="108"/>
      <c r="B713" s="107"/>
      <c r="C713" s="196"/>
      <c r="D713" s="108"/>
      <c r="E713" s="109"/>
      <c r="F713" s="110"/>
      <c r="I713" s="63"/>
    </row>
    <row r="714" spans="1:9" s="62" customFormat="1" ht="20.25" customHeight="1" x14ac:dyDescent="0.2">
      <c r="A714" s="108"/>
      <c r="B714" s="107"/>
      <c r="C714" s="108"/>
      <c r="D714" s="108"/>
      <c r="E714" s="109"/>
      <c r="F714" s="110"/>
      <c r="I714" s="63"/>
    </row>
    <row r="715" spans="1:9" x14ac:dyDescent="0.2">
      <c r="B715" s="5" t="s">
        <v>489</v>
      </c>
      <c r="D715" s="8" t="s">
        <v>35</v>
      </c>
      <c r="E715" s="15">
        <v>2500</v>
      </c>
      <c r="F715" s="61">
        <f>C715*E715</f>
        <v>0</v>
      </c>
    </row>
    <row r="716" spans="1:9" x14ac:dyDescent="0.2">
      <c r="B716" s="12"/>
    </row>
    <row r="717" spans="1:9" x14ac:dyDescent="0.2">
      <c r="B717" s="56" t="s">
        <v>248</v>
      </c>
    </row>
    <row r="718" spans="1:9" x14ac:dyDescent="0.2">
      <c r="B718" s="56" t="s">
        <v>249</v>
      </c>
    </row>
    <row r="719" spans="1:9" x14ac:dyDescent="0.2">
      <c r="B719" s="12"/>
      <c r="C719" s="195"/>
    </row>
    <row r="720" spans="1:9" ht="14.25" x14ac:dyDescent="0.3">
      <c r="A720" s="8" t="s">
        <v>8</v>
      </c>
      <c r="B720" s="12" t="s">
        <v>250</v>
      </c>
      <c r="C720" s="171" t="e">
        <f>#REF!</f>
        <v>#REF!</v>
      </c>
      <c r="D720" s="8" t="s">
        <v>35</v>
      </c>
      <c r="E720" s="15">
        <v>950</v>
      </c>
      <c r="F720" s="15" t="e">
        <f>C720*E720</f>
        <v>#REF!</v>
      </c>
    </row>
    <row r="721" spans="1:6" x14ac:dyDescent="0.2">
      <c r="B721" s="12"/>
      <c r="C721" s="195"/>
    </row>
    <row r="722" spans="1:6" x14ac:dyDescent="0.2">
      <c r="B722" s="69" t="s">
        <v>251</v>
      </c>
      <c r="C722" s="195"/>
    </row>
    <row r="723" spans="1:6" x14ac:dyDescent="0.2">
      <c r="B723" s="69"/>
      <c r="C723" s="195"/>
    </row>
    <row r="724" spans="1:6" x14ac:dyDescent="0.2">
      <c r="B724" s="56" t="s">
        <v>252</v>
      </c>
      <c r="C724" s="195"/>
    </row>
    <row r="725" spans="1:6" x14ac:dyDescent="0.2">
      <c r="B725" s="56" t="s">
        <v>253</v>
      </c>
      <c r="C725" s="195"/>
    </row>
    <row r="726" spans="1:6" x14ac:dyDescent="0.2">
      <c r="B726" s="12"/>
      <c r="C726" s="195"/>
    </row>
    <row r="727" spans="1:6" x14ac:dyDescent="0.2">
      <c r="A727" s="8" t="s">
        <v>9</v>
      </c>
      <c r="B727" s="12" t="s">
        <v>250</v>
      </c>
      <c r="C727" s="41" t="e">
        <f>C720</f>
        <v>#REF!</v>
      </c>
      <c r="D727" s="8" t="s">
        <v>35</v>
      </c>
      <c r="E727" s="15">
        <v>4500</v>
      </c>
      <c r="F727" s="15" t="e">
        <f>C727*E727</f>
        <v>#REF!</v>
      </c>
    </row>
    <row r="728" spans="1:6" x14ac:dyDescent="0.2">
      <c r="B728" s="12"/>
      <c r="C728" s="195"/>
    </row>
    <row r="729" spans="1:6" x14ac:dyDescent="0.2">
      <c r="A729" s="39"/>
      <c r="B729" s="69" t="s">
        <v>150</v>
      </c>
      <c r="C729" s="189"/>
      <c r="D729" s="39"/>
      <c r="E729" s="19"/>
      <c r="F729" s="19"/>
    </row>
    <row r="730" spans="1:6" x14ac:dyDescent="0.2">
      <c r="A730" s="39"/>
      <c r="B730" s="12"/>
      <c r="C730" s="189"/>
      <c r="D730" s="39"/>
      <c r="E730" s="19"/>
      <c r="F730" s="19"/>
    </row>
    <row r="731" spans="1:6" ht="24" x14ac:dyDescent="0.2">
      <c r="A731" s="39"/>
      <c r="B731" s="75" t="s">
        <v>254</v>
      </c>
      <c r="C731" s="189"/>
      <c r="D731" s="39"/>
      <c r="E731" s="19"/>
      <c r="F731" s="19"/>
    </row>
    <row r="732" spans="1:6" x14ac:dyDescent="0.2">
      <c r="A732" s="39"/>
      <c r="B732" s="12"/>
      <c r="C732" s="189"/>
      <c r="D732" s="39"/>
      <c r="E732" s="19"/>
      <c r="F732" s="19"/>
    </row>
    <row r="733" spans="1:6" ht="29.45" customHeight="1" x14ac:dyDescent="0.2">
      <c r="A733" s="8" t="s">
        <v>10</v>
      </c>
      <c r="B733" s="111" t="s">
        <v>255</v>
      </c>
      <c r="C733" s="41" t="e">
        <f>#REF!</f>
        <v>#REF!</v>
      </c>
      <c r="D733" s="8" t="s">
        <v>35</v>
      </c>
      <c r="E733" s="15">
        <f>E293</f>
        <v>500</v>
      </c>
      <c r="F733" s="15" t="e">
        <f>C733*E733</f>
        <v>#REF!</v>
      </c>
    </row>
    <row r="734" spans="1:6" x14ac:dyDescent="0.2">
      <c r="B734" s="12"/>
    </row>
    <row r="735" spans="1:6" x14ac:dyDescent="0.2">
      <c r="A735" s="8" t="s">
        <v>11</v>
      </c>
      <c r="B735" s="112" t="s">
        <v>256</v>
      </c>
      <c r="C735" s="41" t="e">
        <f>#REF!</f>
        <v>#REF!</v>
      </c>
      <c r="D735" s="8" t="s">
        <v>22</v>
      </c>
      <c r="E735" s="15">
        <f>E295</f>
        <v>150</v>
      </c>
      <c r="F735" s="15" t="e">
        <f>C735*E735</f>
        <v>#REF!</v>
      </c>
    </row>
    <row r="736" spans="1:6" x14ac:dyDescent="0.2">
      <c r="A736" s="39"/>
      <c r="B736" s="12"/>
      <c r="C736" s="189"/>
      <c r="D736" s="39"/>
      <c r="E736" s="19"/>
      <c r="F736" s="19"/>
    </row>
    <row r="737" spans="1:6" x14ac:dyDescent="0.2">
      <c r="B737" s="69" t="s">
        <v>257</v>
      </c>
    </row>
    <row r="738" spans="1:6" x14ac:dyDescent="0.2">
      <c r="B738" s="69"/>
    </row>
    <row r="739" spans="1:6" x14ac:dyDescent="0.2">
      <c r="B739" s="56" t="s">
        <v>153</v>
      </c>
    </row>
    <row r="740" spans="1:6" x14ac:dyDescent="0.2">
      <c r="B740" s="56" t="s">
        <v>258</v>
      </c>
    </row>
    <row r="741" spans="1:6" x14ac:dyDescent="0.2">
      <c r="B741" s="12"/>
    </row>
    <row r="742" spans="1:6" x14ac:dyDescent="0.2">
      <c r="A742" s="8" t="s">
        <v>12</v>
      </c>
      <c r="B742" s="12" t="s">
        <v>255</v>
      </c>
      <c r="C742" s="41" t="e">
        <f>#REF!</f>
        <v>#REF!</v>
      </c>
      <c r="D742" s="8" t="s">
        <v>35</v>
      </c>
      <c r="E742" s="15">
        <f>E303</f>
        <v>750</v>
      </c>
      <c r="F742" s="15" t="e">
        <f>C742*E742</f>
        <v>#REF!</v>
      </c>
    </row>
    <row r="743" spans="1:6" x14ac:dyDescent="0.2">
      <c r="B743" s="12"/>
    </row>
    <row r="744" spans="1:6" x14ac:dyDescent="0.2">
      <c r="A744" s="8" t="s">
        <v>13</v>
      </c>
      <c r="B744" s="112" t="s">
        <v>256</v>
      </c>
      <c r="C744" s="41" t="e">
        <f>#REF!</f>
        <v>#REF!</v>
      </c>
      <c r="D744" s="8" t="s">
        <v>22</v>
      </c>
      <c r="E744" s="15">
        <f>E305</f>
        <v>225</v>
      </c>
      <c r="F744" s="15" t="e">
        <f>C744*E744</f>
        <v>#REF!</v>
      </c>
    </row>
    <row r="745" spans="1:6" x14ac:dyDescent="0.2">
      <c r="B745" s="12"/>
    </row>
    <row r="746" spans="1:6" x14ac:dyDescent="0.2">
      <c r="A746" s="8" t="s">
        <v>246</v>
      </c>
      <c r="B746" s="12" t="s">
        <v>247</v>
      </c>
      <c r="C746" s="41">
        <f>C710</f>
        <v>0</v>
      </c>
      <c r="D746" s="8" t="s">
        <v>22</v>
      </c>
      <c r="E746" s="15">
        <f>E744</f>
        <v>225</v>
      </c>
      <c r="F746" s="15">
        <f>C746*E746</f>
        <v>0</v>
      </c>
    </row>
    <row r="747" spans="1:6" x14ac:dyDescent="0.2">
      <c r="B747" s="12"/>
    </row>
    <row r="748" spans="1:6" x14ac:dyDescent="0.2">
      <c r="A748" s="39"/>
      <c r="B748" s="3" t="s">
        <v>158</v>
      </c>
      <c r="C748" s="51"/>
      <c r="E748" s="10" t="s">
        <v>15</v>
      </c>
      <c r="F748" s="11" t="e">
        <f>SUM(F696:F745)</f>
        <v>#REF!</v>
      </c>
    </row>
    <row r="749" spans="1:6" x14ac:dyDescent="0.2">
      <c r="B749" s="69" t="s">
        <v>236</v>
      </c>
    </row>
    <row r="751" spans="1:6" s="70" customFormat="1" ht="24" x14ac:dyDescent="0.25">
      <c r="A751" s="113"/>
      <c r="B751" s="114" t="s">
        <v>259</v>
      </c>
      <c r="C751" s="190"/>
      <c r="D751" s="113"/>
      <c r="E751" s="115"/>
      <c r="F751" s="115"/>
    </row>
    <row r="752" spans="1:6" x14ac:dyDescent="0.2">
      <c r="B752" s="12"/>
    </row>
    <row r="753" spans="1:6" x14ac:dyDescent="0.2">
      <c r="A753" s="8" t="s">
        <v>2</v>
      </c>
      <c r="B753" s="12" t="s">
        <v>260</v>
      </c>
      <c r="C753" s="41" t="e">
        <f>#REF!</f>
        <v>#REF!</v>
      </c>
      <c r="D753" s="8" t="s">
        <v>35</v>
      </c>
      <c r="E753" s="15">
        <v>850</v>
      </c>
      <c r="F753" s="15" t="e">
        <f>C753*E753</f>
        <v>#REF!</v>
      </c>
    </row>
    <row r="754" spans="1:6" x14ac:dyDescent="0.2">
      <c r="B754" s="12"/>
    </row>
    <row r="755" spans="1:6" x14ac:dyDescent="0.2">
      <c r="A755" s="8" t="s">
        <v>4</v>
      </c>
      <c r="B755" s="12" t="s">
        <v>256</v>
      </c>
      <c r="C755" s="41">
        <v>0</v>
      </c>
      <c r="D755" s="8" t="s">
        <v>22</v>
      </c>
      <c r="E755" s="15">
        <f>E753*0.3</f>
        <v>255</v>
      </c>
      <c r="F755" s="15">
        <f>C755*E755</f>
        <v>0</v>
      </c>
    </row>
    <row r="756" spans="1:6" x14ac:dyDescent="0.2">
      <c r="B756" s="12"/>
    </row>
    <row r="757" spans="1:6" x14ac:dyDescent="0.2">
      <c r="A757" s="8" t="s">
        <v>5</v>
      </c>
      <c r="B757" s="12" t="s">
        <v>487</v>
      </c>
      <c r="C757" s="41" t="e">
        <f>#REF!</f>
        <v>#REF!</v>
      </c>
      <c r="D757" s="8" t="s">
        <v>35</v>
      </c>
      <c r="E757" s="15">
        <f>E753</f>
        <v>850</v>
      </c>
      <c r="F757" s="15" t="e">
        <f>C757*E757</f>
        <v>#REF!</v>
      </c>
    </row>
    <row r="758" spans="1:6" x14ac:dyDescent="0.2">
      <c r="B758" s="12"/>
    </row>
    <row r="759" spans="1:6" x14ac:dyDescent="0.2">
      <c r="B759" s="3" t="s">
        <v>158</v>
      </c>
      <c r="C759" s="51"/>
      <c r="E759" s="10" t="s">
        <v>15</v>
      </c>
      <c r="F759" s="11" t="e">
        <f>SUM(F752:F758)</f>
        <v>#REF!</v>
      </c>
    </row>
    <row r="761" spans="1:6" x14ac:dyDescent="0.2">
      <c r="B761" s="48" t="s">
        <v>92</v>
      </c>
    </row>
    <row r="763" spans="1:6" x14ac:dyDescent="0.2">
      <c r="B763" s="52" t="s">
        <v>261</v>
      </c>
      <c r="E763" s="15" t="e">
        <f>F748</f>
        <v>#REF!</v>
      </c>
    </row>
    <row r="764" spans="1:6" x14ac:dyDescent="0.2">
      <c r="B764" s="52"/>
    </row>
    <row r="765" spans="1:6" x14ac:dyDescent="0.2">
      <c r="B765" s="52" t="s">
        <v>262</v>
      </c>
      <c r="E765" s="15" t="e">
        <f>F759</f>
        <v>#REF!</v>
      </c>
      <c r="F765" s="78"/>
    </row>
    <row r="799" spans="2:6" x14ac:dyDescent="0.2">
      <c r="B799" s="9" t="s">
        <v>263</v>
      </c>
    </row>
    <row r="800" spans="2:6" x14ac:dyDescent="0.2">
      <c r="B800" s="3" t="s">
        <v>95</v>
      </c>
      <c r="E800" s="10" t="s">
        <v>15</v>
      </c>
      <c r="F800" s="55" t="e">
        <f>SUM(E762:E766)</f>
        <v>#REF!</v>
      </c>
    </row>
    <row r="801" spans="1:6" x14ac:dyDescent="0.2">
      <c r="B801" s="69" t="s">
        <v>264</v>
      </c>
      <c r="C801" s="191"/>
      <c r="D801" s="14"/>
    </row>
    <row r="802" spans="1:6" x14ac:dyDescent="0.2">
      <c r="B802" s="15"/>
      <c r="C802" s="191"/>
      <c r="D802" s="14"/>
    </row>
    <row r="803" spans="1:6" x14ac:dyDescent="0.2">
      <c r="B803" s="13" t="s">
        <v>265</v>
      </c>
      <c r="C803" s="191"/>
      <c r="D803" s="14"/>
    </row>
    <row r="804" spans="1:6" x14ac:dyDescent="0.2">
      <c r="B804" s="15"/>
      <c r="C804" s="191"/>
      <c r="D804" s="14"/>
    </row>
    <row r="805" spans="1:6" x14ac:dyDescent="0.2">
      <c r="B805" s="13" t="s">
        <v>266</v>
      </c>
      <c r="C805" s="191"/>
      <c r="D805" s="14"/>
    </row>
    <row r="806" spans="1:6" x14ac:dyDescent="0.2">
      <c r="B806" s="69" t="s">
        <v>267</v>
      </c>
    </row>
    <row r="807" spans="1:6" x14ac:dyDescent="0.2">
      <c r="B807" s="12"/>
    </row>
    <row r="808" spans="1:6" x14ac:dyDescent="0.2">
      <c r="B808" s="56" t="s">
        <v>268</v>
      </c>
    </row>
    <row r="809" spans="1:6" x14ac:dyDescent="0.2">
      <c r="B809" s="56" t="s">
        <v>269</v>
      </c>
    </row>
    <row r="810" spans="1:6" x14ac:dyDescent="0.2">
      <c r="B810" s="12"/>
    </row>
    <row r="811" spans="1:6" x14ac:dyDescent="0.2">
      <c r="A811" s="8" t="s">
        <v>2</v>
      </c>
      <c r="B811" s="12" t="s">
        <v>270</v>
      </c>
    </row>
    <row r="812" spans="1:6" ht="14.25" x14ac:dyDescent="0.3">
      <c r="B812" s="12" t="s">
        <v>271</v>
      </c>
      <c r="C812" s="171" t="e">
        <f>#REF!+#REF!</f>
        <v>#REF!</v>
      </c>
      <c r="D812" s="8" t="s">
        <v>35</v>
      </c>
      <c r="E812" s="15">
        <v>1200</v>
      </c>
      <c r="F812" s="15" t="e">
        <f>C812*E812</f>
        <v>#REF!</v>
      </c>
    </row>
    <row r="813" spans="1:6" ht="14.25" x14ac:dyDescent="0.3">
      <c r="B813" s="12"/>
      <c r="C813" s="171"/>
    </row>
    <row r="814" spans="1:6" ht="14.25" x14ac:dyDescent="0.3">
      <c r="A814" s="8" t="s">
        <v>4</v>
      </c>
      <c r="B814" s="12" t="s">
        <v>272</v>
      </c>
      <c r="C814" s="171" t="e">
        <f>#REF!+#REF!</f>
        <v>#REF!</v>
      </c>
      <c r="D814" s="8" t="s">
        <v>22</v>
      </c>
      <c r="E814" s="15">
        <f>E812*0.3</f>
        <v>360</v>
      </c>
      <c r="F814" s="15" t="e">
        <f>C814*E814</f>
        <v>#REF!</v>
      </c>
    </row>
    <row r="815" spans="1:6" ht="14.25" x14ac:dyDescent="0.3">
      <c r="B815" s="12"/>
      <c r="C815" s="171"/>
    </row>
    <row r="816" spans="1:6" ht="14.25" x14ac:dyDescent="0.3">
      <c r="B816" s="69" t="s">
        <v>251</v>
      </c>
      <c r="C816" s="171"/>
    </row>
    <row r="817" spans="1:6" ht="14.25" x14ac:dyDescent="0.3">
      <c r="B817" s="12"/>
      <c r="C817" s="171"/>
    </row>
    <row r="818" spans="1:6" ht="24" x14ac:dyDescent="0.3">
      <c r="B818" s="75" t="s">
        <v>273</v>
      </c>
      <c r="C818" s="171"/>
    </row>
    <row r="819" spans="1:6" ht="14.25" x14ac:dyDescent="0.3">
      <c r="B819" s="12"/>
      <c r="C819" s="171"/>
    </row>
    <row r="820" spans="1:6" ht="14.25" x14ac:dyDescent="0.3">
      <c r="A820" s="8" t="s">
        <v>5</v>
      </c>
      <c r="B820" s="12" t="s">
        <v>274</v>
      </c>
      <c r="C820" s="171"/>
    </row>
    <row r="821" spans="1:6" ht="14.25" x14ac:dyDescent="0.3">
      <c r="B821" s="12" t="s">
        <v>275</v>
      </c>
      <c r="C821" s="171" t="e">
        <f>#REF!+#REF!</f>
        <v>#REF!</v>
      </c>
      <c r="D821" s="8" t="s">
        <v>35</v>
      </c>
      <c r="E821" s="15">
        <v>7800</v>
      </c>
      <c r="F821" s="15" t="e">
        <f>C821*E821</f>
        <v>#REF!</v>
      </c>
    </row>
    <row r="822" spans="1:6" ht="14.25" x14ac:dyDescent="0.3">
      <c r="B822" s="12"/>
      <c r="C822" s="171"/>
    </row>
    <row r="823" spans="1:6" ht="14.25" x14ac:dyDescent="0.3">
      <c r="A823" s="8" t="s">
        <v>6</v>
      </c>
      <c r="B823" s="12" t="s">
        <v>276</v>
      </c>
      <c r="C823" s="171" t="e">
        <f>#REF!+#REF!</f>
        <v>#REF!</v>
      </c>
      <c r="D823" s="8" t="s">
        <v>22</v>
      </c>
      <c r="E823" s="15">
        <f>E821*0.3</f>
        <v>2340</v>
      </c>
      <c r="F823" s="15" t="e">
        <f>C823*E823</f>
        <v>#REF!</v>
      </c>
    </row>
    <row r="824" spans="1:6" x14ac:dyDescent="0.2">
      <c r="B824" s="12"/>
    </row>
    <row r="825" spans="1:6" x14ac:dyDescent="0.2">
      <c r="B825" s="56" t="s">
        <v>277</v>
      </c>
    </row>
    <row r="826" spans="1:6" x14ac:dyDescent="0.2">
      <c r="B826" s="56" t="s">
        <v>278</v>
      </c>
    </row>
    <row r="827" spans="1:6" x14ac:dyDescent="0.2">
      <c r="B827" s="12"/>
    </row>
    <row r="828" spans="1:6" x14ac:dyDescent="0.2">
      <c r="A828" s="8" t="s">
        <v>7</v>
      </c>
      <c r="B828" s="12" t="s">
        <v>274</v>
      </c>
    </row>
    <row r="829" spans="1:6" ht="14.25" x14ac:dyDescent="0.3">
      <c r="B829" s="12" t="s">
        <v>275</v>
      </c>
      <c r="C829" s="171" t="e">
        <f>#REF!+#REF!+#REF!+#REF!</f>
        <v>#REF!</v>
      </c>
      <c r="D829" s="8" t="s">
        <v>35</v>
      </c>
      <c r="E829" s="15">
        <f>E727</f>
        <v>4500</v>
      </c>
      <c r="F829" s="15" t="e">
        <f>C829*E829</f>
        <v>#REF!</v>
      </c>
    </row>
    <row r="830" spans="1:6" ht="14.25" x14ac:dyDescent="0.3">
      <c r="B830" s="12"/>
      <c r="C830" s="171"/>
    </row>
    <row r="831" spans="1:6" ht="14.25" x14ac:dyDescent="0.3">
      <c r="A831" s="8" t="s">
        <v>8</v>
      </c>
      <c r="B831" s="12" t="s">
        <v>276</v>
      </c>
      <c r="C831" s="171" t="e">
        <f>#REF!+#REF!+#REF!</f>
        <v>#REF!</v>
      </c>
      <c r="D831" s="8" t="s">
        <v>22</v>
      </c>
      <c r="E831" s="15">
        <f>E829*0.3</f>
        <v>1350</v>
      </c>
      <c r="F831" s="15" t="e">
        <f>C831*E831</f>
        <v>#REF!</v>
      </c>
    </row>
    <row r="832" spans="1:6" x14ac:dyDescent="0.2">
      <c r="B832" s="12"/>
    </row>
    <row r="833" spans="2:6" x14ac:dyDescent="0.2">
      <c r="B833" s="12"/>
    </row>
    <row r="834" spans="2:6" x14ac:dyDescent="0.2">
      <c r="B834" s="12"/>
    </row>
    <row r="835" spans="2:6" x14ac:dyDescent="0.2">
      <c r="B835" s="12"/>
    </row>
    <row r="836" spans="2:6" x14ac:dyDescent="0.2">
      <c r="B836" s="12"/>
    </row>
    <row r="837" spans="2:6" x14ac:dyDescent="0.2">
      <c r="B837" s="12"/>
    </row>
    <row r="838" spans="2:6" x14ac:dyDescent="0.2">
      <c r="B838" s="12"/>
    </row>
    <row r="839" spans="2:6" x14ac:dyDescent="0.2">
      <c r="B839" s="12"/>
    </row>
    <row r="840" spans="2:6" x14ac:dyDescent="0.2">
      <c r="B840" s="12"/>
    </row>
    <row r="841" spans="2:6" x14ac:dyDescent="0.2">
      <c r="B841" s="12"/>
    </row>
    <row r="842" spans="2:6" x14ac:dyDescent="0.2">
      <c r="B842" s="12"/>
    </row>
    <row r="843" spans="2:6" x14ac:dyDescent="0.2">
      <c r="B843" s="12"/>
    </row>
    <row r="844" spans="2:6" x14ac:dyDescent="0.2">
      <c r="B844" s="12"/>
    </row>
    <row r="845" spans="2:6" x14ac:dyDescent="0.2">
      <c r="B845" s="12"/>
    </row>
    <row r="846" spans="2:6" x14ac:dyDescent="0.2">
      <c r="B846" s="69" t="s">
        <v>279</v>
      </c>
    </row>
    <row r="847" spans="2:6" x14ac:dyDescent="0.2">
      <c r="B847" s="3" t="s">
        <v>95</v>
      </c>
      <c r="E847" s="10" t="s">
        <v>15</v>
      </c>
      <c r="F847" s="11" t="e">
        <f>SUM(F808:F846)</f>
        <v>#REF!</v>
      </c>
    </row>
    <row r="848" spans="2:6" x14ac:dyDescent="0.2">
      <c r="B848" s="9" t="s">
        <v>280</v>
      </c>
      <c r="E848" s="10"/>
      <c r="F848" s="11"/>
    </row>
    <row r="849" spans="1:8" x14ac:dyDescent="0.2">
      <c r="B849" s="3"/>
      <c r="E849" s="10"/>
      <c r="F849" s="11"/>
    </row>
    <row r="850" spans="1:8" x14ac:dyDescent="0.2">
      <c r="B850" s="13" t="s">
        <v>281</v>
      </c>
      <c r="C850" s="191"/>
      <c r="D850" s="14"/>
    </row>
    <row r="851" spans="1:8" x14ac:dyDescent="0.2">
      <c r="B851" s="15"/>
      <c r="C851" s="191"/>
      <c r="D851" s="14"/>
    </row>
    <row r="852" spans="1:8" s="21" customFormat="1" x14ac:dyDescent="0.2">
      <c r="A852" s="16"/>
      <c r="B852" s="116" t="s">
        <v>282</v>
      </c>
      <c r="C852" s="104"/>
      <c r="D852" s="16"/>
      <c r="E852" s="105"/>
      <c r="F852" s="93"/>
    </row>
    <row r="853" spans="1:8" s="21" customFormat="1" ht="12" customHeight="1" x14ac:dyDescent="0.2">
      <c r="A853" s="16"/>
      <c r="B853" s="116"/>
      <c r="C853" s="104"/>
      <c r="D853" s="16"/>
      <c r="E853" s="105"/>
      <c r="F853" s="93"/>
    </row>
    <row r="854" spans="1:8" s="21" customFormat="1" x14ac:dyDescent="0.2">
      <c r="A854" s="16"/>
      <c r="B854" s="117" t="s">
        <v>283</v>
      </c>
      <c r="C854" s="104"/>
      <c r="D854" s="16"/>
      <c r="E854" s="118"/>
      <c r="F854" s="42"/>
    </row>
    <row r="855" spans="1:8" s="21" customFormat="1" ht="12" customHeight="1" x14ac:dyDescent="0.2">
      <c r="A855" s="16"/>
      <c r="B855" s="119"/>
      <c r="C855" s="104"/>
      <c r="D855" s="16"/>
      <c r="E855" s="118"/>
      <c r="F855" s="42"/>
    </row>
    <row r="856" spans="1:8" s="21" customFormat="1" x14ac:dyDescent="0.2">
      <c r="A856" s="16"/>
      <c r="B856" s="22" t="s">
        <v>284</v>
      </c>
      <c r="C856" s="104"/>
      <c r="D856" s="16"/>
      <c r="E856" s="118"/>
      <c r="F856" s="42"/>
    </row>
    <row r="857" spans="1:8" s="21" customFormat="1" ht="12" customHeight="1" x14ac:dyDescent="0.2">
      <c r="A857" s="16"/>
      <c r="B857" s="119"/>
      <c r="C857" s="104"/>
      <c r="D857" s="16"/>
      <c r="E857" s="118"/>
      <c r="F857" s="42"/>
    </row>
    <row r="858" spans="1:8" s="21" customFormat="1" ht="13.5" x14ac:dyDescent="0.2">
      <c r="A858" s="16" t="s">
        <v>2</v>
      </c>
      <c r="B858" s="119" t="s">
        <v>285</v>
      </c>
      <c r="C858" s="188" t="e">
        <f>#REF!</f>
        <v>#REF!</v>
      </c>
      <c r="D858" s="16" t="s">
        <v>18</v>
      </c>
      <c r="E858" s="118">
        <f>E700</f>
        <v>1000</v>
      </c>
      <c r="F858" s="42" t="e">
        <f>C858*E858</f>
        <v>#REF!</v>
      </c>
      <c r="G858" s="120"/>
      <c r="H858" s="95"/>
    </row>
    <row r="859" spans="1:8" s="21" customFormat="1" ht="12" customHeight="1" x14ac:dyDescent="0.2">
      <c r="A859" s="16"/>
      <c r="B859" s="119"/>
      <c r="C859" s="180"/>
      <c r="D859" s="16"/>
      <c r="E859" s="118"/>
      <c r="F859" s="42"/>
    </row>
    <row r="860" spans="1:8" s="21" customFormat="1" ht="12.75" x14ac:dyDescent="0.2">
      <c r="A860" s="16"/>
      <c r="B860" s="121" t="s">
        <v>286</v>
      </c>
      <c r="C860" s="180"/>
      <c r="D860" s="16"/>
      <c r="E860" s="105"/>
      <c r="F860" s="93"/>
    </row>
    <row r="861" spans="1:8" s="21" customFormat="1" ht="12" customHeight="1" x14ac:dyDescent="0.2">
      <c r="A861" s="16"/>
      <c r="B861" s="119"/>
      <c r="C861" s="180"/>
      <c r="D861" s="16"/>
      <c r="E861" s="105"/>
      <c r="F861" s="93"/>
    </row>
    <row r="862" spans="1:8" s="21" customFormat="1" ht="12.75" x14ac:dyDescent="0.2">
      <c r="A862" s="16" t="s">
        <v>4</v>
      </c>
      <c r="B862" s="119" t="s">
        <v>287</v>
      </c>
      <c r="C862" s="180" t="e">
        <f>#REF!</f>
        <v>#REF!</v>
      </c>
      <c r="D862" s="16" t="s">
        <v>22</v>
      </c>
      <c r="E862" s="118">
        <v>300</v>
      </c>
      <c r="F862" s="42" t="e">
        <f>C862*E862</f>
        <v>#REF!</v>
      </c>
      <c r="G862" s="120"/>
      <c r="H862" s="95"/>
    </row>
    <row r="863" spans="1:8" s="21" customFormat="1" ht="12" customHeight="1" x14ac:dyDescent="0.2">
      <c r="A863" s="16"/>
      <c r="B863" s="119"/>
      <c r="C863" s="180"/>
      <c r="D863" s="16"/>
      <c r="E863" s="118"/>
      <c r="F863" s="42"/>
    </row>
    <row r="864" spans="1:8" s="21" customFormat="1" ht="12.75" x14ac:dyDescent="0.2">
      <c r="A864" s="16"/>
      <c r="B864" s="17" t="s">
        <v>288</v>
      </c>
      <c r="C864" s="180"/>
      <c r="D864" s="16"/>
      <c r="E864" s="122"/>
      <c r="F864" s="123"/>
    </row>
    <row r="865" spans="1:7" s="21" customFormat="1" ht="12.75" x14ac:dyDescent="0.2">
      <c r="A865" s="16"/>
      <c r="B865" s="17"/>
      <c r="C865" s="180"/>
      <c r="D865" s="16"/>
      <c r="E865" s="122"/>
      <c r="F865" s="123"/>
    </row>
    <row r="866" spans="1:7" s="21" customFormat="1" ht="13.5" x14ac:dyDescent="0.2">
      <c r="A866" s="16" t="s">
        <v>5</v>
      </c>
      <c r="B866" s="15" t="s">
        <v>289</v>
      </c>
      <c r="C866" s="180" t="e">
        <f>#REF!+#REF!</f>
        <v>#REF!</v>
      </c>
      <c r="D866" s="16" t="s">
        <v>18</v>
      </c>
      <c r="E866" s="118">
        <v>8000</v>
      </c>
      <c r="F866" s="42" t="e">
        <f>C866*E866</f>
        <v>#REF!</v>
      </c>
    </row>
    <row r="867" spans="1:7" s="21" customFormat="1" ht="18" customHeight="1" x14ac:dyDescent="0.25">
      <c r="A867" s="16"/>
      <c r="B867" s="15" t="s">
        <v>290</v>
      </c>
      <c r="C867" s="186"/>
    </row>
    <row r="868" spans="1:7" s="21" customFormat="1" ht="18" customHeight="1" x14ac:dyDescent="0.2">
      <c r="A868" s="16"/>
      <c r="B868" s="15"/>
      <c r="C868" s="180"/>
      <c r="D868" s="16"/>
      <c r="E868" s="124"/>
      <c r="F868" s="125"/>
    </row>
    <row r="869" spans="1:7" s="21" customFormat="1" ht="13.5" x14ac:dyDescent="0.2">
      <c r="A869" s="16" t="s">
        <v>6</v>
      </c>
      <c r="B869" s="15" t="s">
        <v>291</v>
      </c>
      <c r="C869" s="180"/>
      <c r="D869" s="16" t="s">
        <v>18</v>
      </c>
      <c r="E869" s="122">
        <v>3800</v>
      </c>
      <c r="F869" s="42">
        <f>C869*E869</f>
        <v>0</v>
      </c>
    </row>
    <row r="870" spans="1:7" s="21" customFormat="1" x14ac:dyDescent="0.2">
      <c r="A870" s="16"/>
      <c r="B870" s="15" t="s">
        <v>292</v>
      </c>
      <c r="C870" s="23"/>
    </row>
    <row r="871" spans="1:7" s="21" customFormat="1" x14ac:dyDescent="0.2">
      <c r="A871" s="16"/>
      <c r="C871" s="104"/>
      <c r="D871" s="16"/>
      <c r="E871" s="122"/>
      <c r="F871" s="125"/>
    </row>
    <row r="872" spans="1:7" s="20" customFormat="1" x14ac:dyDescent="0.2">
      <c r="A872" s="16"/>
      <c r="B872" s="17" t="s">
        <v>150</v>
      </c>
      <c r="C872" s="192"/>
      <c r="D872" s="16"/>
      <c r="E872" s="18"/>
      <c r="F872" s="19"/>
    </row>
    <row r="873" spans="1:7" s="20" customFormat="1" x14ac:dyDescent="0.2">
      <c r="A873" s="16"/>
      <c r="B873" s="21"/>
      <c r="C873" s="192"/>
      <c r="D873" s="16"/>
      <c r="E873" s="18"/>
      <c r="F873" s="19"/>
    </row>
    <row r="874" spans="1:7" s="20" customFormat="1" ht="30" customHeight="1" x14ac:dyDescent="0.2">
      <c r="A874" s="16"/>
      <c r="B874" s="22" t="s">
        <v>293</v>
      </c>
      <c r="C874" s="192"/>
      <c r="D874" s="16"/>
      <c r="E874" s="18"/>
      <c r="F874" s="19"/>
    </row>
    <row r="875" spans="1:7" s="20" customFormat="1" x14ac:dyDescent="0.2">
      <c r="A875" s="16"/>
      <c r="B875" s="21"/>
      <c r="C875" s="192"/>
      <c r="D875" s="16"/>
      <c r="E875" s="18"/>
      <c r="F875" s="19"/>
    </row>
    <row r="876" spans="1:7" s="20" customFormat="1" ht="13.5" x14ac:dyDescent="0.25">
      <c r="A876" s="23" t="s">
        <v>7</v>
      </c>
      <c r="B876" s="119" t="s">
        <v>40</v>
      </c>
      <c r="C876" s="182" t="e">
        <f>#REF!</f>
        <v>#REF!</v>
      </c>
      <c r="D876" s="16" t="s">
        <v>18</v>
      </c>
      <c r="E876" s="24">
        <f>E733</f>
        <v>500</v>
      </c>
      <c r="F876" s="15" t="e">
        <f>C876*E876</f>
        <v>#REF!</v>
      </c>
    </row>
    <row r="877" spans="1:7" s="20" customFormat="1" x14ac:dyDescent="0.2">
      <c r="A877" s="23"/>
      <c r="B877" s="21"/>
      <c r="C877" s="193"/>
      <c r="D877" s="16"/>
      <c r="E877" s="24"/>
      <c r="F877" s="15"/>
    </row>
    <row r="878" spans="1:7" s="21" customFormat="1" x14ac:dyDescent="0.2">
      <c r="A878" s="16"/>
      <c r="B878" s="121" t="s">
        <v>152</v>
      </c>
      <c r="C878" s="104"/>
      <c r="D878" s="16"/>
      <c r="E878" s="105"/>
      <c r="F878" s="93"/>
      <c r="G878" s="126"/>
    </row>
    <row r="879" spans="1:7" s="21" customFormat="1" ht="12" customHeight="1" x14ac:dyDescent="0.2">
      <c r="A879" s="16"/>
      <c r="B879" s="119"/>
      <c r="C879" s="104"/>
      <c r="D879" s="16"/>
      <c r="E879" s="105"/>
      <c r="F879" s="93"/>
    </row>
    <row r="880" spans="1:7" s="21" customFormat="1" x14ac:dyDescent="0.2">
      <c r="A880" s="16"/>
      <c r="B880" s="91" t="s">
        <v>153</v>
      </c>
      <c r="C880" s="104"/>
      <c r="D880" s="16"/>
      <c r="E880" s="105"/>
      <c r="F880" s="93"/>
    </row>
    <row r="881" spans="1:8" s="21" customFormat="1" ht="12" customHeight="1" x14ac:dyDescent="0.2">
      <c r="A881" s="16"/>
      <c r="B881" s="91" t="s">
        <v>294</v>
      </c>
      <c r="C881" s="104"/>
      <c r="D881" s="16"/>
      <c r="E881" s="105"/>
      <c r="F881" s="93"/>
    </row>
    <row r="882" spans="1:8" s="21" customFormat="1" ht="12" customHeight="1" x14ac:dyDescent="0.2">
      <c r="A882" s="16"/>
      <c r="B882" s="91"/>
      <c r="C882" s="104"/>
      <c r="D882" s="16"/>
      <c r="E882" s="105"/>
      <c r="F882" s="93"/>
    </row>
    <row r="883" spans="1:8" s="21" customFormat="1" ht="13.5" x14ac:dyDescent="0.2">
      <c r="A883" s="16" t="s">
        <v>8</v>
      </c>
      <c r="B883" s="119" t="s">
        <v>40</v>
      </c>
      <c r="C883" s="104" t="e">
        <f>#REF!+#REF!</f>
        <v>#REF!</v>
      </c>
      <c r="D883" s="16" t="s">
        <v>18</v>
      </c>
      <c r="E883" s="105">
        <f>E742</f>
        <v>750</v>
      </c>
      <c r="F883" s="93" t="e">
        <f>C883*E883</f>
        <v>#REF!</v>
      </c>
      <c r="G883" s="120"/>
      <c r="H883" s="95"/>
    </row>
    <row r="884" spans="1:8" s="21" customFormat="1" ht="12" customHeight="1" x14ac:dyDescent="0.2">
      <c r="A884" s="16"/>
      <c r="B884" s="119"/>
      <c r="C884" s="104"/>
      <c r="D884" s="16"/>
      <c r="E884" s="105"/>
      <c r="F884" s="93"/>
    </row>
    <row r="885" spans="1:8" s="21" customFormat="1" ht="12" customHeight="1" x14ac:dyDescent="0.2">
      <c r="A885" s="16"/>
      <c r="B885" s="116"/>
      <c r="C885" s="194"/>
      <c r="D885" s="127"/>
      <c r="E885" s="128"/>
      <c r="F885" s="129"/>
    </row>
    <row r="886" spans="1:8" s="21" customFormat="1" ht="12" customHeight="1" x14ac:dyDescent="0.2">
      <c r="A886" s="16"/>
      <c r="B886" s="116"/>
      <c r="C886" s="194"/>
      <c r="D886" s="127"/>
      <c r="E886" s="128"/>
      <c r="F886" s="129"/>
    </row>
    <row r="887" spans="1:8" s="21" customFormat="1" ht="12" customHeight="1" x14ac:dyDescent="0.2">
      <c r="A887" s="16"/>
      <c r="B887" s="116"/>
      <c r="C887" s="194"/>
      <c r="D887" s="127"/>
      <c r="E887" s="128"/>
      <c r="F887" s="129"/>
    </row>
    <row r="888" spans="1:8" s="21" customFormat="1" ht="12" customHeight="1" x14ac:dyDescent="0.2">
      <c r="A888" s="16"/>
      <c r="B888" s="116"/>
      <c r="C888" s="194"/>
      <c r="D888" s="127"/>
      <c r="E888" s="128"/>
      <c r="F888" s="129"/>
    </row>
    <row r="889" spans="1:8" s="21" customFormat="1" ht="12" customHeight="1" x14ac:dyDescent="0.2">
      <c r="A889" s="16"/>
      <c r="B889" s="116"/>
      <c r="C889" s="194"/>
      <c r="D889" s="127"/>
      <c r="E889" s="128"/>
      <c r="F889" s="129"/>
    </row>
    <row r="890" spans="1:8" s="21" customFormat="1" ht="12" customHeight="1" x14ac:dyDescent="0.2">
      <c r="A890" s="16"/>
      <c r="B890" s="116"/>
      <c r="C890" s="194"/>
      <c r="D890" s="127"/>
      <c r="E890" s="128"/>
      <c r="F890" s="129"/>
    </row>
    <row r="891" spans="1:8" s="21" customFormat="1" ht="12" customHeight="1" x14ac:dyDescent="0.2">
      <c r="A891" s="16"/>
      <c r="B891" s="116"/>
      <c r="C891" s="194"/>
      <c r="D891" s="127"/>
      <c r="E891" s="128"/>
      <c r="F891" s="129"/>
    </row>
    <row r="892" spans="1:8" s="21" customFormat="1" ht="12" customHeight="1" x14ac:dyDescent="0.2">
      <c r="A892" s="16"/>
      <c r="B892" s="116"/>
      <c r="C892" s="194"/>
      <c r="D892" s="127"/>
      <c r="E892" s="128"/>
      <c r="F892" s="129"/>
    </row>
    <row r="893" spans="1:8" s="21" customFormat="1" ht="12" customHeight="1" x14ac:dyDescent="0.2">
      <c r="A893" s="16"/>
      <c r="B893" s="116"/>
      <c r="C893" s="194"/>
      <c r="D893" s="127"/>
      <c r="E893" s="128"/>
      <c r="F893" s="129"/>
    </row>
    <row r="894" spans="1:8" s="21" customFormat="1" ht="12" customHeight="1" x14ac:dyDescent="0.2">
      <c r="A894" s="16"/>
      <c r="B894" s="116"/>
      <c r="C894" s="194"/>
      <c r="D894" s="127"/>
      <c r="E894" s="128"/>
      <c r="F894" s="129"/>
    </row>
    <row r="895" spans="1:8" s="21" customFormat="1" ht="12" customHeight="1" x14ac:dyDescent="0.2">
      <c r="A895" s="16"/>
      <c r="B895" s="116"/>
      <c r="C895" s="194"/>
      <c r="D895" s="127"/>
      <c r="E895" s="128"/>
      <c r="F895" s="129"/>
    </row>
    <row r="896" spans="1:8" s="21" customFormat="1" ht="12" customHeight="1" x14ac:dyDescent="0.2">
      <c r="A896" s="16"/>
      <c r="B896" s="116"/>
      <c r="C896" s="194"/>
      <c r="D896" s="127"/>
      <c r="E896" s="128"/>
      <c r="F896" s="129"/>
    </row>
    <row r="897" spans="1:8" x14ac:dyDescent="0.2">
      <c r="A897" s="14"/>
      <c r="B897" s="15"/>
      <c r="D897" s="14"/>
    </row>
    <row r="898" spans="1:8" x14ac:dyDescent="0.2">
      <c r="A898" s="14"/>
      <c r="B898" s="15"/>
    </row>
    <row r="899" spans="1:8" x14ac:dyDescent="0.2">
      <c r="A899" s="14"/>
      <c r="B899" s="11" t="s">
        <v>295</v>
      </c>
    </row>
    <row r="900" spans="1:8" x14ac:dyDescent="0.2">
      <c r="A900" s="14"/>
      <c r="B900" s="25" t="s">
        <v>95</v>
      </c>
      <c r="C900" s="191"/>
      <c r="D900" s="14"/>
      <c r="E900" s="10" t="s">
        <v>15</v>
      </c>
      <c r="F900" s="11" t="e">
        <f>SUM(F851:F899)</f>
        <v>#REF!</v>
      </c>
    </row>
    <row r="901" spans="1:8" s="30" customFormat="1" x14ac:dyDescent="0.25">
      <c r="A901" s="26"/>
      <c r="B901" s="27" t="s">
        <v>296</v>
      </c>
      <c r="C901" s="36"/>
      <c r="D901" s="26"/>
      <c r="E901" s="28"/>
      <c r="F901" s="29"/>
    </row>
    <row r="902" spans="1:8" s="30" customFormat="1" x14ac:dyDescent="0.25">
      <c r="A902" s="26"/>
      <c r="B902" s="31"/>
      <c r="C902" s="36"/>
      <c r="D902" s="26"/>
      <c r="E902" s="28"/>
      <c r="F902" s="29"/>
    </row>
    <row r="903" spans="1:8" s="30" customFormat="1" x14ac:dyDescent="0.25">
      <c r="A903" s="26"/>
      <c r="B903" s="27" t="s">
        <v>297</v>
      </c>
      <c r="C903" s="36"/>
      <c r="D903" s="26"/>
      <c r="E903" s="28"/>
      <c r="F903" s="29"/>
    </row>
    <row r="904" spans="1:8" s="134" customFormat="1" ht="24" x14ac:dyDescent="0.25">
      <c r="A904" s="130"/>
      <c r="B904" s="131" t="s">
        <v>298</v>
      </c>
      <c r="C904" s="130"/>
      <c r="D904" s="130"/>
      <c r="E904" s="132"/>
      <c r="F904" s="133"/>
    </row>
    <row r="905" spans="1:8" s="134" customFormat="1" x14ac:dyDescent="0.25">
      <c r="A905" s="130">
        <v>1</v>
      </c>
      <c r="B905" s="135" t="s">
        <v>299</v>
      </c>
      <c r="C905" s="130"/>
      <c r="D905" s="130" t="s">
        <v>21</v>
      </c>
      <c r="E905" s="132">
        <v>4500</v>
      </c>
      <c r="F905" s="133">
        <f t="shared" ref="F905:F918" si="0">C905*E905</f>
        <v>0</v>
      </c>
      <c r="G905" s="136"/>
      <c r="H905" s="137"/>
    </row>
    <row r="906" spans="1:8" s="134" customFormat="1" x14ac:dyDescent="0.25">
      <c r="A906" s="130">
        <v>2</v>
      </c>
      <c r="B906" s="135" t="s">
        <v>300</v>
      </c>
      <c r="C906" s="130"/>
      <c r="D906" s="130" t="s">
        <v>21</v>
      </c>
      <c r="E906" s="132">
        <v>2500</v>
      </c>
      <c r="F906" s="133">
        <f t="shared" si="0"/>
        <v>0</v>
      </c>
      <c r="G906" s="136"/>
      <c r="H906" s="137"/>
    </row>
    <row r="907" spans="1:8" s="134" customFormat="1" x14ac:dyDescent="0.25">
      <c r="A907" s="130">
        <v>3</v>
      </c>
      <c r="B907" s="135" t="s">
        <v>301</v>
      </c>
      <c r="C907" s="130"/>
      <c r="D907" s="130" t="s">
        <v>21</v>
      </c>
      <c r="E907" s="132">
        <v>2500</v>
      </c>
      <c r="F907" s="133">
        <f t="shared" si="0"/>
        <v>0</v>
      </c>
      <c r="G907" s="136"/>
      <c r="H907" s="137"/>
    </row>
    <row r="908" spans="1:8" s="134" customFormat="1" x14ac:dyDescent="0.25">
      <c r="A908" s="130">
        <v>4</v>
      </c>
      <c r="B908" s="135" t="s">
        <v>302</v>
      </c>
      <c r="C908" s="130"/>
      <c r="D908" s="130" t="s">
        <v>185</v>
      </c>
      <c r="E908" s="132">
        <v>2500</v>
      </c>
      <c r="F908" s="133">
        <f t="shared" si="0"/>
        <v>0</v>
      </c>
      <c r="G908" s="136"/>
      <c r="H908" s="137"/>
    </row>
    <row r="909" spans="1:8" s="134" customFormat="1" x14ac:dyDescent="0.25">
      <c r="A909" s="130">
        <v>5</v>
      </c>
      <c r="B909" s="135" t="s">
        <v>303</v>
      </c>
      <c r="C909" s="130"/>
      <c r="D909" s="130" t="s">
        <v>185</v>
      </c>
      <c r="E909" s="132">
        <v>1000</v>
      </c>
      <c r="F909" s="133">
        <f t="shared" si="0"/>
        <v>0</v>
      </c>
      <c r="G909" s="136"/>
      <c r="H909" s="137"/>
    </row>
    <row r="910" spans="1:8" s="134" customFormat="1" x14ac:dyDescent="0.25">
      <c r="A910" s="130">
        <v>6</v>
      </c>
      <c r="B910" s="135" t="s">
        <v>304</v>
      </c>
      <c r="C910" s="130"/>
      <c r="D910" s="130" t="s">
        <v>185</v>
      </c>
      <c r="E910" s="132">
        <v>1200</v>
      </c>
      <c r="F910" s="133">
        <f t="shared" si="0"/>
        <v>0</v>
      </c>
      <c r="G910" s="136"/>
      <c r="H910" s="137"/>
    </row>
    <row r="911" spans="1:8" s="134" customFormat="1" x14ac:dyDescent="0.25">
      <c r="A911" s="130">
        <v>7</v>
      </c>
      <c r="B911" s="135" t="s">
        <v>305</v>
      </c>
      <c r="C911" s="130"/>
      <c r="D911" s="130" t="s">
        <v>185</v>
      </c>
      <c r="E911" s="132">
        <v>1200</v>
      </c>
      <c r="F911" s="133">
        <f t="shared" si="0"/>
        <v>0</v>
      </c>
      <c r="G911" s="136"/>
      <c r="H911" s="137"/>
    </row>
    <row r="912" spans="1:8" s="134" customFormat="1" x14ac:dyDescent="0.25">
      <c r="A912" s="130">
        <v>8</v>
      </c>
      <c r="B912" s="135" t="s">
        <v>306</v>
      </c>
      <c r="C912" s="130"/>
      <c r="D912" s="130" t="s">
        <v>185</v>
      </c>
      <c r="E912" s="132">
        <v>220</v>
      </c>
      <c r="F912" s="133">
        <f t="shared" si="0"/>
        <v>0</v>
      </c>
      <c r="G912" s="136"/>
      <c r="H912" s="137"/>
    </row>
    <row r="913" spans="1:8" s="134" customFormat="1" x14ac:dyDescent="0.25">
      <c r="A913" s="130">
        <v>9</v>
      </c>
      <c r="B913" s="135" t="s">
        <v>307</v>
      </c>
      <c r="C913" s="130"/>
      <c r="D913" s="130" t="s">
        <v>185</v>
      </c>
      <c r="E913" s="132">
        <v>320</v>
      </c>
      <c r="F913" s="133">
        <f t="shared" si="0"/>
        <v>0</v>
      </c>
      <c r="G913" s="136"/>
      <c r="H913" s="137"/>
    </row>
    <row r="914" spans="1:8" s="134" customFormat="1" x14ac:dyDescent="0.25">
      <c r="A914" s="130">
        <v>10</v>
      </c>
      <c r="B914" s="135" t="s">
        <v>308</v>
      </c>
      <c r="C914" s="130"/>
      <c r="D914" s="130" t="s">
        <v>185</v>
      </c>
      <c r="E914" s="132">
        <v>220</v>
      </c>
      <c r="F914" s="133">
        <f t="shared" si="0"/>
        <v>0</v>
      </c>
      <c r="G914" s="136"/>
      <c r="H914" s="137"/>
    </row>
    <row r="915" spans="1:8" s="134" customFormat="1" x14ac:dyDescent="0.25">
      <c r="A915" s="130">
        <v>11</v>
      </c>
      <c r="B915" s="135" t="s">
        <v>309</v>
      </c>
      <c r="C915" s="130"/>
      <c r="D915" s="130" t="s">
        <v>185</v>
      </c>
      <c r="E915" s="132">
        <v>670</v>
      </c>
      <c r="F915" s="133">
        <f t="shared" si="0"/>
        <v>0</v>
      </c>
      <c r="G915" s="136"/>
      <c r="H915" s="137"/>
    </row>
    <row r="916" spans="1:8" s="134" customFormat="1" x14ac:dyDescent="0.25">
      <c r="A916" s="130">
        <v>12</v>
      </c>
      <c r="B916" s="135" t="s">
        <v>310</v>
      </c>
      <c r="C916" s="130"/>
      <c r="D916" s="130" t="s">
        <v>185</v>
      </c>
      <c r="E916" s="132">
        <v>3520</v>
      </c>
      <c r="F916" s="133">
        <f t="shared" si="0"/>
        <v>0</v>
      </c>
      <c r="G916" s="136"/>
      <c r="H916" s="137"/>
    </row>
    <row r="917" spans="1:8" s="134" customFormat="1" x14ac:dyDescent="0.25">
      <c r="A917" s="130">
        <v>13</v>
      </c>
      <c r="B917" s="135" t="s">
        <v>311</v>
      </c>
      <c r="C917" s="130"/>
      <c r="D917" s="130" t="s">
        <v>185</v>
      </c>
      <c r="E917" s="132">
        <v>420</v>
      </c>
      <c r="F917" s="133">
        <f t="shared" si="0"/>
        <v>0</v>
      </c>
      <c r="G917" s="136"/>
      <c r="H917" s="137"/>
    </row>
    <row r="918" spans="1:8" s="134" customFormat="1" x14ac:dyDescent="0.25">
      <c r="A918" s="130">
        <v>14</v>
      </c>
      <c r="B918" s="135" t="s">
        <v>312</v>
      </c>
      <c r="C918" s="130"/>
      <c r="D918" s="130" t="s">
        <v>185</v>
      </c>
      <c r="E918" s="132">
        <v>520</v>
      </c>
      <c r="F918" s="133">
        <f t="shared" si="0"/>
        <v>0</v>
      </c>
      <c r="G918" s="136"/>
      <c r="H918" s="137"/>
    </row>
    <row r="919" spans="1:8" s="134" customFormat="1" x14ac:dyDescent="0.25">
      <c r="A919" s="130"/>
      <c r="B919" s="131"/>
      <c r="C919" s="130"/>
      <c r="D919" s="130"/>
      <c r="E919" s="132"/>
      <c r="F919" s="133"/>
    </row>
    <row r="920" spans="1:8" s="134" customFormat="1" x14ac:dyDescent="0.25">
      <c r="A920" s="130"/>
      <c r="B920" s="138" t="s">
        <v>313</v>
      </c>
      <c r="C920" s="130"/>
      <c r="D920" s="130"/>
      <c r="E920" s="139"/>
      <c r="F920" s="140"/>
    </row>
    <row r="921" spans="1:8" s="134" customFormat="1" x14ac:dyDescent="0.25">
      <c r="A921" s="130">
        <v>1</v>
      </c>
      <c r="B921" s="135" t="s">
        <v>314</v>
      </c>
      <c r="C921" s="130"/>
      <c r="D921" s="130" t="s">
        <v>21</v>
      </c>
      <c r="E921" s="132">
        <v>3000</v>
      </c>
      <c r="F921" s="133">
        <f t="shared" ref="F921:F943" si="1">C921*E921</f>
        <v>0</v>
      </c>
      <c r="G921" s="136"/>
      <c r="H921" s="137"/>
    </row>
    <row r="922" spans="1:8" s="134" customFormat="1" x14ac:dyDescent="0.25">
      <c r="A922" s="130">
        <v>2</v>
      </c>
      <c r="B922" s="135" t="s">
        <v>315</v>
      </c>
      <c r="C922" s="130"/>
      <c r="D922" s="130" t="s">
        <v>21</v>
      </c>
      <c r="E922" s="132">
        <v>2000</v>
      </c>
      <c r="F922" s="133">
        <f t="shared" si="1"/>
        <v>0</v>
      </c>
      <c r="G922" s="136"/>
      <c r="H922" s="137"/>
    </row>
    <row r="923" spans="1:8" s="134" customFormat="1" x14ac:dyDescent="0.25">
      <c r="A923" s="130">
        <v>3</v>
      </c>
      <c r="B923" s="135" t="s">
        <v>316</v>
      </c>
      <c r="C923" s="130"/>
      <c r="D923" s="130" t="s">
        <v>21</v>
      </c>
      <c r="E923" s="132">
        <v>1700</v>
      </c>
      <c r="F923" s="133">
        <f t="shared" si="1"/>
        <v>0</v>
      </c>
      <c r="G923" s="136"/>
      <c r="H923" s="137"/>
    </row>
    <row r="924" spans="1:8" s="134" customFormat="1" x14ac:dyDescent="0.25">
      <c r="A924" s="130">
        <v>4</v>
      </c>
      <c r="B924" s="135" t="s">
        <v>317</v>
      </c>
      <c r="C924" s="130"/>
      <c r="D924" s="130" t="s">
        <v>185</v>
      </c>
      <c r="E924" s="132">
        <v>170</v>
      </c>
      <c r="F924" s="133">
        <f t="shared" si="1"/>
        <v>0</v>
      </c>
      <c r="G924" s="136"/>
      <c r="H924" s="137"/>
    </row>
    <row r="925" spans="1:8" s="134" customFormat="1" x14ac:dyDescent="0.25">
      <c r="A925" s="130">
        <v>5</v>
      </c>
      <c r="B925" s="135" t="s">
        <v>318</v>
      </c>
      <c r="C925" s="130"/>
      <c r="D925" s="130" t="s">
        <v>185</v>
      </c>
      <c r="E925" s="132">
        <v>170</v>
      </c>
      <c r="F925" s="133">
        <f t="shared" si="1"/>
        <v>0</v>
      </c>
      <c r="G925" s="136"/>
      <c r="H925" s="137"/>
    </row>
    <row r="926" spans="1:8" s="134" customFormat="1" x14ac:dyDescent="0.25">
      <c r="A926" s="130">
        <v>6</v>
      </c>
      <c r="B926" s="135" t="s">
        <v>319</v>
      </c>
      <c r="C926" s="130"/>
      <c r="D926" s="130" t="s">
        <v>185</v>
      </c>
      <c r="E926" s="132">
        <v>170</v>
      </c>
      <c r="F926" s="133">
        <f t="shared" si="1"/>
        <v>0</v>
      </c>
      <c r="G926" s="136"/>
      <c r="H926" s="137"/>
    </row>
    <row r="927" spans="1:8" s="134" customFormat="1" x14ac:dyDescent="0.25">
      <c r="A927" s="130">
        <v>7</v>
      </c>
      <c r="B927" s="135" t="s">
        <v>320</v>
      </c>
      <c r="C927" s="130"/>
      <c r="D927" s="130" t="s">
        <v>185</v>
      </c>
      <c r="E927" s="132">
        <v>170</v>
      </c>
      <c r="F927" s="133">
        <f t="shared" si="1"/>
        <v>0</v>
      </c>
      <c r="G927" s="136"/>
      <c r="H927" s="137"/>
    </row>
    <row r="928" spans="1:8" s="134" customFormat="1" x14ac:dyDescent="0.25">
      <c r="A928" s="130">
        <v>8</v>
      </c>
      <c r="B928" s="135" t="s">
        <v>321</v>
      </c>
      <c r="C928" s="130"/>
      <c r="D928" s="130" t="s">
        <v>185</v>
      </c>
      <c r="E928" s="132">
        <v>3050</v>
      </c>
      <c r="F928" s="133">
        <f t="shared" si="1"/>
        <v>0</v>
      </c>
      <c r="G928" s="136"/>
      <c r="H928" s="137"/>
    </row>
    <row r="929" spans="1:8" s="134" customFormat="1" x14ac:dyDescent="0.25">
      <c r="A929" s="130">
        <v>9</v>
      </c>
      <c r="B929" s="135" t="s">
        <v>322</v>
      </c>
      <c r="C929" s="130"/>
      <c r="D929" s="130" t="s">
        <v>185</v>
      </c>
      <c r="E929" s="132">
        <v>450</v>
      </c>
      <c r="F929" s="133">
        <f t="shared" si="1"/>
        <v>0</v>
      </c>
      <c r="G929" s="136"/>
      <c r="H929" s="137"/>
    </row>
    <row r="930" spans="1:8" s="134" customFormat="1" x14ac:dyDescent="0.25">
      <c r="A930" s="130">
        <v>10</v>
      </c>
      <c r="B930" s="135" t="s">
        <v>323</v>
      </c>
      <c r="C930" s="130"/>
      <c r="D930" s="130" t="s">
        <v>185</v>
      </c>
      <c r="E930" s="132">
        <v>140</v>
      </c>
      <c r="F930" s="133">
        <f t="shared" si="1"/>
        <v>0</v>
      </c>
      <c r="G930" s="136"/>
      <c r="H930" s="137"/>
    </row>
    <row r="931" spans="1:8" s="134" customFormat="1" x14ac:dyDescent="0.25">
      <c r="A931" s="130">
        <v>11</v>
      </c>
      <c r="B931" s="135" t="s">
        <v>324</v>
      </c>
      <c r="C931" s="130"/>
      <c r="D931" s="130" t="s">
        <v>185</v>
      </c>
      <c r="E931" s="132">
        <v>140</v>
      </c>
      <c r="F931" s="133">
        <f t="shared" si="1"/>
        <v>0</v>
      </c>
      <c r="G931" s="136"/>
      <c r="H931" s="137"/>
    </row>
    <row r="932" spans="1:8" s="134" customFormat="1" x14ac:dyDescent="0.25">
      <c r="A932" s="130">
        <v>12</v>
      </c>
      <c r="B932" s="135" t="s">
        <v>325</v>
      </c>
      <c r="C932" s="130"/>
      <c r="D932" s="130" t="s">
        <v>185</v>
      </c>
      <c r="E932" s="132">
        <v>140</v>
      </c>
      <c r="F932" s="133">
        <f t="shared" si="1"/>
        <v>0</v>
      </c>
      <c r="G932" s="136"/>
      <c r="H932" s="137"/>
    </row>
    <row r="933" spans="1:8" s="134" customFormat="1" x14ac:dyDescent="0.25">
      <c r="A933" s="130">
        <v>13</v>
      </c>
      <c r="B933" s="135" t="s">
        <v>326</v>
      </c>
      <c r="C933" s="130"/>
      <c r="D933" s="130" t="s">
        <v>185</v>
      </c>
      <c r="E933" s="132">
        <v>140</v>
      </c>
      <c r="F933" s="133">
        <f t="shared" si="1"/>
        <v>0</v>
      </c>
      <c r="G933" s="136"/>
      <c r="H933" s="137"/>
    </row>
    <row r="934" spans="1:8" s="134" customFormat="1" x14ac:dyDescent="0.25">
      <c r="A934" s="130">
        <v>14</v>
      </c>
      <c r="B934" s="135" t="s">
        <v>327</v>
      </c>
      <c r="C934" s="130"/>
      <c r="D934" s="130" t="s">
        <v>185</v>
      </c>
      <c r="E934" s="132">
        <v>2050</v>
      </c>
      <c r="F934" s="133">
        <f t="shared" si="1"/>
        <v>0</v>
      </c>
      <c r="G934" s="136"/>
      <c r="H934" s="137"/>
    </row>
    <row r="935" spans="1:8" s="134" customFormat="1" x14ac:dyDescent="0.25">
      <c r="A935" s="130">
        <v>15</v>
      </c>
      <c r="B935" s="135" t="s">
        <v>328</v>
      </c>
      <c r="C935" s="130"/>
      <c r="D935" s="130" t="s">
        <v>185</v>
      </c>
      <c r="E935" s="132">
        <v>100</v>
      </c>
      <c r="F935" s="133">
        <f t="shared" si="1"/>
        <v>0</v>
      </c>
      <c r="G935" s="136"/>
      <c r="H935" s="137"/>
    </row>
    <row r="936" spans="1:8" s="134" customFormat="1" x14ac:dyDescent="0.25">
      <c r="A936" s="130">
        <v>16</v>
      </c>
      <c r="B936" s="135" t="s">
        <v>329</v>
      </c>
      <c r="C936" s="130"/>
      <c r="D936" s="130" t="s">
        <v>185</v>
      </c>
      <c r="E936" s="132">
        <v>100</v>
      </c>
      <c r="F936" s="133">
        <f t="shared" si="1"/>
        <v>0</v>
      </c>
      <c r="G936" s="136"/>
      <c r="H936" s="137"/>
    </row>
    <row r="937" spans="1:8" s="134" customFormat="1" x14ac:dyDescent="0.25">
      <c r="A937" s="130">
        <v>17</v>
      </c>
      <c r="B937" s="135" t="s">
        <v>330</v>
      </c>
      <c r="C937" s="130"/>
      <c r="D937" s="130" t="s">
        <v>185</v>
      </c>
      <c r="E937" s="132">
        <v>220</v>
      </c>
      <c r="F937" s="133">
        <f t="shared" si="1"/>
        <v>0</v>
      </c>
      <c r="G937" s="136"/>
      <c r="H937" s="137"/>
    </row>
    <row r="938" spans="1:8" s="134" customFormat="1" ht="16.5" customHeight="1" x14ac:dyDescent="0.25">
      <c r="A938" s="130">
        <v>18</v>
      </c>
      <c r="B938" s="135" t="s">
        <v>331</v>
      </c>
      <c r="C938" s="130"/>
      <c r="D938" s="130" t="s">
        <v>185</v>
      </c>
      <c r="E938" s="132">
        <v>320</v>
      </c>
      <c r="F938" s="133">
        <f t="shared" si="1"/>
        <v>0</v>
      </c>
      <c r="G938" s="136"/>
      <c r="H938" s="137"/>
    </row>
    <row r="939" spans="1:8" s="134" customFormat="1" x14ac:dyDescent="0.25">
      <c r="A939" s="130">
        <v>19</v>
      </c>
      <c r="B939" s="135" t="s">
        <v>332</v>
      </c>
      <c r="C939" s="130"/>
      <c r="D939" s="130" t="s">
        <v>185</v>
      </c>
      <c r="E939" s="132">
        <v>320</v>
      </c>
      <c r="F939" s="133">
        <f t="shared" si="1"/>
        <v>0</v>
      </c>
      <c r="G939" s="136"/>
      <c r="H939" s="137"/>
    </row>
    <row r="940" spans="1:8" s="134" customFormat="1" x14ac:dyDescent="0.25">
      <c r="A940" s="130">
        <v>20</v>
      </c>
      <c r="B940" s="135" t="s">
        <v>333</v>
      </c>
      <c r="C940" s="130"/>
      <c r="D940" s="130" t="s">
        <v>185</v>
      </c>
      <c r="E940" s="132">
        <v>100</v>
      </c>
      <c r="F940" s="133">
        <f t="shared" si="1"/>
        <v>0</v>
      </c>
      <c r="G940" s="136"/>
      <c r="H940" s="137"/>
    </row>
    <row r="941" spans="1:8" s="134" customFormat="1" x14ac:dyDescent="0.25">
      <c r="A941" s="130">
        <v>21</v>
      </c>
      <c r="B941" s="135" t="s">
        <v>334</v>
      </c>
      <c r="C941" s="130"/>
      <c r="D941" s="130" t="s">
        <v>335</v>
      </c>
      <c r="E941" s="132">
        <v>500</v>
      </c>
      <c r="F941" s="133">
        <f t="shared" si="1"/>
        <v>0</v>
      </c>
      <c r="G941" s="136"/>
      <c r="H941" s="137"/>
    </row>
    <row r="942" spans="1:8" s="134" customFormat="1" x14ac:dyDescent="0.25">
      <c r="A942" s="130">
        <v>22</v>
      </c>
      <c r="B942" s="135" t="s">
        <v>336</v>
      </c>
      <c r="C942" s="130"/>
      <c r="D942" s="130" t="s">
        <v>185</v>
      </c>
      <c r="E942" s="132">
        <v>4000</v>
      </c>
      <c r="F942" s="133">
        <f t="shared" si="1"/>
        <v>0</v>
      </c>
      <c r="G942" s="136"/>
      <c r="H942" s="137"/>
    </row>
    <row r="943" spans="1:8" s="134" customFormat="1" x14ac:dyDescent="0.25">
      <c r="A943" s="130">
        <v>23</v>
      </c>
      <c r="B943" s="135" t="s">
        <v>337</v>
      </c>
      <c r="C943" s="130"/>
      <c r="D943" s="130" t="s">
        <v>185</v>
      </c>
      <c r="E943" s="132">
        <v>400</v>
      </c>
      <c r="F943" s="133">
        <f t="shared" si="1"/>
        <v>0</v>
      </c>
      <c r="G943" s="136"/>
      <c r="H943" s="137"/>
    </row>
    <row r="944" spans="1:8" s="134" customFormat="1" x14ac:dyDescent="0.25">
      <c r="A944" s="130"/>
      <c r="B944" s="135"/>
      <c r="C944" s="130"/>
      <c r="D944" s="130"/>
      <c r="E944" s="132"/>
      <c r="F944" s="133"/>
      <c r="G944" s="136"/>
      <c r="H944" s="137"/>
    </row>
    <row r="945" spans="1:8" s="134" customFormat="1" x14ac:dyDescent="0.25">
      <c r="A945" s="130"/>
      <c r="B945" s="135"/>
      <c r="C945" s="130"/>
      <c r="D945" s="130"/>
      <c r="E945" s="132"/>
      <c r="F945" s="133"/>
      <c r="G945" s="136"/>
      <c r="H945" s="137"/>
    </row>
    <row r="946" spans="1:8" s="30" customFormat="1" x14ac:dyDescent="0.25">
      <c r="A946" s="26"/>
      <c r="B946" s="32" t="s">
        <v>158</v>
      </c>
      <c r="C946" s="26"/>
      <c r="D946" s="33"/>
      <c r="E946" s="34" t="s">
        <v>15</v>
      </c>
      <c r="F946" s="29">
        <f>SUM(F904:F945)</f>
        <v>0</v>
      </c>
    </row>
    <row r="947" spans="1:8" s="134" customFormat="1" ht="12" customHeight="1" x14ac:dyDescent="0.25">
      <c r="A947" s="130"/>
      <c r="B947" s="135"/>
      <c r="C947" s="130"/>
      <c r="D947" s="130"/>
      <c r="E947" s="132"/>
      <c r="F947" s="133"/>
    </row>
    <row r="948" spans="1:8" s="134" customFormat="1" ht="12" customHeight="1" x14ac:dyDescent="0.25">
      <c r="A948" s="130"/>
      <c r="B948" s="135"/>
      <c r="C948" s="130"/>
      <c r="D948" s="130"/>
      <c r="E948" s="132"/>
      <c r="F948" s="133"/>
    </row>
    <row r="949" spans="1:8" s="134" customFormat="1" x14ac:dyDescent="0.25">
      <c r="A949" s="130"/>
      <c r="B949" s="141" t="s">
        <v>338</v>
      </c>
      <c r="C949" s="130"/>
      <c r="D949" s="130"/>
      <c r="E949" s="142"/>
      <c r="F949" s="143"/>
    </row>
    <row r="950" spans="1:8" s="134" customFormat="1" x14ac:dyDescent="0.25">
      <c r="A950" s="130">
        <v>1</v>
      </c>
      <c r="B950" s="135" t="s">
        <v>339</v>
      </c>
      <c r="C950" s="130"/>
      <c r="D950" s="130" t="s">
        <v>185</v>
      </c>
      <c r="E950" s="132">
        <v>55000</v>
      </c>
      <c r="F950" s="133">
        <f t="shared" ref="F950:F968" si="2">C950*E950</f>
        <v>0</v>
      </c>
      <c r="G950" s="136"/>
      <c r="H950" s="137"/>
    </row>
    <row r="951" spans="1:8" s="134" customFormat="1" x14ac:dyDescent="0.25">
      <c r="A951" s="130">
        <v>2</v>
      </c>
      <c r="B951" s="135" t="s">
        <v>340</v>
      </c>
      <c r="C951" s="130"/>
      <c r="D951" s="130" t="s">
        <v>185</v>
      </c>
      <c r="E951" s="132">
        <v>30000</v>
      </c>
      <c r="F951" s="133">
        <f t="shared" si="2"/>
        <v>0</v>
      </c>
      <c r="G951" s="136"/>
      <c r="H951" s="137"/>
    </row>
    <row r="952" spans="1:8" s="134" customFormat="1" x14ac:dyDescent="0.25">
      <c r="A952" s="130">
        <v>3</v>
      </c>
      <c r="B952" s="135" t="s">
        <v>341</v>
      </c>
      <c r="C952" s="130"/>
      <c r="D952" s="130" t="s">
        <v>185</v>
      </c>
      <c r="E952" s="132">
        <v>35000</v>
      </c>
      <c r="F952" s="133">
        <f t="shared" si="2"/>
        <v>0</v>
      </c>
      <c r="G952" s="136"/>
      <c r="H952" s="137"/>
    </row>
    <row r="953" spans="1:8" s="134" customFormat="1" x14ac:dyDescent="0.25">
      <c r="A953" s="130">
        <v>4</v>
      </c>
      <c r="B953" s="135" t="s">
        <v>342</v>
      </c>
      <c r="C953" s="130"/>
      <c r="D953" s="130" t="s">
        <v>185</v>
      </c>
      <c r="E953" s="132">
        <v>40000</v>
      </c>
      <c r="F953" s="133">
        <f t="shared" si="2"/>
        <v>0</v>
      </c>
      <c r="G953" s="136"/>
      <c r="H953" s="137"/>
    </row>
    <row r="954" spans="1:8" s="134" customFormat="1" x14ac:dyDescent="0.25">
      <c r="A954" s="130">
        <v>5</v>
      </c>
      <c r="B954" s="135" t="s">
        <v>343</v>
      </c>
      <c r="C954" s="130"/>
      <c r="D954" s="130" t="s">
        <v>185</v>
      </c>
      <c r="E954" s="132">
        <v>1800</v>
      </c>
      <c r="F954" s="133">
        <f t="shared" si="2"/>
        <v>0</v>
      </c>
      <c r="G954" s="136"/>
      <c r="H954" s="137"/>
    </row>
    <row r="955" spans="1:8" s="134" customFormat="1" x14ac:dyDescent="0.25">
      <c r="A955" s="130">
        <v>6</v>
      </c>
      <c r="B955" s="135" t="s">
        <v>344</v>
      </c>
      <c r="C955" s="130"/>
      <c r="D955" s="130" t="s">
        <v>185</v>
      </c>
      <c r="E955" s="132">
        <v>1000</v>
      </c>
      <c r="F955" s="133">
        <f t="shared" si="2"/>
        <v>0</v>
      </c>
      <c r="G955" s="136"/>
      <c r="H955" s="137"/>
    </row>
    <row r="956" spans="1:8" s="134" customFormat="1" x14ac:dyDescent="0.25">
      <c r="A956" s="130">
        <v>7</v>
      </c>
      <c r="B956" s="135" t="s">
        <v>345</v>
      </c>
      <c r="C956" s="130"/>
      <c r="D956" s="130" t="s">
        <v>185</v>
      </c>
      <c r="E956" s="132">
        <v>900</v>
      </c>
      <c r="F956" s="133">
        <f t="shared" si="2"/>
        <v>0</v>
      </c>
      <c r="G956" s="136"/>
      <c r="H956" s="137"/>
    </row>
    <row r="957" spans="1:8" s="134" customFormat="1" x14ac:dyDescent="0.25">
      <c r="A957" s="130">
        <v>8</v>
      </c>
      <c r="B957" s="135" t="s">
        <v>346</v>
      </c>
      <c r="C957" s="130"/>
      <c r="D957" s="130" t="s">
        <v>185</v>
      </c>
      <c r="E957" s="132">
        <v>900</v>
      </c>
      <c r="F957" s="133">
        <f t="shared" si="2"/>
        <v>0</v>
      </c>
      <c r="G957" s="136"/>
      <c r="H957" s="137"/>
    </row>
    <row r="958" spans="1:8" s="134" customFormat="1" x14ac:dyDescent="0.25">
      <c r="A958" s="130">
        <v>9</v>
      </c>
      <c r="B958" s="135" t="s">
        <v>347</v>
      </c>
      <c r="C958" s="130"/>
      <c r="D958" s="130" t="s">
        <v>185</v>
      </c>
      <c r="E958" s="132">
        <v>1500</v>
      </c>
      <c r="F958" s="133">
        <f t="shared" si="2"/>
        <v>0</v>
      </c>
      <c r="G958" s="136"/>
      <c r="H958" s="137"/>
    </row>
    <row r="959" spans="1:8" s="134" customFormat="1" x14ac:dyDescent="0.25">
      <c r="A959" s="130">
        <v>10</v>
      </c>
      <c r="B959" s="135" t="s">
        <v>348</v>
      </c>
      <c r="C959" s="130"/>
      <c r="D959" s="130" t="s">
        <v>185</v>
      </c>
      <c r="E959" s="132">
        <v>2000</v>
      </c>
      <c r="F959" s="133">
        <f t="shared" si="2"/>
        <v>0</v>
      </c>
      <c r="G959" s="136"/>
      <c r="H959" s="137"/>
    </row>
    <row r="960" spans="1:8" s="134" customFormat="1" ht="24" x14ac:dyDescent="0.25">
      <c r="A960" s="130">
        <v>11</v>
      </c>
      <c r="B960" s="135" t="s">
        <v>349</v>
      </c>
      <c r="C960" s="130"/>
      <c r="D960" s="130" t="s">
        <v>185</v>
      </c>
      <c r="E960" s="132">
        <v>15000</v>
      </c>
      <c r="F960" s="133">
        <f t="shared" si="2"/>
        <v>0</v>
      </c>
      <c r="G960" s="136"/>
      <c r="H960" s="137"/>
    </row>
    <row r="961" spans="1:8" s="134" customFormat="1" x14ac:dyDescent="0.25">
      <c r="A961" s="130">
        <v>12</v>
      </c>
      <c r="B961" s="135" t="s">
        <v>350</v>
      </c>
      <c r="C961" s="130"/>
      <c r="D961" s="130" t="s">
        <v>185</v>
      </c>
      <c r="E961" s="132">
        <v>30000</v>
      </c>
      <c r="F961" s="133">
        <f t="shared" si="2"/>
        <v>0</v>
      </c>
      <c r="G961" s="136"/>
      <c r="H961" s="137"/>
    </row>
    <row r="962" spans="1:8" s="134" customFormat="1" x14ac:dyDescent="0.25">
      <c r="A962" s="130">
        <v>13</v>
      </c>
      <c r="B962" s="135" t="s">
        <v>351</v>
      </c>
      <c r="C962" s="130"/>
      <c r="D962" s="130" t="s">
        <v>185</v>
      </c>
      <c r="E962" s="132">
        <v>13000</v>
      </c>
      <c r="F962" s="133">
        <f t="shared" si="2"/>
        <v>0</v>
      </c>
      <c r="G962" s="136"/>
      <c r="H962" s="137"/>
    </row>
    <row r="963" spans="1:8" s="134" customFormat="1" x14ac:dyDescent="0.25">
      <c r="A963" s="130">
        <v>14</v>
      </c>
      <c r="B963" s="135" t="s">
        <v>352</v>
      </c>
      <c r="C963" s="130"/>
      <c r="D963" s="130" t="s">
        <v>185</v>
      </c>
      <c r="E963" s="132">
        <v>550</v>
      </c>
      <c r="F963" s="133">
        <f t="shared" si="2"/>
        <v>0</v>
      </c>
      <c r="G963" s="136"/>
      <c r="H963" s="137"/>
    </row>
    <row r="964" spans="1:8" s="134" customFormat="1" x14ac:dyDescent="0.25">
      <c r="A964" s="130">
        <v>15</v>
      </c>
      <c r="B964" s="135" t="s">
        <v>353</v>
      </c>
      <c r="C964" s="130"/>
      <c r="D964" s="130" t="s">
        <v>185</v>
      </c>
      <c r="E964" s="132">
        <v>200</v>
      </c>
      <c r="F964" s="133">
        <f t="shared" si="2"/>
        <v>0</v>
      </c>
      <c r="G964" s="136"/>
      <c r="H964" s="137"/>
    </row>
    <row r="965" spans="1:8" s="134" customFormat="1" x14ac:dyDescent="0.25">
      <c r="A965" s="130">
        <v>16</v>
      </c>
      <c r="B965" s="135" t="s">
        <v>354</v>
      </c>
      <c r="C965" s="130"/>
      <c r="D965" s="130" t="s">
        <v>185</v>
      </c>
      <c r="E965" s="132">
        <v>7000</v>
      </c>
      <c r="F965" s="133">
        <f t="shared" si="2"/>
        <v>0</v>
      </c>
      <c r="G965" s="136"/>
      <c r="H965" s="137"/>
    </row>
    <row r="966" spans="1:8" s="134" customFormat="1" x14ac:dyDescent="0.25">
      <c r="A966" s="130">
        <v>17</v>
      </c>
      <c r="B966" s="135" t="s">
        <v>355</v>
      </c>
      <c r="C966" s="130"/>
      <c r="D966" s="130" t="s">
        <v>185</v>
      </c>
      <c r="E966" s="132">
        <v>3000</v>
      </c>
      <c r="F966" s="133">
        <f t="shared" si="2"/>
        <v>0</v>
      </c>
      <c r="G966" s="136"/>
      <c r="H966" s="137"/>
    </row>
    <row r="967" spans="1:8" s="134" customFormat="1" x14ac:dyDescent="0.25">
      <c r="A967" s="130">
        <v>18</v>
      </c>
      <c r="B967" s="135" t="s">
        <v>356</v>
      </c>
      <c r="C967" s="130"/>
      <c r="D967" s="130" t="s">
        <v>185</v>
      </c>
      <c r="E967" s="132">
        <v>8500</v>
      </c>
      <c r="F967" s="133">
        <f t="shared" si="2"/>
        <v>0</v>
      </c>
      <c r="G967" s="136"/>
      <c r="H967" s="137"/>
    </row>
    <row r="968" spans="1:8" s="134" customFormat="1" x14ac:dyDescent="0.25">
      <c r="A968" s="130">
        <v>19</v>
      </c>
      <c r="B968" s="135" t="s">
        <v>357</v>
      </c>
      <c r="C968" s="130"/>
      <c r="D968" s="130" t="s">
        <v>185</v>
      </c>
      <c r="E968" s="132">
        <v>1500</v>
      </c>
      <c r="F968" s="133">
        <f t="shared" si="2"/>
        <v>0</v>
      </c>
      <c r="G968" s="136"/>
      <c r="H968" s="137"/>
    </row>
    <row r="969" spans="1:8" s="134" customFormat="1" x14ac:dyDescent="0.25">
      <c r="A969" s="130">
        <v>20</v>
      </c>
      <c r="B969" s="135" t="s">
        <v>358</v>
      </c>
      <c r="C969" s="130"/>
      <c r="D969" s="130" t="s">
        <v>36</v>
      </c>
      <c r="E969" s="132"/>
      <c r="F969" s="133"/>
      <c r="G969" s="136"/>
      <c r="H969" s="137"/>
    </row>
    <row r="970" spans="1:8" s="134" customFormat="1" x14ac:dyDescent="0.25">
      <c r="A970" s="130"/>
      <c r="B970" s="135"/>
      <c r="C970" s="130"/>
      <c r="D970" s="130"/>
      <c r="E970" s="132"/>
      <c r="F970" s="133"/>
      <c r="G970" s="136"/>
      <c r="H970" s="137"/>
    </row>
    <row r="971" spans="1:8" s="30" customFormat="1" x14ac:dyDescent="0.25">
      <c r="A971" s="26"/>
      <c r="B971" s="141" t="s">
        <v>359</v>
      </c>
      <c r="C971" s="144"/>
      <c r="D971" s="144"/>
      <c r="E971" s="145"/>
      <c r="F971" s="146"/>
    </row>
    <row r="972" spans="1:8" s="134" customFormat="1" ht="34.5" customHeight="1" x14ac:dyDescent="0.25">
      <c r="A972" s="130">
        <v>21</v>
      </c>
      <c r="B972" s="135" t="s">
        <v>360</v>
      </c>
      <c r="C972" s="130"/>
      <c r="D972" s="130" t="s">
        <v>185</v>
      </c>
      <c r="E972" s="132">
        <v>25000</v>
      </c>
      <c r="F972" s="133">
        <f>E972*C972</f>
        <v>0</v>
      </c>
      <c r="G972" s="136"/>
      <c r="H972" s="137"/>
    </row>
    <row r="973" spans="1:8" s="134" customFormat="1" x14ac:dyDescent="0.25">
      <c r="A973" s="130"/>
      <c r="B973" s="135"/>
      <c r="C973" s="130"/>
      <c r="D973" s="130"/>
      <c r="E973" s="132"/>
      <c r="F973" s="133"/>
      <c r="G973" s="136"/>
      <c r="H973" s="137"/>
    </row>
    <row r="974" spans="1:8" s="134" customFormat="1" x14ac:dyDescent="0.25">
      <c r="A974" s="130"/>
      <c r="B974" s="141" t="s">
        <v>361</v>
      </c>
      <c r="C974" s="130"/>
      <c r="D974" s="130"/>
      <c r="E974" s="132"/>
      <c r="F974" s="133"/>
      <c r="G974" s="136"/>
      <c r="H974" s="137"/>
    </row>
    <row r="975" spans="1:8" s="134" customFormat="1" ht="24" x14ac:dyDescent="0.25">
      <c r="A975" s="130"/>
      <c r="B975" s="135" t="s">
        <v>362</v>
      </c>
      <c r="C975" s="130"/>
      <c r="D975" s="130"/>
      <c r="E975" s="132"/>
      <c r="F975" s="133"/>
      <c r="G975" s="136"/>
      <c r="H975" s="137"/>
    </row>
    <row r="976" spans="1:8" s="134" customFormat="1" x14ac:dyDescent="0.25">
      <c r="A976" s="130"/>
      <c r="B976" s="135"/>
      <c r="C976" s="130"/>
      <c r="D976" s="130"/>
      <c r="E976" s="132"/>
      <c r="F976" s="133"/>
      <c r="G976" s="136"/>
      <c r="H976" s="137"/>
    </row>
    <row r="977" spans="1:8" s="134" customFormat="1" x14ac:dyDescent="0.25">
      <c r="A977" s="130">
        <v>22</v>
      </c>
      <c r="B977" s="135" t="s">
        <v>363</v>
      </c>
      <c r="C977" s="130"/>
      <c r="D977" s="130" t="s">
        <v>22</v>
      </c>
      <c r="E977" s="132">
        <v>2300</v>
      </c>
      <c r="F977" s="133">
        <f>E977*C977</f>
        <v>0</v>
      </c>
      <c r="G977" s="136"/>
      <c r="H977" s="137"/>
    </row>
    <row r="978" spans="1:8" s="134" customFormat="1" x14ac:dyDescent="0.25">
      <c r="A978" s="130"/>
      <c r="B978" s="135"/>
      <c r="C978" s="130"/>
      <c r="D978" s="130"/>
      <c r="E978" s="132"/>
      <c r="F978" s="133"/>
      <c r="G978" s="136"/>
      <c r="H978" s="137"/>
    </row>
    <row r="979" spans="1:8" s="21" customFormat="1" ht="24" x14ac:dyDescent="0.2">
      <c r="A979" s="16">
        <v>23</v>
      </c>
      <c r="B979" s="147" t="s">
        <v>364</v>
      </c>
      <c r="C979" s="16"/>
      <c r="D979" s="104" t="s">
        <v>185</v>
      </c>
      <c r="E979" s="118">
        <v>16000</v>
      </c>
      <c r="F979" s="42">
        <f>E979*C979</f>
        <v>0</v>
      </c>
      <c r="G979" s="120"/>
      <c r="H979" s="95"/>
    </row>
    <row r="980" spans="1:8" s="134" customFormat="1" x14ac:dyDescent="0.25">
      <c r="A980" s="130"/>
      <c r="B980" s="141"/>
      <c r="C980" s="130"/>
      <c r="D980" s="130"/>
      <c r="E980" s="142"/>
      <c r="F980" s="143"/>
    </row>
    <row r="981" spans="1:8" s="148" customFormat="1" x14ac:dyDescent="0.25">
      <c r="B981" s="38" t="s">
        <v>365</v>
      </c>
      <c r="F981" s="133"/>
    </row>
    <row r="982" spans="1:8" s="134" customFormat="1" x14ac:dyDescent="0.25">
      <c r="A982" s="130"/>
      <c r="B982" s="141"/>
      <c r="C982" s="130"/>
      <c r="D982" s="130"/>
      <c r="E982" s="142"/>
      <c r="F982" s="143"/>
    </row>
    <row r="983" spans="1:8" s="134" customFormat="1" x14ac:dyDescent="0.25">
      <c r="A983" s="130"/>
      <c r="B983" s="141"/>
      <c r="C983" s="130"/>
      <c r="D983" s="130"/>
      <c r="E983" s="142"/>
      <c r="F983" s="143"/>
    </row>
    <row r="984" spans="1:8" s="30" customFormat="1" x14ac:dyDescent="0.25">
      <c r="A984" s="26"/>
      <c r="B984" s="32" t="s">
        <v>158</v>
      </c>
      <c r="C984" s="26"/>
      <c r="D984" s="33"/>
      <c r="E984" s="34" t="s">
        <v>15</v>
      </c>
      <c r="F984" s="29">
        <f>SUM(F950:F983)</f>
        <v>0</v>
      </c>
    </row>
    <row r="985" spans="1:8" s="134" customFormat="1" ht="12" customHeight="1" x14ac:dyDescent="0.25">
      <c r="A985" s="130"/>
      <c r="B985" s="135"/>
      <c r="C985" s="130"/>
      <c r="D985" s="130"/>
      <c r="E985" s="139"/>
      <c r="F985" s="140"/>
    </row>
    <row r="986" spans="1:8" s="134" customFormat="1" ht="12" customHeight="1" x14ac:dyDescent="0.25">
      <c r="A986" s="130"/>
      <c r="B986" s="35" t="s">
        <v>92</v>
      </c>
      <c r="C986" s="26"/>
      <c r="D986" s="36"/>
      <c r="E986" s="28"/>
      <c r="F986" s="140"/>
    </row>
    <row r="987" spans="1:8" s="134" customFormat="1" ht="12" customHeight="1" x14ac:dyDescent="0.25">
      <c r="A987" s="130"/>
      <c r="B987" s="37" t="s">
        <v>262</v>
      </c>
      <c r="C987" s="26"/>
      <c r="D987" s="36"/>
      <c r="E987" s="28">
        <f>F946</f>
        <v>0</v>
      </c>
      <c r="F987" s="140"/>
    </row>
    <row r="988" spans="1:8" s="134" customFormat="1" ht="12" customHeight="1" x14ac:dyDescent="0.25">
      <c r="A988" s="130"/>
      <c r="B988" s="37"/>
      <c r="C988" s="26"/>
      <c r="D988" s="36"/>
      <c r="E988" s="28"/>
      <c r="F988" s="140"/>
    </row>
    <row r="989" spans="1:8" s="134" customFormat="1" ht="12" customHeight="1" x14ac:dyDescent="0.25">
      <c r="A989" s="130"/>
      <c r="B989" s="37" t="s">
        <v>262</v>
      </c>
      <c r="C989" s="26"/>
      <c r="D989" s="36"/>
      <c r="E989" s="28">
        <f>F984</f>
        <v>0</v>
      </c>
      <c r="F989" s="140"/>
    </row>
    <row r="990" spans="1:8" s="30" customFormat="1" x14ac:dyDescent="0.25">
      <c r="A990" s="26"/>
      <c r="B990" s="31"/>
      <c r="C990" s="26"/>
      <c r="D990" s="36"/>
      <c r="E990" s="28"/>
      <c r="F990" s="29"/>
    </row>
    <row r="991" spans="1:8" s="30" customFormat="1" x14ac:dyDescent="0.25">
      <c r="A991" s="26"/>
      <c r="B991" s="31"/>
      <c r="C991" s="26"/>
      <c r="D991" s="36"/>
      <c r="F991" s="29"/>
    </row>
    <row r="992" spans="1:8" s="30" customFormat="1" x14ac:dyDescent="0.25">
      <c r="A992" s="26"/>
      <c r="B992" s="27"/>
      <c r="C992" s="26"/>
      <c r="D992" s="36"/>
      <c r="E992" s="28"/>
      <c r="F992" s="29"/>
    </row>
    <row r="993" spans="1:8" s="30" customFormat="1" x14ac:dyDescent="0.25">
      <c r="A993" s="26"/>
      <c r="B993" s="27" t="s">
        <v>366</v>
      </c>
      <c r="C993" s="26"/>
      <c r="D993" s="36"/>
      <c r="E993" s="28"/>
      <c r="F993" s="29"/>
    </row>
    <row r="994" spans="1:8" s="30" customFormat="1" x14ac:dyDescent="0.25">
      <c r="A994" s="26"/>
      <c r="B994" s="32" t="s">
        <v>95</v>
      </c>
      <c r="C994" s="26"/>
      <c r="D994" s="36"/>
      <c r="E994" s="34" t="s">
        <v>15</v>
      </c>
      <c r="F994" s="29">
        <f>SUM(E987:E990)</f>
        <v>0</v>
      </c>
    </row>
    <row r="995" spans="1:8" s="30" customFormat="1" x14ac:dyDescent="0.25">
      <c r="A995" s="26"/>
      <c r="B995" s="32"/>
      <c r="C995" s="26"/>
      <c r="D995" s="36"/>
      <c r="E995" s="34"/>
      <c r="F995" s="29"/>
    </row>
    <row r="996" spans="1:8" s="30" customFormat="1" x14ac:dyDescent="0.25">
      <c r="A996" s="26"/>
      <c r="B996" s="27" t="s">
        <v>367</v>
      </c>
      <c r="C996" s="26"/>
      <c r="D996" s="36"/>
      <c r="E996" s="28"/>
      <c r="F996" s="28"/>
    </row>
    <row r="997" spans="1:8" s="30" customFormat="1" x14ac:dyDescent="0.25">
      <c r="A997" s="26"/>
      <c r="B997" s="31"/>
      <c r="C997" s="26"/>
      <c r="D997" s="36"/>
      <c r="E997" s="28"/>
      <c r="F997" s="28"/>
    </row>
    <row r="998" spans="1:8" s="30" customFormat="1" x14ac:dyDescent="0.25">
      <c r="A998" s="26"/>
      <c r="B998" s="27" t="s">
        <v>368</v>
      </c>
      <c r="C998" s="26"/>
      <c r="D998" s="36"/>
      <c r="E998" s="28"/>
      <c r="F998" s="28"/>
    </row>
    <row r="999" spans="1:8" s="134" customFormat="1" x14ac:dyDescent="0.25">
      <c r="A999" s="130"/>
      <c r="B999" s="131" t="s">
        <v>369</v>
      </c>
      <c r="C999" s="130"/>
      <c r="D999" s="130"/>
      <c r="E999" s="132"/>
      <c r="F999" s="133"/>
    </row>
    <row r="1000" spans="1:8" s="134" customFormat="1" ht="36" x14ac:dyDescent="0.25">
      <c r="A1000" s="130">
        <v>1</v>
      </c>
      <c r="B1000" s="135" t="s">
        <v>370</v>
      </c>
      <c r="C1000" s="130"/>
      <c r="D1000" s="130" t="s">
        <v>371</v>
      </c>
      <c r="E1000" s="132">
        <v>14500</v>
      </c>
      <c r="F1000" s="133">
        <f t="shared" ref="F1000:F1022" si="3">C1000*E1000</f>
        <v>0</v>
      </c>
      <c r="G1000" s="136"/>
      <c r="H1000" s="137"/>
    </row>
    <row r="1001" spans="1:8" s="134" customFormat="1" x14ac:dyDescent="0.25">
      <c r="A1001" s="130">
        <v>2</v>
      </c>
      <c r="B1001" s="135" t="s">
        <v>372</v>
      </c>
      <c r="C1001" s="130"/>
      <c r="D1001" s="130" t="s">
        <v>373</v>
      </c>
      <c r="E1001" s="132">
        <v>1600</v>
      </c>
      <c r="F1001" s="133">
        <f t="shared" si="3"/>
        <v>0</v>
      </c>
      <c r="G1001" s="136"/>
      <c r="H1001" s="137"/>
    </row>
    <row r="1002" spans="1:8" s="134" customFormat="1" x14ac:dyDescent="0.25">
      <c r="A1002" s="130">
        <v>3</v>
      </c>
      <c r="B1002" s="135" t="s">
        <v>374</v>
      </c>
      <c r="C1002" s="130"/>
      <c r="D1002" s="130" t="s">
        <v>375</v>
      </c>
      <c r="E1002" s="132">
        <v>80</v>
      </c>
      <c r="F1002" s="133">
        <f t="shared" si="3"/>
        <v>0</v>
      </c>
      <c r="G1002" s="136"/>
      <c r="H1002" s="137"/>
    </row>
    <row r="1003" spans="1:8" s="134" customFormat="1" x14ac:dyDescent="0.25">
      <c r="A1003" s="130">
        <v>4</v>
      </c>
      <c r="B1003" s="135" t="s">
        <v>376</v>
      </c>
      <c r="C1003" s="130"/>
      <c r="D1003" s="130" t="s">
        <v>375</v>
      </c>
      <c r="E1003" s="132">
        <v>80</v>
      </c>
      <c r="F1003" s="133">
        <f t="shared" si="3"/>
        <v>0</v>
      </c>
      <c r="G1003" s="136"/>
      <c r="H1003" s="137"/>
    </row>
    <row r="1004" spans="1:8" s="134" customFormat="1" x14ac:dyDescent="0.25">
      <c r="A1004" s="130">
        <v>5</v>
      </c>
      <c r="B1004" s="135" t="s">
        <v>377</v>
      </c>
      <c r="C1004" s="130"/>
      <c r="D1004" s="130" t="s">
        <v>373</v>
      </c>
      <c r="E1004" s="132">
        <v>1600</v>
      </c>
      <c r="F1004" s="133">
        <f t="shared" si="3"/>
        <v>0</v>
      </c>
      <c r="G1004" s="136"/>
      <c r="H1004" s="137"/>
    </row>
    <row r="1005" spans="1:8" s="134" customFormat="1" x14ac:dyDescent="0.25">
      <c r="A1005" s="130">
        <v>6</v>
      </c>
      <c r="B1005" s="135" t="s">
        <v>378</v>
      </c>
      <c r="C1005" s="130"/>
      <c r="D1005" s="130" t="s">
        <v>373</v>
      </c>
      <c r="E1005" s="132">
        <v>1600</v>
      </c>
      <c r="F1005" s="133">
        <f t="shared" si="3"/>
        <v>0</v>
      </c>
      <c r="G1005" s="136"/>
      <c r="H1005" s="137"/>
    </row>
    <row r="1006" spans="1:8" s="134" customFormat="1" ht="36" x14ac:dyDescent="0.25">
      <c r="A1006" s="130">
        <v>7</v>
      </c>
      <c r="B1006" s="135" t="s">
        <v>379</v>
      </c>
      <c r="C1006" s="130"/>
      <c r="D1006" s="130" t="s">
        <v>371</v>
      </c>
      <c r="E1006" s="132">
        <v>13500</v>
      </c>
      <c r="F1006" s="133">
        <f t="shared" si="3"/>
        <v>0</v>
      </c>
      <c r="G1006" s="136"/>
      <c r="H1006" s="137"/>
    </row>
    <row r="1007" spans="1:8" s="134" customFormat="1" x14ac:dyDescent="0.25">
      <c r="A1007" s="130">
        <v>8</v>
      </c>
      <c r="B1007" s="135" t="s">
        <v>380</v>
      </c>
      <c r="C1007" s="130"/>
      <c r="D1007" s="130" t="s">
        <v>373</v>
      </c>
      <c r="E1007" s="132">
        <v>1600</v>
      </c>
      <c r="F1007" s="133">
        <f t="shared" si="3"/>
        <v>0</v>
      </c>
      <c r="G1007" s="136"/>
      <c r="H1007" s="137"/>
    </row>
    <row r="1008" spans="1:8" s="134" customFormat="1" x14ac:dyDescent="0.25">
      <c r="A1008" s="130">
        <v>9</v>
      </c>
      <c r="B1008" s="135" t="s">
        <v>381</v>
      </c>
      <c r="C1008" s="130"/>
      <c r="D1008" s="130" t="s">
        <v>373</v>
      </c>
      <c r="E1008" s="132">
        <v>1400</v>
      </c>
      <c r="F1008" s="133">
        <f t="shared" si="3"/>
        <v>0</v>
      </c>
      <c r="G1008" s="136"/>
      <c r="H1008" s="137"/>
    </row>
    <row r="1009" spans="1:8" s="134" customFormat="1" x14ac:dyDescent="0.25">
      <c r="A1009" s="130">
        <v>10</v>
      </c>
      <c r="B1009" s="135" t="s">
        <v>382</v>
      </c>
      <c r="C1009" s="130"/>
      <c r="D1009" s="130" t="s">
        <v>373</v>
      </c>
      <c r="E1009" s="132">
        <v>800</v>
      </c>
      <c r="F1009" s="133">
        <f t="shared" si="3"/>
        <v>0</v>
      </c>
      <c r="G1009" s="136"/>
      <c r="H1009" s="137"/>
    </row>
    <row r="1010" spans="1:8" s="134" customFormat="1" x14ac:dyDescent="0.25">
      <c r="A1010" s="130">
        <v>11</v>
      </c>
      <c r="B1010" s="135" t="s">
        <v>383</v>
      </c>
      <c r="C1010" s="130"/>
      <c r="D1010" s="130" t="s">
        <v>375</v>
      </c>
      <c r="E1010" s="132">
        <v>160</v>
      </c>
      <c r="F1010" s="133">
        <f t="shared" si="3"/>
        <v>0</v>
      </c>
      <c r="G1010" s="136"/>
      <c r="H1010" s="137"/>
    </row>
    <row r="1011" spans="1:8" s="134" customFormat="1" ht="24" x14ac:dyDescent="0.25">
      <c r="A1011" s="130">
        <v>12</v>
      </c>
      <c r="B1011" s="135" t="s">
        <v>384</v>
      </c>
      <c r="C1011" s="130"/>
      <c r="D1011" s="130" t="s">
        <v>375</v>
      </c>
      <c r="E1011" s="132">
        <v>150</v>
      </c>
      <c r="F1011" s="133">
        <f t="shared" si="3"/>
        <v>0</v>
      </c>
      <c r="G1011" s="136"/>
      <c r="H1011" s="137"/>
    </row>
    <row r="1012" spans="1:8" s="134" customFormat="1" ht="24" x14ac:dyDescent="0.25">
      <c r="A1012" s="130">
        <v>13</v>
      </c>
      <c r="B1012" s="135" t="s">
        <v>385</v>
      </c>
      <c r="C1012" s="130"/>
      <c r="D1012" s="130" t="s">
        <v>375</v>
      </c>
      <c r="E1012" s="132">
        <v>2200</v>
      </c>
      <c r="F1012" s="133">
        <f t="shared" si="3"/>
        <v>0</v>
      </c>
      <c r="G1012" s="136"/>
      <c r="H1012" s="137"/>
    </row>
    <row r="1013" spans="1:8" s="134" customFormat="1" ht="24" x14ac:dyDescent="0.25">
      <c r="A1013" s="130">
        <v>14</v>
      </c>
      <c r="B1013" s="135" t="s">
        <v>386</v>
      </c>
      <c r="C1013" s="130"/>
      <c r="D1013" s="130" t="s">
        <v>375</v>
      </c>
      <c r="E1013" s="132">
        <v>2000</v>
      </c>
      <c r="F1013" s="133">
        <f t="shared" si="3"/>
        <v>0</v>
      </c>
      <c r="G1013" s="136"/>
      <c r="H1013" s="137"/>
    </row>
    <row r="1014" spans="1:8" s="134" customFormat="1" ht="24" x14ac:dyDescent="0.25">
      <c r="A1014" s="130">
        <v>15</v>
      </c>
      <c r="B1014" s="135" t="s">
        <v>387</v>
      </c>
      <c r="C1014" s="130"/>
      <c r="D1014" s="130" t="s">
        <v>375</v>
      </c>
      <c r="E1014" s="132">
        <v>3000</v>
      </c>
      <c r="F1014" s="133">
        <f t="shared" si="3"/>
        <v>0</v>
      </c>
      <c r="G1014" s="136"/>
      <c r="H1014" s="137"/>
    </row>
    <row r="1015" spans="1:8" s="134" customFormat="1" ht="24" x14ac:dyDescent="0.25">
      <c r="A1015" s="130">
        <v>16</v>
      </c>
      <c r="B1015" s="135" t="s">
        <v>388</v>
      </c>
      <c r="C1015" s="130"/>
      <c r="D1015" s="130" t="s">
        <v>375</v>
      </c>
      <c r="E1015" s="132">
        <v>3000</v>
      </c>
      <c r="F1015" s="133">
        <f t="shared" si="3"/>
        <v>0</v>
      </c>
      <c r="G1015" s="136"/>
      <c r="H1015" s="137"/>
    </row>
    <row r="1016" spans="1:8" s="134" customFormat="1" ht="24" x14ac:dyDescent="0.25">
      <c r="A1016" s="130">
        <v>17</v>
      </c>
      <c r="B1016" s="135" t="s">
        <v>389</v>
      </c>
      <c r="C1016" s="130"/>
      <c r="D1016" s="130" t="s">
        <v>390</v>
      </c>
      <c r="E1016" s="132">
        <v>1700</v>
      </c>
      <c r="F1016" s="133">
        <f t="shared" si="3"/>
        <v>0</v>
      </c>
      <c r="G1016" s="136"/>
      <c r="H1016" s="137"/>
    </row>
    <row r="1017" spans="1:8" s="134" customFormat="1" ht="27.75" customHeight="1" x14ac:dyDescent="0.25">
      <c r="A1017" s="130">
        <v>18</v>
      </c>
      <c r="B1017" s="135" t="s">
        <v>391</v>
      </c>
      <c r="C1017" s="130"/>
      <c r="D1017" s="130" t="s">
        <v>392</v>
      </c>
      <c r="E1017" s="132">
        <v>12000</v>
      </c>
      <c r="F1017" s="133">
        <f t="shared" si="3"/>
        <v>0</v>
      </c>
      <c r="G1017" s="136"/>
      <c r="H1017" s="137"/>
    </row>
    <row r="1018" spans="1:8" s="134" customFormat="1" x14ac:dyDescent="0.25">
      <c r="A1018" s="130">
        <v>19</v>
      </c>
      <c r="B1018" s="135" t="s">
        <v>393</v>
      </c>
      <c r="C1018" s="130"/>
      <c r="D1018" s="130" t="s">
        <v>373</v>
      </c>
      <c r="E1018" s="132">
        <v>1500</v>
      </c>
      <c r="F1018" s="133">
        <f t="shared" si="3"/>
        <v>0</v>
      </c>
      <c r="G1018" s="136"/>
      <c r="H1018" s="137"/>
    </row>
    <row r="1019" spans="1:8" s="134" customFormat="1" x14ac:dyDescent="0.25">
      <c r="A1019" s="130">
        <v>20</v>
      </c>
      <c r="B1019" s="135" t="s">
        <v>394</v>
      </c>
      <c r="C1019" s="130"/>
      <c r="D1019" s="130" t="s">
        <v>373</v>
      </c>
      <c r="E1019" s="132">
        <v>1500</v>
      </c>
      <c r="F1019" s="133">
        <f t="shared" si="3"/>
        <v>0</v>
      </c>
      <c r="G1019" s="136"/>
      <c r="H1019" s="137"/>
    </row>
    <row r="1020" spans="1:8" s="134" customFormat="1" ht="24" x14ac:dyDescent="0.25">
      <c r="A1020" s="130">
        <v>21</v>
      </c>
      <c r="B1020" s="135" t="s">
        <v>395</v>
      </c>
      <c r="C1020" s="130"/>
      <c r="D1020" s="130" t="s">
        <v>396</v>
      </c>
      <c r="E1020" s="132">
        <v>3500</v>
      </c>
      <c r="F1020" s="133">
        <f t="shared" si="3"/>
        <v>0</v>
      </c>
      <c r="G1020" s="136"/>
      <c r="H1020" s="137"/>
    </row>
    <row r="1021" spans="1:8" s="134" customFormat="1" ht="24" x14ac:dyDescent="0.25">
      <c r="A1021" s="130">
        <v>22</v>
      </c>
      <c r="B1021" s="135" t="s">
        <v>397</v>
      </c>
      <c r="C1021" s="130"/>
      <c r="D1021" s="130" t="s">
        <v>396</v>
      </c>
      <c r="E1021" s="132">
        <v>1100</v>
      </c>
      <c r="F1021" s="133">
        <f t="shared" si="3"/>
        <v>0</v>
      </c>
      <c r="G1021" s="136"/>
      <c r="H1021" s="137"/>
    </row>
    <row r="1022" spans="1:8" s="134" customFormat="1" x14ac:dyDescent="0.25">
      <c r="A1022" s="130">
        <v>23</v>
      </c>
      <c r="B1022" s="135" t="s">
        <v>398</v>
      </c>
      <c r="C1022" s="130"/>
      <c r="D1022" s="130" t="s">
        <v>399</v>
      </c>
      <c r="E1022" s="132">
        <v>3500</v>
      </c>
      <c r="F1022" s="133">
        <f t="shared" si="3"/>
        <v>0</v>
      </c>
      <c r="G1022" s="136"/>
      <c r="H1022" s="137"/>
    </row>
    <row r="1023" spans="1:8" s="134" customFormat="1" x14ac:dyDescent="0.25">
      <c r="A1023" s="130">
        <v>24</v>
      </c>
      <c r="B1023" s="135" t="s">
        <v>400</v>
      </c>
      <c r="C1023" s="130"/>
      <c r="D1023" s="130" t="s">
        <v>401</v>
      </c>
      <c r="E1023" s="132"/>
      <c r="F1023" s="133"/>
      <c r="G1023" s="136"/>
      <c r="H1023" s="137"/>
    </row>
    <row r="1024" spans="1:8" s="30" customFormat="1" x14ac:dyDescent="0.25">
      <c r="A1024" s="26"/>
      <c r="B1024" s="32" t="s">
        <v>158</v>
      </c>
      <c r="C1024" s="26"/>
      <c r="D1024" s="33"/>
      <c r="E1024" s="34" t="s">
        <v>15</v>
      </c>
      <c r="F1024" s="29">
        <f>SUM(F999:F1023)</f>
        <v>0</v>
      </c>
    </row>
    <row r="1025" spans="1:8" s="134" customFormat="1" x14ac:dyDescent="0.25">
      <c r="A1025" s="130"/>
      <c r="B1025" s="131"/>
      <c r="C1025" s="130"/>
      <c r="D1025" s="130"/>
      <c r="E1025" s="132"/>
      <c r="F1025" s="133"/>
    </row>
    <row r="1026" spans="1:8" s="134" customFormat="1" x14ac:dyDescent="0.25">
      <c r="A1026" s="130"/>
      <c r="B1026" s="138" t="s">
        <v>402</v>
      </c>
      <c r="C1026" s="130"/>
      <c r="D1026" s="130"/>
      <c r="E1026" s="139"/>
      <c r="F1026" s="140"/>
    </row>
    <row r="1027" spans="1:8" s="134" customFormat="1" ht="12" customHeight="1" x14ac:dyDescent="0.25">
      <c r="A1027" s="130"/>
      <c r="B1027" s="138" t="s">
        <v>403</v>
      </c>
      <c r="C1027" s="130"/>
      <c r="D1027" s="130"/>
      <c r="E1027" s="139"/>
      <c r="F1027" s="140"/>
    </row>
    <row r="1028" spans="1:8" s="134" customFormat="1" ht="12" customHeight="1" x14ac:dyDescent="0.25">
      <c r="A1028" s="130"/>
      <c r="B1028" s="135"/>
      <c r="C1028" s="130"/>
      <c r="D1028" s="130"/>
      <c r="E1028" s="139"/>
      <c r="F1028" s="140"/>
    </row>
    <row r="1029" spans="1:8" s="134" customFormat="1" x14ac:dyDescent="0.25">
      <c r="A1029" s="130">
        <v>1</v>
      </c>
      <c r="B1029" s="135" t="s">
        <v>404</v>
      </c>
      <c r="C1029" s="130"/>
      <c r="D1029" s="130" t="s">
        <v>392</v>
      </c>
      <c r="E1029" s="132">
        <v>5100</v>
      </c>
      <c r="F1029" s="133">
        <f t="shared" ref="F1029:F1042" si="4">C1029*E1029</f>
        <v>0</v>
      </c>
      <c r="G1029" s="136"/>
      <c r="H1029" s="137"/>
    </row>
    <row r="1030" spans="1:8" s="134" customFormat="1" x14ac:dyDescent="0.25">
      <c r="A1030" s="130">
        <v>2</v>
      </c>
      <c r="B1030" s="135" t="s">
        <v>405</v>
      </c>
      <c r="C1030" s="130"/>
      <c r="D1030" s="130" t="s">
        <v>392</v>
      </c>
      <c r="E1030" s="132">
        <v>5100</v>
      </c>
      <c r="F1030" s="133">
        <f t="shared" si="4"/>
        <v>0</v>
      </c>
      <c r="G1030" s="136"/>
      <c r="H1030" s="137"/>
    </row>
    <row r="1031" spans="1:8" s="134" customFormat="1" x14ac:dyDescent="0.25">
      <c r="A1031" s="130">
        <v>3</v>
      </c>
      <c r="B1031" s="135" t="s">
        <v>406</v>
      </c>
      <c r="C1031" s="130"/>
      <c r="D1031" s="130" t="s">
        <v>392</v>
      </c>
      <c r="E1031" s="132">
        <v>5100</v>
      </c>
      <c r="F1031" s="133">
        <f t="shared" si="4"/>
        <v>0</v>
      </c>
      <c r="G1031" s="136"/>
      <c r="H1031" s="137"/>
    </row>
    <row r="1032" spans="1:8" s="134" customFormat="1" x14ac:dyDescent="0.25">
      <c r="A1032" s="130">
        <v>4</v>
      </c>
      <c r="B1032" s="135" t="s">
        <v>407</v>
      </c>
      <c r="C1032" s="130"/>
      <c r="D1032" s="130" t="s">
        <v>392</v>
      </c>
      <c r="E1032" s="132">
        <v>14000</v>
      </c>
      <c r="F1032" s="133">
        <f t="shared" si="4"/>
        <v>0</v>
      </c>
      <c r="G1032" s="136"/>
      <c r="H1032" s="137"/>
    </row>
    <row r="1033" spans="1:8" s="134" customFormat="1" x14ac:dyDescent="0.25">
      <c r="A1033" s="130">
        <v>5</v>
      </c>
      <c r="B1033" s="135" t="s">
        <v>408</v>
      </c>
      <c r="C1033" s="130"/>
      <c r="D1033" s="130" t="s">
        <v>392</v>
      </c>
      <c r="E1033" s="132">
        <v>14000</v>
      </c>
      <c r="F1033" s="133">
        <f t="shared" si="4"/>
        <v>0</v>
      </c>
      <c r="G1033" s="136"/>
      <c r="H1033" s="137"/>
    </row>
    <row r="1034" spans="1:8" s="134" customFormat="1" x14ac:dyDescent="0.25">
      <c r="A1034" s="130">
        <v>6</v>
      </c>
      <c r="B1034" s="135" t="s">
        <v>409</v>
      </c>
      <c r="C1034" s="130"/>
      <c r="D1034" s="130" t="s">
        <v>392</v>
      </c>
      <c r="E1034" s="132">
        <v>14000</v>
      </c>
      <c r="F1034" s="133">
        <f t="shared" si="4"/>
        <v>0</v>
      </c>
      <c r="G1034" s="136"/>
      <c r="H1034" s="137"/>
    </row>
    <row r="1035" spans="1:8" s="134" customFormat="1" x14ac:dyDescent="0.25">
      <c r="A1035" s="130">
        <v>7</v>
      </c>
      <c r="B1035" s="135" t="s">
        <v>410</v>
      </c>
      <c r="C1035" s="130"/>
      <c r="D1035" s="130" t="s">
        <v>392</v>
      </c>
      <c r="E1035" s="132">
        <v>19200</v>
      </c>
      <c r="F1035" s="133">
        <f t="shared" si="4"/>
        <v>0</v>
      </c>
      <c r="G1035" s="136"/>
      <c r="H1035" s="137"/>
    </row>
    <row r="1036" spans="1:8" s="134" customFormat="1" x14ac:dyDescent="0.25">
      <c r="A1036" s="130">
        <v>8</v>
      </c>
      <c r="B1036" s="135" t="s">
        <v>411</v>
      </c>
      <c r="C1036" s="130"/>
      <c r="D1036" s="130" t="s">
        <v>392</v>
      </c>
      <c r="E1036" s="132">
        <v>19200</v>
      </c>
      <c r="F1036" s="133">
        <f t="shared" si="4"/>
        <v>0</v>
      </c>
      <c r="G1036" s="136"/>
      <c r="H1036" s="137"/>
    </row>
    <row r="1037" spans="1:8" s="134" customFormat="1" x14ac:dyDescent="0.25">
      <c r="A1037" s="130">
        <v>9</v>
      </c>
      <c r="B1037" s="135" t="s">
        <v>412</v>
      </c>
      <c r="C1037" s="130"/>
      <c r="D1037" s="130" t="s">
        <v>392</v>
      </c>
      <c r="E1037" s="132">
        <v>52000</v>
      </c>
      <c r="F1037" s="133">
        <f t="shared" si="4"/>
        <v>0</v>
      </c>
      <c r="G1037" s="136"/>
      <c r="H1037" s="137"/>
    </row>
    <row r="1038" spans="1:8" s="134" customFormat="1" x14ac:dyDescent="0.25">
      <c r="A1038" s="130">
        <v>10</v>
      </c>
      <c r="B1038" s="135" t="s">
        <v>413</v>
      </c>
      <c r="C1038" s="130"/>
      <c r="D1038" s="130" t="s">
        <v>392</v>
      </c>
      <c r="E1038" s="132">
        <v>52000</v>
      </c>
      <c r="F1038" s="133">
        <f t="shared" si="4"/>
        <v>0</v>
      </c>
      <c r="G1038" s="136"/>
      <c r="H1038" s="137"/>
    </row>
    <row r="1039" spans="1:8" s="134" customFormat="1" x14ac:dyDescent="0.25">
      <c r="A1039" s="130">
        <v>11</v>
      </c>
      <c r="B1039" s="135" t="s">
        <v>414</v>
      </c>
      <c r="C1039" s="130"/>
      <c r="D1039" s="130" t="s">
        <v>392</v>
      </c>
      <c r="E1039" s="132">
        <v>52000</v>
      </c>
      <c r="F1039" s="133">
        <f t="shared" si="4"/>
        <v>0</v>
      </c>
      <c r="G1039" s="136"/>
      <c r="H1039" s="137"/>
    </row>
    <row r="1040" spans="1:8" s="134" customFormat="1" x14ac:dyDescent="0.25">
      <c r="A1040" s="130">
        <v>12</v>
      </c>
      <c r="B1040" s="135" t="s">
        <v>415</v>
      </c>
      <c r="C1040" s="130"/>
      <c r="D1040" s="130" t="s">
        <v>392</v>
      </c>
      <c r="E1040" s="132">
        <v>52000</v>
      </c>
      <c r="F1040" s="133">
        <f t="shared" si="4"/>
        <v>0</v>
      </c>
      <c r="G1040" s="136"/>
      <c r="H1040" s="137"/>
    </row>
    <row r="1041" spans="1:8" s="134" customFormat="1" ht="36" x14ac:dyDescent="0.25">
      <c r="A1041" s="130">
        <v>13</v>
      </c>
      <c r="B1041" s="135" t="s">
        <v>416</v>
      </c>
      <c r="C1041" s="130"/>
      <c r="D1041" s="130" t="s">
        <v>417</v>
      </c>
      <c r="E1041" s="132">
        <v>34000</v>
      </c>
      <c r="F1041" s="133">
        <f t="shared" si="4"/>
        <v>0</v>
      </c>
      <c r="G1041" s="136"/>
      <c r="H1041" s="137"/>
    </row>
    <row r="1042" spans="1:8" s="134" customFormat="1" ht="36" x14ac:dyDescent="0.25">
      <c r="A1042" s="130">
        <v>14</v>
      </c>
      <c r="B1042" s="135" t="s">
        <v>391</v>
      </c>
      <c r="C1042" s="130"/>
      <c r="D1042" s="130" t="s">
        <v>392</v>
      </c>
      <c r="E1042" s="132">
        <v>12000</v>
      </c>
      <c r="F1042" s="133">
        <f t="shared" si="4"/>
        <v>0</v>
      </c>
      <c r="G1042" s="136"/>
      <c r="H1042" s="137"/>
    </row>
    <row r="1043" spans="1:8" s="134" customFormat="1" x14ac:dyDescent="0.25">
      <c r="A1043" s="130">
        <v>15</v>
      </c>
      <c r="B1043" s="135" t="s">
        <v>400</v>
      </c>
      <c r="C1043" s="130"/>
      <c r="D1043" s="130" t="s">
        <v>401</v>
      </c>
      <c r="E1043" s="132"/>
      <c r="F1043" s="133"/>
      <c r="G1043" s="136"/>
      <c r="H1043" s="137"/>
    </row>
    <row r="1044" spans="1:8" s="30" customFormat="1" x14ac:dyDescent="0.25">
      <c r="A1044" s="26"/>
      <c r="B1044" s="32" t="s">
        <v>158</v>
      </c>
      <c r="C1044" s="26"/>
      <c r="D1044" s="33"/>
      <c r="E1044" s="34" t="s">
        <v>15</v>
      </c>
      <c r="F1044" s="29">
        <f>SUM(F1028:F1043)</f>
        <v>0</v>
      </c>
    </row>
    <row r="1045" spans="1:8" s="134" customFormat="1" ht="12" customHeight="1" x14ac:dyDescent="0.25">
      <c r="A1045" s="130"/>
      <c r="B1045" s="135"/>
      <c r="C1045" s="130"/>
      <c r="D1045" s="130"/>
      <c r="E1045" s="132"/>
      <c r="F1045" s="133"/>
    </row>
    <row r="1046" spans="1:8" s="134" customFormat="1" ht="12" customHeight="1" x14ac:dyDescent="0.25">
      <c r="A1046" s="130"/>
      <c r="B1046" s="135"/>
      <c r="C1046" s="130"/>
      <c r="D1046" s="130"/>
      <c r="E1046" s="132"/>
      <c r="F1046" s="133"/>
    </row>
    <row r="1047" spans="1:8" s="134" customFormat="1" ht="24" x14ac:dyDescent="0.25">
      <c r="A1047" s="130"/>
      <c r="B1047" s="141" t="s">
        <v>418</v>
      </c>
      <c r="C1047" s="130"/>
      <c r="D1047" s="130"/>
      <c r="E1047" s="142"/>
      <c r="F1047" s="143"/>
    </row>
    <row r="1048" spans="1:8" s="134" customFormat="1" ht="24" x14ac:dyDescent="0.25">
      <c r="A1048" s="130">
        <v>1</v>
      </c>
      <c r="B1048" s="135" t="s">
        <v>419</v>
      </c>
      <c r="C1048" s="130"/>
      <c r="D1048" s="130" t="s">
        <v>375</v>
      </c>
      <c r="E1048" s="132">
        <v>650</v>
      </c>
      <c r="F1048" s="133">
        <f t="shared" ref="F1048:F1077" si="5">C1048*E1048</f>
        <v>0</v>
      </c>
      <c r="G1048" s="136"/>
      <c r="H1048" s="137"/>
    </row>
    <row r="1049" spans="1:8" s="134" customFormat="1" ht="24" x14ac:dyDescent="0.25">
      <c r="A1049" s="130">
        <v>2</v>
      </c>
      <c r="B1049" s="135" t="s">
        <v>420</v>
      </c>
      <c r="C1049" s="130"/>
      <c r="D1049" s="130" t="s">
        <v>375</v>
      </c>
      <c r="E1049" s="132">
        <v>850</v>
      </c>
      <c r="F1049" s="133">
        <f t="shared" si="5"/>
        <v>0</v>
      </c>
      <c r="G1049" s="136"/>
      <c r="H1049" s="137"/>
    </row>
    <row r="1050" spans="1:8" s="134" customFormat="1" ht="24" x14ac:dyDescent="0.25">
      <c r="A1050" s="130">
        <v>3</v>
      </c>
      <c r="B1050" s="135" t="s">
        <v>421</v>
      </c>
      <c r="C1050" s="130"/>
      <c r="D1050" s="130" t="s">
        <v>375</v>
      </c>
      <c r="E1050" s="132">
        <v>950</v>
      </c>
      <c r="F1050" s="133">
        <f t="shared" si="5"/>
        <v>0</v>
      </c>
      <c r="G1050" s="136"/>
      <c r="H1050" s="137"/>
    </row>
    <row r="1051" spans="1:8" s="134" customFormat="1" ht="36" x14ac:dyDescent="0.25">
      <c r="A1051" s="130">
        <v>4</v>
      </c>
      <c r="B1051" s="135" t="s">
        <v>422</v>
      </c>
      <c r="C1051" s="130"/>
      <c r="D1051" s="130" t="s">
        <v>375</v>
      </c>
      <c r="E1051" s="132">
        <v>1400</v>
      </c>
      <c r="F1051" s="133">
        <f t="shared" si="5"/>
        <v>0</v>
      </c>
      <c r="G1051" s="136"/>
      <c r="H1051" s="137"/>
    </row>
    <row r="1052" spans="1:8" s="134" customFormat="1" ht="30.75" customHeight="1" x14ac:dyDescent="0.25">
      <c r="A1052" s="130">
        <v>5</v>
      </c>
      <c r="B1052" s="135" t="s">
        <v>423</v>
      </c>
      <c r="C1052" s="130"/>
      <c r="D1052" s="130" t="s">
        <v>375</v>
      </c>
      <c r="E1052" s="132">
        <v>1400</v>
      </c>
      <c r="F1052" s="133">
        <f t="shared" si="5"/>
        <v>0</v>
      </c>
      <c r="G1052" s="136"/>
      <c r="H1052" s="137"/>
    </row>
    <row r="1053" spans="1:8" s="134" customFormat="1" ht="36" x14ac:dyDescent="0.25">
      <c r="A1053" s="130">
        <v>6</v>
      </c>
      <c r="B1053" s="135" t="s">
        <v>424</v>
      </c>
      <c r="C1053" s="130"/>
      <c r="D1053" s="130" t="s">
        <v>375</v>
      </c>
      <c r="E1053" s="132">
        <v>4500</v>
      </c>
      <c r="F1053" s="133">
        <f t="shared" si="5"/>
        <v>0</v>
      </c>
      <c r="G1053" s="136"/>
      <c r="H1053" s="137"/>
    </row>
    <row r="1054" spans="1:8" s="134" customFormat="1" ht="24" x14ac:dyDescent="0.25">
      <c r="A1054" s="130">
        <v>7</v>
      </c>
      <c r="B1054" s="135" t="s">
        <v>425</v>
      </c>
      <c r="C1054" s="130"/>
      <c r="D1054" s="130" t="s">
        <v>375</v>
      </c>
      <c r="E1054" s="132">
        <v>950</v>
      </c>
      <c r="F1054" s="133">
        <f t="shared" si="5"/>
        <v>0</v>
      </c>
      <c r="G1054" s="136"/>
      <c r="H1054" s="137"/>
    </row>
    <row r="1055" spans="1:8" s="134" customFormat="1" ht="24" x14ac:dyDescent="0.25">
      <c r="A1055" s="130">
        <v>8</v>
      </c>
      <c r="B1055" s="135" t="s">
        <v>426</v>
      </c>
      <c r="C1055" s="130"/>
      <c r="D1055" s="130" t="s">
        <v>375</v>
      </c>
      <c r="E1055" s="132">
        <v>1100</v>
      </c>
      <c r="F1055" s="133">
        <f t="shared" si="5"/>
        <v>0</v>
      </c>
      <c r="G1055" s="136"/>
      <c r="H1055" s="137"/>
    </row>
    <row r="1056" spans="1:8" s="134" customFormat="1" ht="24" x14ac:dyDescent="0.25">
      <c r="A1056" s="130">
        <v>9</v>
      </c>
      <c r="B1056" s="135" t="s">
        <v>427</v>
      </c>
      <c r="C1056" s="130"/>
      <c r="D1056" s="130" t="s">
        <v>375</v>
      </c>
      <c r="E1056" s="132">
        <v>1400</v>
      </c>
      <c r="F1056" s="133">
        <f t="shared" si="5"/>
        <v>0</v>
      </c>
      <c r="G1056" s="136"/>
      <c r="H1056" s="137"/>
    </row>
    <row r="1057" spans="1:8" s="134" customFormat="1" ht="24" x14ac:dyDescent="0.25">
      <c r="A1057" s="130">
        <v>10</v>
      </c>
      <c r="B1057" s="135" t="s">
        <v>428</v>
      </c>
      <c r="C1057" s="130"/>
      <c r="D1057" s="130" t="s">
        <v>375</v>
      </c>
      <c r="E1057" s="132">
        <v>4500</v>
      </c>
      <c r="F1057" s="133">
        <f t="shared" si="5"/>
        <v>0</v>
      </c>
      <c r="G1057" s="136"/>
      <c r="H1057" s="137"/>
    </row>
    <row r="1058" spans="1:8" s="134" customFormat="1" ht="16.5" customHeight="1" x14ac:dyDescent="0.25">
      <c r="A1058" s="130">
        <v>11</v>
      </c>
      <c r="B1058" s="135" t="s">
        <v>429</v>
      </c>
      <c r="C1058" s="130"/>
      <c r="D1058" s="130" t="s">
        <v>375</v>
      </c>
      <c r="E1058" s="132">
        <v>800</v>
      </c>
      <c r="F1058" s="133">
        <f t="shared" si="5"/>
        <v>0</v>
      </c>
      <c r="G1058" s="136"/>
      <c r="H1058" s="137"/>
    </row>
    <row r="1059" spans="1:8" s="134" customFormat="1" ht="24" x14ac:dyDescent="0.25">
      <c r="A1059" s="130">
        <v>12</v>
      </c>
      <c r="B1059" s="135" t="s">
        <v>430</v>
      </c>
      <c r="C1059" s="130"/>
      <c r="D1059" s="130" t="s">
        <v>375</v>
      </c>
      <c r="E1059" s="132">
        <v>800</v>
      </c>
      <c r="F1059" s="133">
        <f t="shared" si="5"/>
        <v>0</v>
      </c>
      <c r="G1059" s="136"/>
      <c r="H1059" s="137"/>
    </row>
    <row r="1060" spans="1:8" s="134" customFormat="1" ht="36" x14ac:dyDescent="0.25">
      <c r="A1060" s="130">
        <v>13</v>
      </c>
      <c r="B1060" s="135" t="s">
        <v>431</v>
      </c>
      <c r="C1060" s="130"/>
      <c r="D1060" s="130" t="s">
        <v>375</v>
      </c>
      <c r="E1060" s="132">
        <v>5500</v>
      </c>
      <c r="F1060" s="133">
        <f t="shared" si="5"/>
        <v>0</v>
      </c>
      <c r="G1060" s="136"/>
      <c r="H1060" s="137"/>
    </row>
    <row r="1061" spans="1:8" s="134" customFormat="1" ht="36" x14ac:dyDescent="0.25">
      <c r="A1061" s="130">
        <v>14</v>
      </c>
      <c r="B1061" s="135" t="s">
        <v>432</v>
      </c>
      <c r="C1061" s="130"/>
      <c r="D1061" s="130" t="s">
        <v>375</v>
      </c>
      <c r="E1061" s="132">
        <v>2500</v>
      </c>
      <c r="F1061" s="133">
        <f t="shared" si="5"/>
        <v>0</v>
      </c>
      <c r="G1061" s="136"/>
      <c r="H1061" s="137"/>
    </row>
    <row r="1062" spans="1:8" s="134" customFormat="1" ht="36" x14ac:dyDescent="0.25">
      <c r="A1062" s="130">
        <v>15</v>
      </c>
      <c r="B1062" s="135" t="s">
        <v>433</v>
      </c>
      <c r="C1062" s="130"/>
      <c r="D1062" s="130" t="s">
        <v>375</v>
      </c>
      <c r="E1062" s="132">
        <v>2500</v>
      </c>
      <c r="F1062" s="133">
        <f t="shared" si="5"/>
        <v>0</v>
      </c>
      <c r="G1062" s="136"/>
      <c r="H1062" s="137"/>
    </row>
    <row r="1063" spans="1:8" s="134" customFormat="1" ht="36" x14ac:dyDescent="0.25">
      <c r="A1063" s="130">
        <v>16</v>
      </c>
      <c r="B1063" s="135" t="s">
        <v>434</v>
      </c>
      <c r="C1063" s="130"/>
      <c r="D1063" s="130" t="s">
        <v>375</v>
      </c>
      <c r="E1063" s="132">
        <v>3500</v>
      </c>
      <c r="F1063" s="133">
        <f t="shared" si="5"/>
        <v>0</v>
      </c>
      <c r="G1063" s="136"/>
      <c r="H1063" s="137"/>
    </row>
    <row r="1064" spans="1:8" s="134" customFormat="1" ht="36" x14ac:dyDescent="0.25">
      <c r="A1064" s="130">
        <v>17</v>
      </c>
      <c r="B1064" s="135" t="s">
        <v>435</v>
      </c>
      <c r="C1064" s="130"/>
      <c r="D1064" s="130" t="s">
        <v>375</v>
      </c>
      <c r="E1064" s="132">
        <v>3500</v>
      </c>
      <c r="F1064" s="133">
        <f t="shared" si="5"/>
        <v>0</v>
      </c>
      <c r="G1064" s="136"/>
      <c r="H1064" s="137"/>
    </row>
    <row r="1065" spans="1:8" s="134" customFormat="1" ht="36" x14ac:dyDescent="0.25">
      <c r="A1065" s="130">
        <v>18</v>
      </c>
      <c r="B1065" s="135" t="s">
        <v>436</v>
      </c>
      <c r="C1065" s="130"/>
      <c r="D1065" s="130" t="s">
        <v>375</v>
      </c>
      <c r="E1065" s="132">
        <v>3500</v>
      </c>
      <c r="F1065" s="133">
        <f t="shared" si="5"/>
        <v>0</v>
      </c>
      <c r="G1065" s="136"/>
      <c r="H1065" s="137"/>
    </row>
    <row r="1066" spans="1:8" s="134" customFormat="1" ht="32.25" customHeight="1" x14ac:dyDescent="0.25">
      <c r="A1066" s="130">
        <v>19</v>
      </c>
      <c r="B1066" s="135" t="s">
        <v>437</v>
      </c>
      <c r="C1066" s="130"/>
      <c r="D1066" s="130" t="s">
        <v>375</v>
      </c>
      <c r="E1066" s="132">
        <v>2500</v>
      </c>
      <c r="F1066" s="133">
        <f t="shared" si="5"/>
        <v>0</v>
      </c>
      <c r="G1066" s="136"/>
      <c r="H1066" s="137"/>
    </row>
    <row r="1067" spans="1:8" s="134" customFormat="1" x14ac:dyDescent="0.25">
      <c r="A1067" s="130">
        <v>20</v>
      </c>
      <c r="B1067" s="135" t="s">
        <v>438</v>
      </c>
      <c r="C1067" s="130"/>
      <c r="D1067" s="130" t="s">
        <v>375</v>
      </c>
      <c r="E1067" s="132">
        <v>250</v>
      </c>
      <c r="F1067" s="133">
        <f t="shared" si="5"/>
        <v>0</v>
      </c>
      <c r="G1067" s="136"/>
      <c r="H1067" s="137"/>
    </row>
    <row r="1068" spans="1:8" s="134" customFormat="1" x14ac:dyDescent="0.25">
      <c r="A1068" s="130">
        <v>21</v>
      </c>
      <c r="B1068" s="135" t="s">
        <v>439</v>
      </c>
      <c r="C1068" s="130"/>
      <c r="D1068" s="130" t="s">
        <v>373</v>
      </c>
      <c r="E1068" s="132">
        <v>700</v>
      </c>
      <c r="F1068" s="133">
        <f t="shared" si="5"/>
        <v>0</v>
      </c>
      <c r="G1068" s="136"/>
      <c r="H1068" s="137"/>
    </row>
    <row r="1069" spans="1:8" s="134" customFormat="1" x14ac:dyDescent="0.25">
      <c r="A1069" s="130">
        <v>22</v>
      </c>
      <c r="B1069" s="135" t="s">
        <v>440</v>
      </c>
      <c r="C1069" s="130"/>
      <c r="D1069" s="130" t="s">
        <v>373</v>
      </c>
      <c r="E1069" s="132">
        <v>4000</v>
      </c>
      <c r="F1069" s="133">
        <f t="shared" si="5"/>
        <v>0</v>
      </c>
      <c r="G1069" s="136"/>
      <c r="H1069" s="137"/>
    </row>
    <row r="1070" spans="1:8" s="134" customFormat="1" x14ac:dyDescent="0.25">
      <c r="A1070" s="130">
        <v>23</v>
      </c>
      <c r="B1070" s="135" t="s">
        <v>441</v>
      </c>
      <c r="C1070" s="130"/>
      <c r="D1070" s="130" t="s">
        <v>375</v>
      </c>
      <c r="E1070" s="132">
        <v>120</v>
      </c>
      <c r="F1070" s="133">
        <f t="shared" si="5"/>
        <v>0</v>
      </c>
      <c r="G1070" s="136"/>
      <c r="H1070" s="137"/>
    </row>
    <row r="1071" spans="1:8" s="134" customFormat="1" x14ac:dyDescent="0.25">
      <c r="A1071" s="130">
        <v>24</v>
      </c>
      <c r="B1071" s="135" t="s">
        <v>442</v>
      </c>
      <c r="C1071" s="130"/>
      <c r="D1071" s="130" t="s">
        <v>375</v>
      </c>
      <c r="E1071" s="132">
        <v>160</v>
      </c>
      <c r="F1071" s="133">
        <f t="shared" si="5"/>
        <v>0</v>
      </c>
      <c r="G1071" s="136"/>
      <c r="H1071" s="137"/>
    </row>
    <row r="1072" spans="1:8" s="134" customFormat="1" x14ac:dyDescent="0.25">
      <c r="A1072" s="130">
        <v>25</v>
      </c>
      <c r="B1072" s="135" t="s">
        <v>443</v>
      </c>
      <c r="C1072" s="130"/>
      <c r="D1072" s="130" t="s">
        <v>375</v>
      </c>
      <c r="E1072" s="132">
        <v>80</v>
      </c>
      <c r="F1072" s="133">
        <f t="shared" si="5"/>
        <v>0</v>
      </c>
      <c r="G1072" s="136"/>
      <c r="H1072" s="137"/>
    </row>
    <row r="1073" spans="1:8" s="134" customFormat="1" ht="24" x14ac:dyDescent="0.25">
      <c r="A1073" s="130">
        <v>26</v>
      </c>
      <c r="B1073" s="135" t="s">
        <v>444</v>
      </c>
      <c r="C1073" s="130"/>
      <c r="D1073" s="130" t="s">
        <v>417</v>
      </c>
      <c r="E1073" s="132">
        <v>150</v>
      </c>
      <c r="F1073" s="133">
        <f t="shared" si="5"/>
        <v>0</v>
      </c>
      <c r="G1073" s="136"/>
      <c r="H1073" s="137"/>
    </row>
    <row r="1074" spans="1:8" s="134" customFormat="1" x14ac:dyDescent="0.25">
      <c r="A1074" s="130">
        <v>27</v>
      </c>
      <c r="B1074" s="135" t="s">
        <v>445</v>
      </c>
      <c r="C1074" s="130"/>
      <c r="D1074" s="130" t="s">
        <v>396</v>
      </c>
      <c r="E1074" s="132">
        <v>400</v>
      </c>
      <c r="F1074" s="133">
        <f t="shared" si="5"/>
        <v>0</v>
      </c>
      <c r="G1074" s="136"/>
      <c r="H1074" s="137"/>
    </row>
    <row r="1075" spans="1:8" s="134" customFormat="1" x14ac:dyDescent="0.25">
      <c r="A1075" s="130">
        <v>28</v>
      </c>
      <c r="B1075" s="135" t="s">
        <v>446</v>
      </c>
      <c r="C1075" s="130"/>
      <c r="D1075" s="130" t="s">
        <v>396</v>
      </c>
      <c r="E1075" s="132">
        <v>250</v>
      </c>
      <c r="F1075" s="133">
        <f t="shared" si="5"/>
        <v>0</v>
      </c>
      <c r="G1075" s="136"/>
      <c r="H1075" s="137"/>
    </row>
    <row r="1076" spans="1:8" s="134" customFormat="1" x14ac:dyDescent="0.25">
      <c r="A1076" s="130">
        <v>29</v>
      </c>
      <c r="B1076" s="135" t="s">
        <v>447</v>
      </c>
      <c r="C1076" s="130"/>
      <c r="D1076" s="130" t="s">
        <v>417</v>
      </c>
      <c r="E1076" s="132">
        <v>13000</v>
      </c>
      <c r="F1076" s="133">
        <f t="shared" si="5"/>
        <v>0</v>
      </c>
      <c r="G1076" s="136"/>
      <c r="H1076" s="137"/>
    </row>
    <row r="1077" spans="1:8" s="134" customFormat="1" ht="24" x14ac:dyDescent="0.25">
      <c r="A1077" s="130">
        <v>30</v>
      </c>
      <c r="B1077" s="135" t="s">
        <v>448</v>
      </c>
      <c r="C1077" s="130"/>
      <c r="D1077" s="130" t="s">
        <v>375</v>
      </c>
      <c r="E1077" s="132">
        <v>8500</v>
      </c>
      <c r="F1077" s="133">
        <f t="shared" si="5"/>
        <v>0</v>
      </c>
      <c r="G1077" s="136"/>
      <c r="H1077" s="137"/>
    </row>
    <row r="1078" spans="1:8" s="134" customFormat="1" x14ac:dyDescent="0.25">
      <c r="A1078" s="130">
        <v>31</v>
      </c>
      <c r="B1078" s="135" t="s">
        <v>400</v>
      </c>
      <c r="C1078" s="130"/>
      <c r="D1078" s="130" t="s">
        <v>401</v>
      </c>
      <c r="E1078" s="132"/>
      <c r="F1078" s="133"/>
      <c r="G1078" s="136"/>
      <c r="H1078" s="137"/>
    </row>
    <row r="1079" spans="1:8" s="30" customFormat="1" x14ac:dyDescent="0.25">
      <c r="A1079" s="26"/>
      <c r="B1079" s="32" t="s">
        <v>158</v>
      </c>
      <c r="C1079" s="33"/>
      <c r="D1079" s="26"/>
      <c r="E1079" s="34" t="s">
        <v>15</v>
      </c>
      <c r="F1079" s="29">
        <f>SUM(F1047:F1078)</f>
        <v>0</v>
      </c>
    </row>
    <row r="1080" spans="1:8" s="134" customFormat="1" ht="12" customHeight="1" x14ac:dyDescent="0.25">
      <c r="A1080" s="130"/>
      <c r="B1080" s="35" t="s">
        <v>92</v>
      </c>
      <c r="C1080" s="36"/>
      <c r="D1080" s="26"/>
      <c r="E1080" s="28"/>
      <c r="F1080" s="140"/>
    </row>
    <row r="1081" spans="1:8" s="134" customFormat="1" ht="12" customHeight="1" x14ac:dyDescent="0.25">
      <c r="A1081" s="130"/>
      <c r="B1081" s="37" t="s">
        <v>261</v>
      </c>
      <c r="C1081" s="36"/>
      <c r="D1081" s="26"/>
      <c r="E1081" s="28">
        <f>F1024</f>
        <v>0</v>
      </c>
      <c r="F1081" s="140"/>
    </row>
    <row r="1082" spans="1:8" s="134" customFormat="1" ht="12" customHeight="1" x14ac:dyDescent="0.25">
      <c r="A1082" s="130"/>
      <c r="B1082" s="37"/>
      <c r="C1082" s="36"/>
      <c r="D1082" s="26"/>
      <c r="E1082" s="28"/>
      <c r="F1082" s="140"/>
    </row>
    <row r="1083" spans="1:8" s="134" customFormat="1" ht="12" customHeight="1" x14ac:dyDescent="0.25">
      <c r="A1083" s="130"/>
      <c r="B1083" s="37" t="s">
        <v>262</v>
      </c>
      <c r="C1083" s="36"/>
      <c r="D1083" s="26"/>
      <c r="E1083" s="28">
        <f>F1044</f>
        <v>0</v>
      </c>
      <c r="F1083" s="140"/>
    </row>
    <row r="1084" spans="1:8" s="134" customFormat="1" ht="12" customHeight="1" x14ac:dyDescent="0.25">
      <c r="A1084" s="130"/>
      <c r="B1084" s="37"/>
      <c r="C1084" s="36"/>
      <c r="D1084" s="26"/>
      <c r="E1084" s="28"/>
      <c r="F1084" s="140"/>
    </row>
    <row r="1085" spans="1:8" s="134" customFormat="1" ht="12" customHeight="1" x14ac:dyDescent="0.25">
      <c r="A1085" s="130"/>
      <c r="B1085" s="37" t="s">
        <v>262</v>
      </c>
      <c r="C1085" s="36"/>
      <c r="D1085" s="26"/>
      <c r="E1085" s="28">
        <f>F1079</f>
        <v>0</v>
      </c>
      <c r="F1085" s="140"/>
    </row>
    <row r="1086" spans="1:8" s="30" customFormat="1" x14ac:dyDescent="0.25">
      <c r="A1086" s="26"/>
      <c r="B1086" s="27" t="s">
        <v>449</v>
      </c>
      <c r="C1086" s="36"/>
      <c r="D1086" s="26"/>
      <c r="E1086" s="28"/>
      <c r="F1086" s="28"/>
    </row>
    <row r="1087" spans="1:8" s="30" customFormat="1" x14ac:dyDescent="0.25">
      <c r="A1087" s="26"/>
      <c r="B1087" s="32" t="s">
        <v>95</v>
      </c>
      <c r="C1087" s="36"/>
      <c r="D1087" s="26"/>
      <c r="E1087" s="34" t="s">
        <v>15</v>
      </c>
      <c r="F1087" s="29">
        <f>SUM(E1081:E1085)</f>
        <v>0</v>
      </c>
    </row>
    <row r="1088" spans="1:8" x14ac:dyDescent="0.2">
      <c r="B1088" s="3"/>
      <c r="E1088" s="10"/>
      <c r="F1088" s="11"/>
    </row>
    <row r="1089" spans="2:6" x14ac:dyDescent="0.2">
      <c r="B1089" s="9" t="s">
        <v>450</v>
      </c>
    </row>
    <row r="1091" spans="2:6" x14ac:dyDescent="0.2">
      <c r="B1091" s="6" t="s">
        <v>43</v>
      </c>
      <c r="C1091" s="41" t="s">
        <v>451</v>
      </c>
      <c r="F1091" s="15" t="e">
        <f>F112</f>
        <v>#REF!</v>
      </c>
    </row>
    <row r="1093" spans="2:6" x14ac:dyDescent="0.2">
      <c r="B1093" s="6" t="s">
        <v>97</v>
      </c>
      <c r="C1093" s="41" t="s">
        <v>452</v>
      </c>
      <c r="F1093" s="15" t="e">
        <f>F166</f>
        <v>#REF!</v>
      </c>
    </row>
    <row r="1095" spans="2:6" x14ac:dyDescent="0.2">
      <c r="B1095" s="6" t="s">
        <v>453</v>
      </c>
      <c r="C1095" s="41" t="s">
        <v>454</v>
      </c>
      <c r="F1095" s="15" t="e">
        <f>F219</f>
        <v>#REF!</v>
      </c>
    </row>
    <row r="1097" spans="2:6" x14ac:dyDescent="0.2">
      <c r="B1097" s="6" t="s">
        <v>455</v>
      </c>
      <c r="C1097" s="6" t="s">
        <v>160</v>
      </c>
      <c r="F1097" s="15" t="e">
        <f>F328</f>
        <v>#REF!</v>
      </c>
    </row>
    <row r="1099" spans="2:6" x14ac:dyDescent="0.2">
      <c r="B1099" s="6" t="s">
        <v>163</v>
      </c>
      <c r="C1099" s="6" t="s">
        <v>456</v>
      </c>
      <c r="F1099" s="15" t="e">
        <f>F422</f>
        <v>#REF!</v>
      </c>
    </row>
    <row r="1101" spans="2:6" x14ac:dyDescent="0.2">
      <c r="B1101" s="6" t="s">
        <v>195</v>
      </c>
      <c r="C1101" s="41" t="s">
        <v>457</v>
      </c>
      <c r="F1101" s="15" t="e">
        <f>F475</f>
        <v>#REF!</v>
      </c>
    </row>
    <row r="1103" spans="2:6" x14ac:dyDescent="0.2">
      <c r="B1103" s="6" t="s">
        <v>200</v>
      </c>
      <c r="C1103" s="41" t="s">
        <v>458</v>
      </c>
      <c r="F1103" s="15" t="e">
        <f>F541</f>
        <v>#REF!</v>
      </c>
    </row>
    <row r="1105" spans="2:9" x14ac:dyDescent="0.2">
      <c r="B1105" s="6" t="s">
        <v>210</v>
      </c>
      <c r="C1105" s="41" t="s">
        <v>459</v>
      </c>
      <c r="F1105" s="15" t="e">
        <f>F594</f>
        <v>#REF!</v>
      </c>
    </row>
    <row r="1107" spans="2:9" x14ac:dyDescent="0.2">
      <c r="B1107" s="6" t="s">
        <v>213</v>
      </c>
      <c r="C1107" s="41" t="s">
        <v>460</v>
      </c>
      <c r="F1107" s="15" t="e">
        <f>F646</f>
        <v>#REF!</v>
      </c>
    </row>
    <row r="1109" spans="2:9" x14ac:dyDescent="0.2">
      <c r="B1109" s="6" t="s">
        <v>225</v>
      </c>
      <c r="C1109" s="41" t="s">
        <v>461</v>
      </c>
      <c r="F1109" s="15">
        <f>F689</f>
        <v>8986900</v>
      </c>
    </row>
    <row r="1111" spans="2:9" x14ac:dyDescent="0.2">
      <c r="B1111" s="6" t="s">
        <v>236</v>
      </c>
      <c r="C1111" s="6" t="s">
        <v>462</v>
      </c>
      <c r="F1111" s="15" t="e">
        <f>F800</f>
        <v>#REF!</v>
      </c>
    </row>
    <row r="1113" spans="2:9" x14ac:dyDescent="0.2">
      <c r="B1113" s="6" t="s">
        <v>265</v>
      </c>
      <c r="C1113" s="41" t="s">
        <v>463</v>
      </c>
      <c r="F1113" s="15" t="e">
        <f>F847</f>
        <v>#REF!</v>
      </c>
    </row>
    <row r="1115" spans="2:9" x14ac:dyDescent="0.2">
      <c r="B1115" s="6" t="s">
        <v>281</v>
      </c>
      <c r="C1115" s="41" t="s">
        <v>464</v>
      </c>
      <c r="F1115" s="15" t="e">
        <f>F900</f>
        <v>#REF!</v>
      </c>
    </row>
    <row r="1117" spans="2:9" ht="15" x14ac:dyDescent="0.3">
      <c r="B1117" s="6" t="s">
        <v>465</v>
      </c>
      <c r="C1117" s="41" t="s">
        <v>466</v>
      </c>
      <c r="F1117" s="183">
        <v>7474000</v>
      </c>
      <c r="H1117" s="12">
        <f>C1139*3800</f>
        <v>7474600</v>
      </c>
      <c r="I1117" s="149">
        <f>F1117/C1139</f>
        <v>3799.6949669547535</v>
      </c>
    </row>
    <row r="1118" spans="2:9" ht="15" x14ac:dyDescent="0.3">
      <c r="F1118" s="183"/>
    </row>
    <row r="1119" spans="2:9" ht="15" x14ac:dyDescent="0.3">
      <c r="B1119" s="6" t="s">
        <v>368</v>
      </c>
      <c r="C1119" s="41" t="s">
        <v>467</v>
      </c>
      <c r="F1119" s="183">
        <v>12785500</v>
      </c>
      <c r="H1119" s="12">
        <f>C1139*6500</f>
        <v>12785500</v>
      </c>
      <c r="I1119" s="149">
        <f>F1119/C1139</f>
        <v>6500</v>
      </c>
    </row>
    <row r="1120" spans="2:9" x14ac:dyDescent="0.2">
      <c r="F1120" s="76"/>
    </row>
    <row r="1134" spans="2:8" x14ac:dyDescent="0.2">
      <c r="H1134" s="150" t="e">
        <f>F1136-24814365</f>
        <v>#REF!</v>
      </c>
    </row>
    <row r="1135" spans="2:8" x14ac:dyDescent="0.2">
      <c r="B1135" s="9" t="s">
        <v>468</v>
      </c>
    </row>
    <row r="1136" spans="2:8" x14ac:dyDescent="0.2">
      <c r="B1136" s="3" t="s">
        <v>469</v>
      </c>
      <c r="E1136" s="10" t="s">
        <v>15</v>
      </c>
      <c r="F1136" s="11" t="e">
        <f>SUM(F1090:F1135)</f>
        <v>#REF!</v>
      </c>
      <c r="H1136" s="151" t="e">
        <f>#REF!</f>
        <v>#REF!</v>
      </c>
    </row>
    <row r="1137" spans="1:6" x14ac:dyDescent="0.2">
      <c r="B1137" s="9" t="s">
        <v>470</v>
      </c>
      <c r="F1137" s="11"/>
    </row>
    <row r="1138" spans="1:6" ht="20.25" customHeight="1" x14ac:dyDescent="0.2">
      <c r="B1138" s="9"/>
      <c r="F1138" s="11"/>
    </row>
    <row r="1139" spans="1:6" s="30" customFormat="1" x14ac:dyDescent="0.25">
      <c r="A1139" s="26"/>
      <c r="B1139" s="2" t="s">
        <v>471</v>
      </c>
      <c r="C1139" s="158">
        <v>1967</v>
      </c>
      <c r="D1139" s="144" t="s">
        <v>472</v>
      </c>
      <c r="F1139" s="159" t="e">
        <f>F1136/C1139</f>
        <v>#REF!</v>
      </c>
    </row>
    <row r="1140" spans="1:6" s="30" customFormat="1" x14ac:dyDescent="0.25">
      <c r="A1140" s="26"/>
      <c r="B1140" s="2" t="s">
        <v>473</v>
      </c>
      <c r="C1140" s="160"/>
      <c r="D1140" s="144"/>
      <c r="E1140" s="161" t="e">
        <f>F1136</f>
        <v>#REF!</v>
      </c>
      <c r="F1140" s="159"/>
    </row>
    <row r="1141" spans="1:6" s="30" customFormat="1" x14ac:dyDescent="0.25">
      <c r="A1141" s="26"/>
      <c r="B1141" s="162" t="s">
        <v>474</v>
      </c>
      <c r="C1141" s="163"/>
      <c r="D1141" s="144"/>
      <c r="E1141" s="161"/>
      <c r="F1141" s="159"/>
    </row>
    <row r="1142" spans="1:6" s="30" customFormat="1" ht="14.25" customHeight="1" x14ac:dyDescent="0.25">
      <c r="A1142" s="26"/>
      <c r="B1142" s="2" t="s">
        <v>475</v>
      </c>
      <c r="C1142" s="163"/>
      <c r="D1142" s="144"/>
      <c r="E1142" s="161" t="e">
        <f>E1140*2.5%</f>
        <v>#REF!</v>
      </c>
      <c r="F1142" s="159"/>
    </row>
    <row r="1143" spans="1:6" s="30" customFormat="1" x14ac:dyDescent="0.25">
      <c r="A1143" s="26"/>
      <c r="B1143" s="2"/>
      <c r="C1143" s="163"/>
      <c r="D1143" s="144"/>
      <c r="E1143" s="161"/>
      <c r="F1143" s="159"/>
    </row>
    <row r="1144" spans="1:6" s="30" customFormat="1" x14ac:dyDescent="0.25">
      <c r="A1144" s="26"/>
      <c r="B1144" s="164" t="s">
        <v>476</v>
      </c>
      <c r="C1144" s="165"/>
      <c r="D1144" s="166" t="s">
        <v>15</v>
      </c>
      <c r="E1144" s="167" t="e">
        <f>SUM(E1140:E1143)</f>
        <v>#REF!</v>
      </c>
      <c r="F1144" s="159"/>
    </row>
    <row r="1145" spans="1:6" s="30" customFormat="1" x14ac:dyDescent="0.25">
      <c r="A1145" s="26"/>
      <c r="B1145" s="162" t="s">
        <v>474</v>
      </c>
      <c r="C1145" s="165"/>
      <c r="D1145" s="166"/>
      <c r="E1145" s="168"/>
      <c r="F1145" s="159"/>
    </row>
    <row r="1146" spans="1:6" s="30" customFormat="1" x14ac:dyDescent="0.25">
      <c r="A1146" s="26"/>
      <c r="B1146" s="2" t="s">
        <v>477</v>
      </c>
      <c r="C1146" s="163"/>
      <c r="D1146" s="144"/>
      <c r="E1146" s="161" t="e">
        <f>E1144*7.5%</f>
        <v>#REF!</v>
      </c>
      <c r="F1146" s="159"/>
    </row>
    <row r="1147" spans="1:6" s="30" customFormat="1" ht="12.75" thickBot="1" x14ac:dyDescent="0.3">
      <c r="A1147" s="26"/>
      <c r="B1147" s="2"/>
      <c r="C1147" s="163"/>
      <c r="D1147" s="144"/>
      <c r="E1147" s="169" t="e">
        <f>SUM(E1144:E1146)</f>
        <v>#REF!</v>
      </c>
      <c r="F1147" s="159"/>
    </row>
    <row r="1148" spans="1:6" s="30" customFormat="1" ht="12.75" thickTop="1" x14ac:dyDescent="0.25">
      <c r="A1148" s="26"/>
      <c r="B1148" s="2"/>
      <c r="C1148" s="163"/>
      <c r="D1148" s="144"/>
      <c r="E1148" s="161"/>
      <c r="F1148" s="159"/>
    </row>
    <row r="1149" spans="1:6" s="30" customFormat="1" x14ac:dyDescent="0.25">
      <c r="A1149" s="26"/>
      <c r="B1149" s="2" t="s">
        <v>478</v>
      </c>
      <c r="C1149" s="163"/>
      <c r="D1149" s="144"/>
      <c r="E1149" s="161" t="e">
        <f>E1147/2</f>
        <v>#REF!</v>
      </c>
      <c r="F1149" s="159"/>
    </row>
    <row r="1150" spans="1:6" s="30" customFormat="1" x14ac:dyDescent="0.25">
      <c r="A1150" s="26"/>
      <c r="B1150" s="2"/>
      <c r="C1150" s="163"/>
      <c r="D1150" s="144"/>
      <c r="E1150" s="161"/>
      <c r="F1150" s="159"/>
    </row>
    <row r="1151" spans="1:6" s="30" customFormat="1" x14ac:dyDescent="0.25">
      <c r="A1151" s="26"/>
      <c r="B1151" s="2" t="s">
        <v>479</v>
      </c>
      <c r="C1151" s="163"/>
      <c r="D1151" s="144"/>
      <c r="E1151" s="161" t="e">
        <f>E1147/C1139</f>
        <v>#REF!</v>
      </c>
      <c r="F1151" s="159"/>
    </row>
    <row r="1152" spans="1:6" ht="20.25" customHeight="1" x14ac:dyDescent="0.2">
      <c r="B1152" s="9"/>
      <c r="F1152" s="11"/>
    </row>
    <row r="1153" spans="2:6" ht="20.25" customHeight="1" x14ac:dyDescent="0.2">
      <c r="B1153" s="9"/>
      <c r="F1153" s="11"/>
    </row>
    <row r="1154" spans="2:6" ht="20.25" customHeight="1" x14ac:dyDescent="0.2">
      <c r="B1154" s="9"/>
      <c r="F1154" s="11"/>
    </row>
    <row r="1155" spans="2:6" ht="20.25" customHeight="1" x14ac:dyDescent="0.2">
      <c r="B1155" s="9"/>
      <c r="F1155" s="11"/>
    </row>
    <row r="1156" spans="2:6" ht="20.25" customHeight="1" x14ac:dyDescent="0.2">
      <c r="B1156" s="9"/>
      <c r="F1156" s="11"/>
    </row>
    <row r="1157" spans="2:6" ht="20.25" customHeight="1" x14ac:dyDescent="0.2">
      <c r="B1157" s="9"/>
      <c r="F1157" s="11"/>
    </row>
    <row r="1158" spans="2:6" x14ac:dyDescent="0.2">
      <c r="B1158" s="9"/>
      <c r="F1158" s="11"/>
    </row>
    <row r="1159" spans="2:6" x14ac:dyDescent="0.2">
      <c r="B1159" s="9"/>
      <c r="F1159" s="11"/>
    </row>
  </sheetData>
  <mergeCells count="3">
    <mergeCell ref="A1:F1"/>
    <mergeCell ref="C372:E372"/>
    <mergeCell ref="D500:E500"/>
  </mergeCells>
  <pageMargins left="0.75661417322835001" right="0.75" top="0.74803149606299202" bottom="0.74803149606299202" header="0.31496062992126" footer="0.56496062999999996"/>
  <pageSetup paperSize="9" scale="82" orientation="portrait" r:id="rId1"/>
  <headerFooter>
    <oddHeader>&amp;C4 BEDROOM SEMI DETATCHED DUPLEX AT 
PLOT 342, C01, KARMO DISTRICT,
 ABUJA</oddHeader>
    <oddFooter>&amp;L&amp;"Comic Sans MS,Regular"&amp;8 4BEDROOM SD DUPLEX&amp;R&amp;"Comic Sans MS,Regular"Page/&amp;P</oddFooter>
  </headerFooter>
  <rowBreaks count="23" manualBreakCount="23">
    <brk id="49" max="5" man="1"/>
    <brk id="112" max="16383" man="1"/>
    <brk id="166" max="5" man="1"/>
    <brk id="219" max="16383" man="1"/>
    <brk id="276" max="5" man="1"/>
    <brk id="328" max="5" man="1"/>
    <brk id="395" max="5" man="1"/>
    <brk id="422" max="5" man="1"/>
    <brk id="475" max="16383" man="1"/>
    <brk id="541" max="5" man="1"/>
    <brk id="594" max="16383" man="1"/>
    <brk id="646" max="16383" man="1"/>
    <brk id="689" max="16383" man="1"/>
    <brk id="748" max="16383" man="1"/>
    <brk id="800" max="5" man="1"/>
    <brk id="847" max="16383" man="1"/>
    <brk id="900" max="16383" man="1"/>
    <brk id="948" max="16383" man="1"/>
    <brk id="995" max="16383" man="1"/>
    <brk id="1025" max="16383" man="1"/>
    <brk id="1046" max="16383" man="1"/>
    <brk id="1087" max="5" man="1"/>
    <brk id="1136"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1A46-0F85-4B0F-B1F5-073FC415298C}">
  <dimension ref="A1:J29"/>
  <sheetViews>
    <sheetView view="pageBreakPreview" zoomScaleNormal="96" zoomScaleSheetLayoutView="100" workbookViewId="0">
      <selection activeCell="A5" sqref="A5:J10"/>
    </sheetView>
  </sheetViews>
  <sheetFormatPr defaultColWidth="11.42578125" defaultRowHeight="26.25" x14ac:dyDescent="0.4"/>
  <cols>
    <col min="1" max="1" width="8.5703125" style="388" customWidth="1"/>
    <col min="2" max="2" width="14.42578125" style="388" customWidth="1"/>
    <col min="3" max="7" width="11.42578125" style="388"/>
    <col min="8" max="8" width="14.85546875" style="388" customWidth="1"/>
    <col min="9" max="16384" width="11.42578125" style="388"/>
  </cols>
  <sheetData>
    <row r="1" spans="1:10" ht="31.5" x14ac:dyDescent="0.4">
      <c r="A1" s="582"/>
      <c r="B1" s="582"/>
      <c r="C1" s="582"/>
      <c r="D1" s="582"/>
      <c r="E1" s="582"/>
      <c r="F1" s="582"/>
      <c r="G1" s="582"/>
      <c r="H1" s="582"/>
      <c r="I1" s="582"/>
      <c r="J1" s="582"/>
    </row>
    <row r="2" spans="1:10" ht="17.25" customHeight="1" x14ac:dyDescent="0.5">
      <c r="A2" s="389"/>
      <c r="B2" s="389"/>
      <c r="C2" s="389"/>
      <c r="D2" s="389"/>
      <c r="E2" s="389"/>
      <c r="F2" s="389"/>
      <c r="G2" s="389"/>
      <c r="H2" s="389"/>
      <c r="I2" s="390"/>
      <c r="J2" s="390"/>
    </row>
    <row r="3" spans="1:10" ht="31.5" x14ac:dyDescent="0.4">
      <c r="A3" s="582"/>
      <c r="B3" s="582"/>
      <c r="C3" s="582"/>
      <c r="D3" s="582"/>
      <c r="E3" s="582"/>
      <c r="F3" s="582"/>
      <c r="G3" s="582"/>
      <c r="H3" s="582"/>
      <c r="I3" s="582"/>
      <c r="J3" s="582"/>
    </row>
    <row r="4" spans="1:10" ht="13.5" customHeight="1" x14ac:dyDescent="0.5">
      <c r="A4" s="389"/>
      <c r="B4" s="389"/>
      <c r="C4" s="389"/>
      <c r="D4" s="389"/>
      <c r="E4" s="389"/>
      <c r="F4" s="389"/>
      <c r="G4" s="389"/>
      <c r="H4" s="389"/>
      <c r="I4" s="390"/>
      <c r="J4" s="390"/>
    </row>
    <row r="5" spans="1:10" ht="21" customHeight="1" x14ac:dyDescent="0.4">
      <c r="A5" s="583" t="s">
        <v>1119</v>
      </c>
      <c r="B5" s="583"/>
      <c r="C5" s="583"/>
      <c r="D5" s="583"/>
      <c r="E5" s="583"/>
      <c r="F5" s="583"/>
      <c r="G5" s="583"/>
      <c r="H5" s="583"/>
      <c r="I5" s="583"/>
      <c r="J5" s="583"/>
    </row>
    <row r="6" spans="1:10" ht="17.25" customHeight="1" x14ac:dyDescent="0.4">
      <c r="A6" s="583"/>
      <c r="B6" s="583"/>
      <c r="C6" s="583"/>
      <c r="D6" s="583"/>
      <c r="E6" s="583"/>
      <c r="F6" s="583"/>
      <c r="G6" s="583"/>
      <c r="H6" s="583"/>
      <c r="I6" s="583"/>
      <c r="J6" s="583"/>
    </row>
    <row r="7" spans="1:10" ht="26.25" customHeight="1" x14ac:dyDescent="0.4">
      <c r="A7" s="583"/>
      <c r="B7" s="583"/>
      <c r="C7" s="583"/>
      <c r="D7" s="583"/>
      <c r="E7" s="583"/>
      <c r="F7" s="583"/>
      <c r="G7" s="583"/>
      <c r="H7" s="583"/>
      <c r="I7" s="583"/>
      <c r="J7" s="583"/>
    </row>
    <row r="8" spans="1:10" ht="8.25" customHeight="1" x14ac:dyDescent="0.4">
      <c r="A8" s="583"/>
      <c r="B8" s="583"/>
      <c r="C8" s="583"/>
      <c r="D8" s="583"/>
      <c r="E8" s="583"/>
      <c r="F8" s="583"/>
      <c r="G8" s="583"/>
      <c r="H8" s="583"/>
      <c r="I8" s="583"/>
      <c r="J8" s="583"/>
    </row>
    <row r="9" spans="1:10" ht="26.25" hidden="1" customHeight="1" x14ac:dyDescent="0.4">
      <c r="A9" s="583"/>
      <c r="B9" s="583"/>
      <c r="C9" s="583"/>
      <c r="D9" s="583"/>
      <c r="E9" s="583"/>
      <c r="F9" s="583"/>
      <c r="G9" s="583"/>
      <c r="H9" s="583"/>
      <c r="I9" s="583"/>
      <c r="J9" s="583"/>
    </row>
    <row r="10" spans="1:10" ht="5.25" hidden="1" customHeight="1" x14ac:dyDescent="0.4">
      <c r="A10" s="583"/>
      <c r="B10" s="583"/>
      <c r="C10" s="583"/>
      <c r="D10" s="583"/>
      <c r="E10" s="583"/>
      <c r="F10" s="583"/>
      <c r="G10" s="583"/>
      <c r="H10" s="583"/>
      <c r="I10" s="583"/>
      <c r="J10" s="583"/>
    </row>
    <row r="12" spans="1:10" ht="17.25" customHeight="1" x14ac:dyDescent="0.4"/>
    <row r="24" spans="1:10" s="392" customFormat="1" ht="18.75" x14ac:dyDescent="0.3">
      <c r="A24" s="391"/>
      <c r="G24" s="391"/>
    </row>
    <row r="25" spans="1:10" s="394" customFormat="1" ht="16.5" x14ac:dyDescent="0.3">
      <c r="A25" s="393"/>
      <c r="G25" s="395"/>
    </row>
    <row r="26" spans="1:10" s="394" customFormat="1" ht="15.75" x14ac:dyDescent="0.25"/>
    <row r="27" spans="1:10" s="394" customFormat="1" ht="15.75" x14ac:dyDescent="0.25"/>
    <row r="28" spans="1:10" s="392" customFormat="1" ht="15.75" x14ac:dyDescent="0.25"/>
    <row r="29" spans="1:10" s="392" customFormat="1" ht="15.75" x14ac:dyDescent="0.25">
      <c r="A29" s="584"/>
      <c r="B29" s="584"/>
      <c r="C29" s="584"/>
      <c r="D29" s="584"/>
      <c r="E29" s="584"/>
      <c r="F29" s="584"/>
      <c r="G29" s="584"/>
      <c r="H29" s="584"/>
      <c r="I29" s="584"/>
      <c r="J29" s="584"/>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D6BA9-19DE-4B2D-BC1F-16E1228CA456}">
  <dimension ref="A1:H461"/>
  <sheetViews>
    <sheetView view="pageBreakPreview" topLeftCell="A434" zoomScale="98" zoomScaleNormal="100" zoomScaleSheetLayoutView="98" workbookViewId="0">
      <selection activeCell="D451" sqref="D451"/>
    </sheetView>
  </sheetViews>
  <sheetFormatPr defaultColWidth="9.5703125" defaultRowHeight="15" x14ac:dyDescent="0.25"/>
  <cols>
    <col min="1" max="1" width="6.5703125" customWidth="1"/>
    <col min="2" max="2" width="45.42578125" customWidth="1"/>
    <col min="4" max="4" width="12.140625" customWidth="1"/>
    <col min="5" max="5" width="19.28515625" customWidth="1"/>
    <col min="6" max="6" width="17.85546875" customWidth="1"/>
    <col min="257" max="257" width="6.5703125" customWidth="1"/>
    <col min="258" max="258" width="38.5703125" customWidth="1"/>
    <col min="260" max="260" width="12.140625" customWidth="1"/>
    <col min="261" max="261" width="19.28515625" customWidth="1"/>
    <col min="262" max="262" width="17.85546875" customWidth="1"/>
    <col min="513" max="513" width="6.5703125" customWidth="1"/>
    <col min="514" max="514" width="38.5703125" customWidth="1"/>
    <col min="516" max="516" width="12.140625" customWidth="1"/>
    <col min="517" max="517" width="19.28515625" customWidth="1"/>
    <col min="518" max="518" width="17.85546875" customWidth="1"/>
    <col min="769" max="769" width="6.5703125" customWidth="1"/>
    <col min="770" max="770" width="38.5703125" customWidth="1"/>
    <col min="772" max="772" width="12.140625" customWidth="1"/>
    <col min="773" max="773" width="19.28515625" customWidth="1"/>
    <col min="774" max="774" width="17.85546875" customWidth="1"/>
    <col min="1025" max="1025" width="6.5703125" customWidth="1"/>
    <col min="1026" max="1026" width="38.5703125" customWidth="1"/>
    <col min="1028" max="1028" width="12.140625" customWidth="1"/>
    <col min="1029" max="1029" width="19.28515625" customWidth="1"/>
    <col min="1030" max="1030" width="17.85546875" customWidth="1"/>
    <col min="1281" max="1281" width="6.5703125" customWidth="1"/>
    <col min="1282" max="1282" width="38.5703125" customWidth="1"/>
    <col min="1284" max="1284" width="12.140625" customWidth="1"/>
    <col min="1285" max="1285" width="19.28515625" customWidth="1"/>
    <col min="1286" max="1286" width="17.85546875" customWidth="1"/>
    <col min="1537" max="1537" width="6.5703125" customWidth="1"/>
    <col min="1538" max="1538" width="38.5703125" customWidth="1"/>
    <col min="1540" max="1540" width="12.140625" customWidth="1"/>
    <col min="1541" max="1541" width="19.28515625" customWidth="1"/>
    <col min="1542" max="1542" width="17.85546875" customWidth="1"/>
    <col min="1793" max="1793" width="6.5703125" customWidth="1"/>
    <col min="1794" max="1794" width="38.5703125" customWidth="1"/>
    <col min="1796" max="1796" width="12.140625" customWidth="1"/>
    <col min="1797" max="1797" width="19.28515625" customWidth="1"/>
    <col min="1798" max="1798" width="17.85546875" customWidth="1"/>
    <col min="2049" max="2049" width="6.5703125" customWidth="1"/>
    <col min="2050" max="2050" width="38.5703125" customWidth="1"/>
    <col min="2052" max="2052" width="12.140625" customWidth="1"/>
    <col min="2053" max="2053" width="19.28515625" customWidth="1"/>
    <col min="2054" max="2054" width="17.85546875" customWidth="1"/>
    <col min="2305" max="2305" width="6.5703125" customWidth="1"/>
    <col min="2306" max="2306" width="38.5703125" customWidth="1"/>
    <col min="2308" max="2308" width="12.140625" customWidth="1"/>
    <col min="2309" max="2309" width="19.28515625" customWidth="1"/>
    <col min="2310" max="2310" width="17.85546875" customWidth="1"/>
    <col min="2561" max="2561" width="6.5703125" customWidth="1"/>
    <col min="2562" max="2562" width="38.5703125" customWidth="1"/>
    <col min="2564" max="2564" width="12.140625" customWidth="1"/>
    <col min="2565" max="2565" width="19.28515625" customWidth="1"/>
    <col min="2566" max="2566" width="17.85546875" customWidth="1"/>
    <col min="2817" max="2817" width="6.5703125" customWidth="1"/>
    <col min="2818" max="2818" width="38.5703125" customWidth="1"/>
    <col min="2820" max="2820" width="12.140625" customWidth="1"/>
    <col min="2821" max="2821" width="19.28515625" customWidth="1"/>
    <col min="2822" max="2822" width="17.85546875" customWidth="1"/>
    <col min="3073" max="3073" width="6.5703125" customWidth="1"/>
    <col min="3074" max="3074" width="38.5703125" customWidth="1"/>
    <col min="3076" max="3076" width="12.140625" customWidth="1"/>
    <col min="3077" max="3077" width="19.28515625" customWidth="1"/>
    <col min="3078" max="3078" width="17.85546875" customWidth="1"/>
    <col min="3329" max="3329" width="6.5703125" customWidth="1"/>
    <col min="3330" max="3330" width="38.5703125" customWidth="1"/>
    <col min="3332" max="3332" width="12.140625" customWidth="1"/>
    <col min="3333" max="3333" width="19.28515625" customWidth="1"/>
    <col min="3334" max="3334" width="17.85546875" customWidth="1"/>
    <col min="3585" max="3585" width="6.5703125" customWidth="1"/>
    <col min="3586" max="3586" width="38.5703125" customWidth="1"/>
    <col min="3588" max="3588" width="12.140625" customWidth="1"/>
    <col min="3589" max="3589" width="19.28515625" customWidth="1"/>
    <col min="3590" max="3590" width="17.85546875" customWidth="1"/>
    <col min="3841" max="3841" width="6.5703125" customWidth="1"/>
    <col min="3842" max="3842" width="38.5703125" customWidth="1"/>
    <col min="3844" max="3844" width="12.140625" customWidth="1"/>
    <col min="3845" max="3845" width="19.28515625" customWidth="1"/>
    <col min="3846" max="3846" width="17.85546875" customWidth="1"/>
    <col min="4097" max="4097" width="6.5703125" customWidth="1"/>
    <col min="4098" max="4098" width="38.5703125" customWidth="1"/>
    <col min="4100" max="4100" width="12.140625" customWidth="1"/>
    <col min="4101" max="4101" width="19.28515625" customWidth="1"/>
    <col min="4102" max="4102" width="17.85546875" customWidth="1"/>
    <col min="4353" max="4353" width="6.5703125" customWidth="1"/>
    <col min="4354" max="4354" width="38.5703125" customWidth="1"/>
    <col min="4356" max="4356" width="12.140625" customWidth="1"/>
    <col min="4357" max="4357" width="19.28515625" customWidth="1"/>
    <col min="4358" max="4358" width="17.85546875" customWidth="1"/>
    <col min="4609" max="4609" width="6.5703125" customWidth="1"/>
    <col min="4610" max="4610" width="38.5703125" customWidth="1"/>
    <col min="4612" max="4612" width="12.140625" customWidth="1"/>
    <col min="4613" max="4613" width="19.28515625" customWidth="1"/>
    <col min="4614" max="4614" width="17.85546875" customWidth="1"/>
    <col min="4865" max="4865" width="6.5703125" customWidth="1"/>
    <col min="4866" max="4866" width="38.5703125" customWidth="1"/>
    <col min="4868" max="4868" width="12.140625" customWidth="1"/>
    <col min="4869" max="4869" width="19.28515625" customWidth="1"/>
    <col min="4870" max="4870" width="17.85546875" customWidth="1"/>
    <col min="5121" max="5121" width="6.5703125" customWidth="1"/>
    <col min="5122" max="5122" width="38.5703125" customWidth="1"/>
    <col min="5124" max="5124" width="12.140625" customWidth="1"/>
    <col min="5125" max="5125" width="19.28515625" customWidth="1"/>
    <col min="5126" max="5126" width="17.85546875" customWidth="1"/>
    <col min="5377" max="5377" width="6.5703125" customWidth="1"/>
    <col min="5378" max="5378" width="38.5703125" customWidth="1"/>
    <col min="5380" max="5380" width="12.140625" customWidth="1"/>
    <col min="5381" max="5381" width="19.28515625" customWidth="1"/>
    <col min="5382" max="5382" width="17.85546875" customWidth="1"/>
    <col min="5633" max="5633" width="6.5703125" customWidth="1"/>
    <col min="5634" max="5634" width="38.5703125" customWidth="1"/>
    <col min="5636" max="5636" width="12.140625" customWidth="1"/>
    <col min="5637" max="5637" width="19.28515625" customWidth="1"/>
    <col min="5638" max="5638" width="17.85546875" customWidth="1"/>
    <col min="5889" max="5889" width="6.5703125" customWidth="1"/>
    <col min="5890" max="5890" width="38.5703125" customWidth="1"/>
    <col min="5892" max="5892" width="12.140625" customWidth="1"/>
    <col min="5893" max="5893" width="19.28515625" customWidth="1"/>
    <col min="5894" max="5894" width="17.85546875" customWidth="1"/>
    <col min="6145" max="6145" width="6.5703125" customWidth="1"/>
    <col min="6146" max="6146" width="38.5703125" customWidth="1"/>
    <col min="6148" max="6148" width="12.140625" customWidth="1"/>
    <col min="6149" max="6149" width="19.28515625" customWidth="1"/>
    <col min="6150" max="6150" width="17.85546875" customWidth="1"/>
    <col min="6401" max="6401" width="6.5703125" customWidth="1"/>
    <col min="6402" max="6402" width="38.5703125" customWidth="1"/>
    <col min="6404" max="6404" width="12.140625" customWidth="1"/>
    <col min="6405" max="6405" width="19.28515625" customWidth="1"/>
    <col min="6406" max="6406" width="17.85546875" customWidth="1"/>
    <col min="6657" max="6657" width="6.5703125" customWidth="1"/>
    <col min="6658" max="6658" width="38.5703125" customWidth="1"/>
    <col min="6660" max="6660" width="12.140625" customWidth="1"/>
    <col min="6661" max="6661" width="19.28515625" customWidth="1"/>
    <col min="6662" max="6662" width="17.85546875" customWidth="1"/>
    <col min="6913" max="6913" width="6.5703125" customWidth="1"/>
    <col min="6914" max="6914" width="38.5703125" customWidth="1"/>
    <col min="6916" max="6916" width="12.140625" customWidth="1"/>
    <col min="6917" max="6917" width="19.28515625" customWidth="1"/>
    <col min="6918" max="6918" width="17.85546875" customWidth="1"/>
    <col min="7169" max="7169" width="6.5703125" customWidth="1"/>
    <col min="7170" max="7170" width="38.5703125" customWidth="1"/>
    <col min="7172" max="7172" width="12.140625" customWidth="1"/>
    <col min="7173" max="7173" width="19.28515625" customWidth="1"/>
    <col min="7174" max="7174" width="17.85546875" customWidth="1"/>
    <col min="7425" max="7425" width="6.5703125" customWidth="1"/>
    <col min="7426" max="7426" width="38.5703125" customWidth="1"/>
    <col min="7428" max="7428" width="12.140625" customWidth="1"/>
    <col min="7429" max="7429" width="19.28515625" customWidth="1"/>
    <col min="7430" max="7430" width="17.85546875" customWidth="1"/>
    <col min="7681" max="7681" width="6.5703125" customWidth="1"/>
    <col min="7682" max="7682" width="38.5703125" customWidth="1"/>
    <col min="7684" max="7684" width="12.140625" customWidth="1"/>
    <col min="7685" max="7685" width="19.28515625" customWidth="1"/>
    <col min="7686" max="7686" width="17.85546875" customWidth="1"/>
    <col min="7937" max="7937" width="6.5703125" customWidth="1"/>
    <col min="7938" max="7938" width="38.5703125" customWidth="1"/>
    <col min="7940" max="7940" width="12.140625" customWidth="1"/>
    <col min="7941" max="7941" width="19.28515625" customWidth="1"/>
    <col min="7942" max="7942" width="17.85546875" customWidth="1"/>
    <col min="8193" max="8193" width="6.5703125" customWidth="1"/>
    <col min="8194" max="8194" width="38.5703125" customWidth="1"/>
    <col min="8196" max="8196" width="12.140625" customWidth="1"/>
    <col min="8197" max="8197" width="19.28515625" customWidth="1"/>
    <col min="8198" max="8198" width="17.85546875" customWidth="1"/>
    <col min="8449" max="8449" width="6.5703125" customWidth="1"/>
    <col min="8450" max="8450" width="38.5703125" customWidth="1"/>
    <col min="8452" max="8452" width="12.140625" customWidth="1"/>
    <col min="8453" max="8453" width="19.28515625" customWidth="1"/>
    <col min="8454" max="8454" width="17.85546875" customWidth="1"/>
    <col min="8705" max="8705" width="6.5703125" customWidth="1"/>
    <col min="8706" max="8706" width="38.5703125" customWidth="1"/>
    <col min="8708" max="8708" width="12.140625" customWidth="1"/>
    <col min="8709" max="8709" width="19.28515625" customWidth="1"/>
    <col min="8710" max="8710" width="17.85546875" customWidth="1"/>
    <col min="8961" max="8961" width="6.5703125" customWidth="1"/>
    <col min="8962" max="8962" width="38.5703125" customWidth="1"/>
    <col min="8964" max="8964" width="12.140625" customWidth="1"/>
    <col min="8965" max="8965" width="19.28515625" customWidth="1"/>
    <col min="8966" max="8966" width="17.85546875" customWidth="1"/>
    <col min="9217" max="9217" width="6.5703125" customWidth="1"/>
    <col min="9218" max="9218" width="38.5703125" customWidth="1"/>
    <col min="9220" max="9220" width="12.140625" customWidth="1"/>
    <col min="9221" max="9221" width="19.28515625" customWidth="1"/>
    <col min="9222" max="9222" width="17.85546875" customWidth="1"/>
    <col min="9473" max="9473" width="6.5703125" customWidth="1"/>
    <col min="9474" max="9474" width="38.5703125" customWidth="1"/>
    <col min="9476" max="9476" width="12.140625" customWidth="1"/>
    <col min="9477" max="9477" width="19.28515625" customWidth="1"/>
    <col min="9478" max="9478" width="17.85546875" customWidth="1"/>
    <col min="9729" max="9729" width="6.5703125" customWidth="1"/>
    <col min="9730" max="9730" width="38.5703125" customWidth="1"/>
    <col min="9732" max="9732" width="12.140625" customWidth="1"/>
    <col min="9733" max="9733" width="19.28515625" customWidth="1"/>
    <col min="9734" max="9734" width="17.85546875" customWidth="1"/>
    <col min="9985" max="9985" width="6.5703125" customWidth="1"/>
    <col min="9986" max="9986" width="38.5703125" customWidth="1"/>
    <col min="9988" max="9988" width="12.140625" customWidth="1"/>
    <col min="9989" max="9989" width="19.28515625" customWidth="1"/>
    <col min="9990" max="9990" width="17.85546875" customWidth="1"/>
    <col min="10241" max="10241" width="6.5703125" customWidth="1"/>
    <col min="10242" max="10242" width="38.5703125" customWidth="1"/>
    <col min="10244" max="10244" width="12.140625" customWidth="1"/>
    <col min="10245" max="10245" width="19.28515625" customWidth="1"/>
    <col min="10246" max="10246" width="17.85546875" customWidth="1"/>
    <col min="10497" max="10497" width="6.5703125" customWidth="1"/>
    <col min="10498" max="10498" width="38.5703125" customWidth="1"/>
    <col min="10500" max="10500" width="12.140625" customWidth="1"/>
    <col min="10501" max="10501" width="19.28515625" customWidth="1"/>
    <col min="10502" max="10502" width="17.85546875" customWidth="1"/>
    <col min="10753" max="10753" width="6.5703125" customWidth="1"/>
    <col min="10754" max="10754" width="38.5703125" customWidth="1"/>
    <col min="10756" max="10756" width="12.140625" customWidth="1"/>
    <col min="10757" max="10757" width="19.28515625" customWidth="1"/>
    <col min="10758" max="10758" width="17.85546875" customWidth="1"/>
    <col min="11009" max="11009" width="6.5703125" customWidth="1"/>
    <col min="11010" max="11010" width="38.5703125" customWidth="1"/>
    <col min="11012" max="11012" width="12.140625" customWidth="1"/>
    <col min="11013" max="11013" width="19.28515625" customWidth="1"/>
    <col min="11014" max="11014" width="17.85546875" customWidth="1"/>
    <col min="11265" max="11265" width="6.5703125" customWidth="1"/>
    <col min="11266" max="11266" width="38.5703125" customWidth="1"/>
    <col min="11268" max="11268" width="12.140625" customWidth="1"/>
    <col min="11269" max="11269" width="19.28515625" customWidth="1"/>
    <col min="11270" max="11270" width="17.85546875" customWidth="1"/>
    <col min="11521" max="11521" width="6.5703125" customWidth="1"/>
    <col min="11522" max="11522" width="38.5703125" customWidth="1"/>
    <col min="11524" max="11524" width="12.140625" customWidth="1"/>
    <col min="11525" max="11525" width="19.28515625" customWidth="1"/>
    <col min="11526" max="11526" width="17.85546875" customWidth="1"/>
    <col min="11777" max="11777" width="6.5703125" customWidth="1"/>
    <col min="11778" max="11778" width="38.5703125" customWidth="1"/>
    <col min="11780" max="11780" width="12.140625" customWidth="1"/>
    <col min="11781" max="11781" width="19.28515625" customWidth="1"/>
    <col min="11782" max="11782" width="17.85546875" customWidth="1"/>
    <col min="12033" max="12033" width="6.5703125" customWidth="1"/>
    <col min="12034" max="12034" width="38.5703125" customWidth="1"/>
    <col min="12036" max="12036" width="12.140625" customWidth="1"/>
    <col min="12037" max="12037" width="19.28515625" customWidth="1"/>
    <col min="12038" max="12038" width="17.85546875" customWidth="1"/>
    <col min="12289" max="12289" width="6.5703125" customWidth="1"/>
    <col min="12290" max="12290" width="38.5703125" customWidth="1"/>
    <col min="12292" max="12292" width="12.140625" customWidth="1"/>
    <col min="12293" max="12293" width="19.28515625" customWidth="1"/>
    <col min="12294" max="12294" width="17.85546875" customWidth="1"/>
    <col min="12545" max="12545" width="6.5703125" customWidth="1"/>
    <col min="12546" max="12546" width="38.5703125" customWidth="1"/>
    <col min="12548" max="12548" width="12.140625" customWidth="1"/>
    <col min="12549" max="12549" width="19.28515625" customWidth="1"/>
    <col min="12550" max="12550" width="17.85546875" customWidth="1"/>
    <col min="12801" max="12801" width="6.5703125" customWidth="1"/>
    <col min="12802" max="12802" width="38.5703125" customWidth="1"/>
    <col min="12804" max="12804" width="12.140625" customWidth="1"/>
    <col min="12805" max="12805" width="19.28515625" customWidth="1"/>
    <col min="12806" max="12806" width="17.85546875" customWidth="1"/>
    <col min="13057" max="13057" width="6.5703125" customWidth="1"/>
    <col min="13058" max="13058" width="38.5703125" customWidth="1"/>
    <col min="13060" max="13060" width="12.140625" customWidth="1"/>
    <col min="13061" max="13061" width="19.28515625" customWidth="1"/>
    <col min="13062" max="13062" width="17.85546875" customWidth="1"/>
    <col min="13313" max="13313" width="6.5703125" customWidth="1"/>
    <col min="13314" max="13314" width="38.5703125" customWidth="1"/>
    <col min="13316" max="13316" width="12.140625" customWidth="1"/>
    <col min="13317" max="13317" width="19.28515625" customWidth="1"/>
    <col min="13318" max="13318" width="17.85546875" customWidth="1"/>
    <col min="13569" max="13569" width="6.5703125" customWidth="1"/>
    <col min="13570" max="13570" width="38.5703125" customWidth="1"/>
    <col min="13572" max="13572" width="12.140625" customWidth="1"/>
    <col min="13573" max="13573" width="19.28515625" customWidth="1"/>
    <col min="13574" max="13574" width="17.85546875" customWidth="1"/>
    <col min="13825" max="13825" width="6.5703125" customWidth="1"/>
    <col min="13826" max="13826" width="38.5703125" customWidth="1"/>
    <col min="13828" max="13828" width="12.140625" customWidth="1"/>
    <col min="13829" max="13829" width="19.28515625" customWidth="1"/>
    <col min="13830" max="13830" width="17.85546875" customWidth="1"/>
    <col min="14081" max="14081" width="6.5703125" customWidth="1"/>
    <col min="14082" max="14082" width="38.5703125" customWidth="1"/>
    <col min="14084" max="14084" width="12.140625" customWidth="1"/>
    <col min="14085" max="14085" width="19.28515625" customWidth="1"/>
    <col min="14086" max="14086" width="17.85546875" customWidth="1"/>
    <col min="14337" max="14337" width="6.5703125" customWidth="1"/>
    <col min="14338" max="14338" width="38.5703125" customWidth="1"/>
    <col min="14340" max="14340" width="12.140625" customWidth="1"/>
    <col min="14341" max="14341" width="19.28515625" customWidth="1"/>
    <col min="14342" max="14342" width="17.85546875" customWidth="1"/>
    <col min="14593" max="14593" width="6.5703125" customWidth="1"/>
    <col min="14594" max="14594" width="38.5703125" customWidth="1"/>
    <col min="14596" max="14596" width="12.140625" customWidth="1"/>
    <col min="14597" max="14597" width="19.28515625" customWidth="1"/>
    <col min="14598" max="14598" width="17.85546875" customWidth="1"/>
    <col min="14849" max="14849" width="6.5703125" customWidth="1"/>
    <col min="14850" max="14850" width="38.5703125" customWidth="1"/>
    <col min="14852" max="14852" width="12.140625" customWidth="1"/>
    <col min="14853" max="14853" width="19.28515625" customWidth="1"/>
    <col min="14854" max="14854" width="17.85546875" customWidth="1"/>
    <col min="15105" max="15105" width="6.5703125" customWidth="1"/>
    <col min="15106" max="15106" width="38.5703125" customWidth="1"/>
    <col min="15108" max="15108" width="12.140625" customWidth="1"/>
    <col min="15109" max="15109" width="19.28515625" customWidth="1"/>
    <col min="15110" max="15110" width="17.85546875" customWidth="1"/>
    <col min="15361" max="15361" width="6.5703125" customWidth="1"/>
    <col min="15362" max="15362" width="38.5703125" customWidth="1"/>
    <col min="15364" max="15364" width="12.140625" customWidth="1"/>
    <col min="15365" max="15365" width="19.28515625" customWidth="1"/>
    <col min="15366" max="15366" width="17.85546875" customWidth="1"/>
    <col min="15617" max="15617" width="6.5703125" customWidth="1"/>
    <col min="15618" max="15618" width="38.5703125" customWidth="1"/>
    <col min="15620" max="15620" width="12.140625" customWidth="1"/>
    <col min="15621" max="15621" width="19.28515625" customWidth="1"/>
    <col min="15622" max="15622" width="17.85546875" customWidth="1"/>
    <col min="15873" max="15873" width="6.5703125" customWidth="1"/>
    <col min="15874" max="15874" width="38.5703125" customWidth="1"/>
    <col min="15876" max="15876" width="12.140625" customWidth="1"/>
    <col min="15877" max="15877" width="19.28515625" customWidth="1"/>
    <col min="15878" max="15878" width="17.85546875" customWidth="1"/>
    <col min="16129" max="16129" width="6.5703125" customWidth="1"/>
    <col min="16130" max="16130" width="38.5703125" customWidth="1"/>
    <col min="16132" max="16132" width="12.140625" customWidth="1"/>
    <col min="16133" max="16133" width="19.28515625" customWidth="1"/>
    <col min="16134" max="16134" width="17.85546875" customWidth="1"/>
  </cols>
  <sheetData>
    <row r="1" spans="1:6" ht="18.75" x14ac:dyDescent="0.25">
      <c r="A1" s="396"/>
      <c r="B1" s="397" t="s">
        <v>508</v>
      </c>
      <c r="C1" s="398"/>
      <c r="D1" s="399"/>
      <c r="E1" s="528"/>
      <c r="F1" s="400"/>
    </row>
    <row r="2" spans="1:6" ht="18.75" x14ac:dyDescent="0.25">
      <c r="A2" s="399"/>
      <c r="B2" s="402"/>
      <c r="C2" s="398"/>
      <c r="D2" s="399"/>
      <c r="E2" s="528"/>
      <c r="F2" s="400"/>
    </row>
    <row r="3" spans="1:6" ht="18.75" x14ac:dyDescent="0.25">
      <c r="A3" s="399"/>
      <c r="B3" s="403" t="s">
        <v>509</v>
      </c>
      <c r="C3" s="398"/>
      <c r="D3" s="399"/>
      <c r="E3" s="528"/>
      <c r="F3" s="400"/>
    </row>
    <row r="4" spans="1:6" ht="18.75" x14ac:dyDescent="0.25">
      <c r="A4" s="399"/>
      <c r="B4" s="403"/>
      <c r="C4" s="398"/>
      <c r="D4" s="399"/>
      <c r="E4" s="528"/>
      <c r="F4" s="400"/>
    </row>
    <row r="5" spans="1:6" ht="18" x14ac:dyDescent="0.25">
      <c r="A5" s="399"/>
      <c r="B5" s="404" t="s">
        <v>44</v>
      </c>
      <c r="C5" s="398"/>
      <c r="D5" s="399"/>
      <c r="E5" s="528"/>
      <c r="F5" s="405"/>
    </row>
    <row r="6" spans="1:6" ht="18" x14ac:dyDescent="0.25">
      <c r="A6" s="399"/>
      <c r="B6" s="404"/>
      <c r="C6" s="398"/>
      <c r="D6" s="399"/>
      <c r="E6" s="528"/>
      <c r="F6" s="405"/>
    </row>
    <row r="7" spans="1:6" ht="18" x14ac:dyDescent="0.25">
      <c r="A7" s="399"/>
      <c r="B7" s="404" t="s">
        <v>510</v>
      </c>
      <c r="C7" s="398"/>
      <c r="D7" s="399"/>
      <c r="E7" s="528"/>
      <c r="F7" s="405"/>
    </row>
    <row r="8" spans="1:6" ht="18.75" x14ac:dyDescent="0.25">
      <c r="A8" s="399"/>
      <c r="B8" s="398"/>
      <c r="C8" s="398"/>
      <c r="D8" s="399"/>
      <c r="E8" s="528"/>
      <c r="F8" s="400"/>
    </row>
    <row r="9" spans="1:6" ht="33" x14ac:dyDescent="0.25">
      <c r="A9" s="399" t="s">
        <v>2</v>
      </c>
      <c r="B9" s="406" t="s">
        <v>45</v>
      </c>
      <c r="C9" s="407">
        <v>120</v>
      </c>
      <c r="D9" s="399" t="s">
        <v>922</v>
      </c>
      <c r="E9" s="528">
        <v>100</v>
      </c>
      <c r="F9" s="400">
        <f t="shared" ref="F9:F16" si="0">C9*E9</f>
        <v>12000</v>
      </c>
    </row>
    <row r="10" spans="1:6" ht="49.5" x14ac:dyDescent="0.25">
      <c r="A10" s="399" t="s">
        <v>4</v>
      </c>
      <c r="B10" s="406" t="s">
        <v>923</v>
      </c>
      <c r="C10" s="408">
        <v>29</v>
      </c>
      <c r="D10" s="399" t="s">
        <v>939</v>
      </c>
      <c r="E10" s="528">
        <v>1500</v>
      </c>
      <c r="F10" s="400">
        <f t="shared" si="0"/>
        <v>43500</v>
      </c>
    </row>
    <row r="11" spans="1:6" ht="49.5" x14ac:dyDescent="0.25">
      <c r="A11" s="399" t="s">
        <v>5</v>
      </c>
      <c r="B11" s="406" t="s">
        <v>49</v>
      </c>
      <c r="C11" s="398"/>
      <c r="D11" s="399" t="s">
        <v>924</v>
      </c>
      <c r="E11" s="528">
        <f>E10</f>
        <v>1500</v>
      </c>
      <c r="F11" s="400">
        <f t="shared" si="0"/>
        <v>0</v>
      </c>
    </row>
    <row r="12" spans="1:6" ht="33" x14ac:dyDescent="0.25">
      <c r="A12" s="399" t="s">
        <v>7</v>
      </c>
      <c r="B12" s="406" t="s">
        <v>19</v>
      </c>
      <c r="C12" s="409">
        <v>37</v>
      </c>
      <c r="D12" s="399" t="s">
        <v>922</v>
      </c>
      <c r="E12" s="528">
        <v>350</v>
      </c>
      <c r="F12" s="400">
        <f t="shared" si="0"/>
        <v>12950</v>
      </c>
    </row>
    <row r="13" spans="1:6" ht="33" x14ac:dyDescent="0.25">
      <c r="A13" s="399" t="s">
        <v>8</v>
      </c>
      <c r="B13" s="406" t="s">
        <v>515</v>
      </c>
      <c r="C13" s="409">
        <v>16</v>
      </c>
      <c r="D13" s="399" t="s">
        <v>924</v>
      </c>
      <c r="E13" s="528">
        <v>450</v>
      </c>
      <c r="F13" s="400">
        <f t="shared" si="0"/>
        <v>7200</v>
      </c>
    </row>
    <row r="14" spans="1:6" ht="33" x14ac:dyDescent="0.25">
      <c r="A14" s="399" t="s">
        <v>9</v>
      </c>
      <c r="B14" s="406" t="s">
        <v>516</v>
      </c>
      <c r="C14" s="408">
        <v>13</v>
      </c>
      <c r="D14" s="399" t="s">
        <v>924</v>
      </c>
      <c r="E14" s="528">
        <f>E13</f>
        <v>450</v>
      </c>
      <c r="F14" s="400">
        <f t="shared" si="0"/>
        <v>5850</v>
      </c>
    </row>
    <row r="15" spans="1:6" ht="49.5" x14ac:dyDescent="0.25">
      <c r="A15" s="399" t="s">
        <v>10</v>
      </c>
      <c r="B15" s="415" t="s">
        <v>941</v>
      </c>
      <c r="C15" s="407">
        <v>20</v>
      </c>
      <c r="D15" s="399" t="s">
        <v>924</v>
      </c>
      <c r="E15" s="528">
        <v>6500</v>
      </c>
      <c r="F15" s="400">
        <f t="shared" si="0"/>
        <v>130000</v>
      </c>
    </row>
    <row r="16" spans="1:6" ht="33" x14ac:dyDescent="0.25">
      <c r="A16" s="399" t="s">
        <v>11</v>
      </c>
      <c r="B16" s="406" t="s">
        <v>663</v>
      </c>
      <c r="C16" s="407">
        <v>67</v>
      </c>
      <c r="D16" s="399" t="s">
        <v>922</v>
      </c>
      <c r="E16" s="528">
        <v>4500</v>
      </c>
      <c r="F16" s="400">
        <f t="shared" si="0"/>
        <v>301500</v>
      </c>
    </row>
    <row r="17" spans="1:8" ht="18.75" x14ac:dyDescent="0.25">
      <c r="A17" s="399"/>
      <c r="B17" s="406"/>
      <c r="C17" s="407"/>
      <c r="D17" s="399"/>
      <c r="E17" s="528"/>
      <c r="F17" s="400"/>
      <c r="G17" s="401"/>
      <c r="H17" s="401"/>
    </row>
    <row r="18" spans="1:8" ht="18.75" x14ac:dyDescent="0.25">
      <c r="A18" s="399"/>
      <c r="B18" s="404" t="s">
        <v>98</v>
      </c>
      <c r="C18" s="398"/>
      <c r="D18" s="399"/>
      <c r="E18" s="528"/>
      <c r="F18" s="400"/>
      <c r="G18" s="401"/>
      <c r="H18" s="401"/>
    </row>
    <row r="19" spans="1:8" s="535" customFormat="1" ht="17.25" customHeight="1" x14ac:dyDescent="0.25">
      <c r="A19" s="530"/>
      <c r="B19" s="531" t="s">
        <v>942</v>
      </c>
      <c r="C19" s="530"/>
      <c r="D19" s="530"/>
      <c r="E19" s="532"/>
      <c r="F19" s="533"/>
      <c r="G19" s="534"/>
    </row>
    <row r="20" spans="1:8" s="535" customFormat="1" ht="17.25" customHeight="1" x14ac:dyDescent="0.25">
      <c r="A20" s="530" t="s">
        <v>12</v>
      </c>
      <c r="B20" s="536" t="s">
        <v>943</v>
      </c>
      <c r="C20" s="539">
        <v>3</v>
      </c>
      <c r="D20" s="530" t="s">
        <v>511</v>
      </c>
      <c r="E20" s="532">
        <v>3000</v>
      </c>
      <c r="F20" s="533">
        <f>C20*E20</f>
        <v>9000</v>
      </c>
      <c r="G20" s="534"/>
      <c r="H20" s="284"/>
    </row>
    <row r="21" spans="1:8" ht="18.75" x14ac:dyDescent="0.25">
      <c r="A21" s="399"/>
      <c r="B21" s="410" t="s">
        <v>925</v>
      </c>
      <c r="C21" s="398"/>
      <c r="D21" s="399"/>
      <c r="E21" s="528"/>
      <c r="F21" s="400"/>
      <c r="G21" s="401"/>
      <c r="H21" s="401"/>
    </row>
    <row r="22" spans="1:8" ht="18.75" x14ac:dyDescent="0.25">
      <c r="A22" s="399" t="s">
        <v>13</v>
      </c>
      <c r="B22" s="398" t="s">
        <v>926</v>
      </c>
      <c r="C22" s="398">
        <v>10</v>
      </c>
      <c r="D22" s="399" t="s">
        <v>924</v>
      </c>
      <c r="E22" s="528">
        <v>85000</v>
      </c>
      <c r="F22" s="400">
        <f t="shared" ref="F22:F24" si="1">C22*E22</f>
        <v>850000</v>
      </c>
      <c r="G22" s="401"/>
      <c r="H22" s="401"/>
    </row>
    <row r="23" spans="1:8" ht="18.75" x14ac:dyDescent="0.25">
      <c r="A23" s="399" t="s">
        <v>14</v>
      </c>
      <c r="B23" s="398" t="s">
        <v>519</v>
      </c>
      <c r="C23" s="398">
        <v>12</v>
      </c>
      <c r="D23" s="399" t="s">
        <v>924</v>
      </c>
      <c r="E23" s="528">
        <f>E22</f>
        <v>85000</v>
      </c>
      <c r="F23" s="400">
        <f t="shared" si="1"/>
        <v>1020000</v>
      </c>
      <c r="G23" s="401"/>
      <c r="H23" s="401"/>
    </row>
    <row r="24" spans="1:8" ht="18.75" x14ac:dyDescent="0.25">
      <c r="A24" s="399" t="s">
        <v>15</v>
      </c>
      <c r="B24" s="398" t="s">
        <v>668</v>
      </c>
      <c r="C24" s="398">
        <v>0</v>
      </c>
      <c r="D24" s="399" t="s">
        <v>939</v>
      </c>
      <c r="E24" s="528">
        <f>E23</f>
        <v>85000</v>
      </c>
      <c r="F24" s="400">
        <f t="shared" si="1"/>
        <v>0</v>
      </c>
      <c r="G24" s="401"/>
      <c r="H24" s="401"/>
    </row>
    <row r="25" spans="1:8" ht="18.75" x14ac:dyDescent="0.25">
      <c r="A25" s="399"/>
      <c r="B25" s="398"/>
      <c r="C25" s="398"/>
      <c r="D25" s="399"/>
      <c r="E25" s="528"/>
      <c r="F25" s="400"/>
      <c r="G25" s="401"/>
      <c r="H25" s="401"/>
    </row>
    <row r="26" spans="1:8" ht="18.75" x14ac:dyDescent="0.25">
      <c r="A26" s="399"/>
      <c r="B26" s="411"/>
      <c r="C26" s="411"/>
      <c r="D26" s="402"/>
      <c r="E26" s="537"/>
      <c r="F26" s="296"/>
      <c r="G26" s="401"/>
      <c r="H26" s="401"/>
    </row>
    <row r="27" spans="1:8" ht="18.75" x14ac:dyDescent="0.25">
      <c r="A27" s="399"/>
      <c r="B27" s="411"/>
      <c r="C27" s="411"/>
      <c r="D27" s="402"/>
      <c r="E27" s="537"/>
      <c r="F27" s="296"/>
      <c r="G27" s="401"/>
      <c r="H27" s="401"/>
    </row>
    <row r="28" spans="1:8" ht="18.75" x14ac:dyDescent="0.25">
      <c r="A28" s="399"/>
      <c r="B28" s="411" t="s">
        <v>520</v>
      </c>
      <c r="C28" s="411"/>
      <c r="D28" s="402"/>
      <c r="E28" s="537" t="s">
        <v>15</v>
      </c>
      <c r="F28" s="296">
        <f>SUM(F5:F24)</f>
        <v>2392000</v>
      </c>
      <c r="G28" s="401"/>
      <c r="H28" s="401"/>
    </row>
    <row r="29" spans="1:8" ht="18.75" x14ac:dyDescent="0.25">
      <c r="A29" s="402"/>
      <c r="B29" s="403" t="s">
        <v>521</v>
      </c>
      <c r="C29" s="411"/>
      <c r="D29" s="402"/>
      <c r="E29" s="537"/>
      <c r="F29" s="429"/>
      <c r="G29" s="401"/>
      <c r="H29" s="401"/>
    </row>
    <row r="30" spans="1:8" ht="18.75" x14ac:dyDescent="0.25">
      <c r="A30" s="399"/>
      <c r="B30" s="398"/>
      <c r="C30" s="407"/>
      <c r="D30" s="399"/>
      <c r="E30" s="528"/>
      <c r="F30" s="400"/>
      <c r="G30" s="401"/>
      <c r="H30" s="401"/>
    </row>
    <row r="31" spans="1:8" s="535" customFormat="1" ht="17.25" customHeight="1" x14ac:dyDescent="0.25">
      <c r="A31" s="530"/>
      <c r="B31" s="531" t="s">
        <v>944</v>
      </c>
      <c r="C31" s="530"/>
      <c r="D31" s="530"/>
      <c r="E31" s="538"/>
      <c r="F31" s="533"/>
      <c r="G31" s="534"/>
    </row>
    <row r="32" spans="1:8" s="535" customFormat="1" ht="23.25" customHeight="1" x14ac:dyDescent="0.25">
      <c r="A32" s="530" t="s">
        <v>2</v>
      </c>
      <c r="B32" s="536" t="s">
        <v>945</v>
      </c>
      <c r="C32" s="539">
        <v>0</v>
      </c>
      <c r="D32" s="530" t="s">
        <v>513</v>
      </c>
      <c r="E32" s="532">
        <v>85000</v>
      </c>
      <c r="F32" s="533">
        <f>C32*E32</f>
        <v>0</v>
      </c>
      <c r="G32" s="534"/>
      <c r="H32" s="284"/>
    </row>
    <row r="33" spans="1:8" s="535" customFormat="1" ht="21.75" customHeight="1" x14ac:dyDescent="0.25">
      <c r="A33" s="530" t="s">
        <v>4</v>
      </c>
      <c r="B33" s="536" t="s">
        <v>65</v>
      </c>
      <c r="C33" s="539">
        <v>1</v>
      </c>
      <c r="D33" s="530" t="s">
        <v>513</v>
      </c>
      <c r="E33" s="532">
        <f>E32</f>
        <v>85000</v>
      </c>
      <c r="F33" s="533">
        <f>C33*E33</f>
        <v>85000</v>
      </c>
      <c r="G33" s="534"/>
      <c r="H33" s="284"/>
    </row>
    <row r="34" spans="1:8" s="535" customFormat="1" ht="21" customHeight="1" x14ac:dyDescent="0.25">
      <c r="A34" s="530"/>
      <c r="B34" s="540" t="s">
        <v>102</v>
      </c>
      <c r="C34" s="530"/>
      <c r="D34" s="530"/>
      <c r="E34" s="538"/>
      <c r="F34" s="533"/>
      <c r="G34" s="534"/>
    </row>
    <row r="35" spans="1:8" s="535" customFormat="1" ht="38.25" customHeight="1" x14ac:dyDescent="0.25">
      <c r="A35" s="530"/>
      <c r="B35" s="541" t="s">
        <v>946</v>
      </c>
      <c r="C35" s="530"/>
      <c r="D35" s="530"/>
      <c r="E35" s="538"/>
      <c r="F35" s="533"/>
      <c r="G35" s="534"/>
    </row>
    <row r="36" spans="1:8" s="535" customFormat="1" ht="18" customHeight="1" x14ac:dyDescent="0.25">
      <c r="A36" s="530" t="s">
        <v>5</v>
      </c>
      <c r="B36" s="536" t="s">
        <v>672</v>
      </c>
      <c r="C36" s="542">
        <v>61</v>
      </c>
      <c r="D36" s="530" t="s">
        <v>75</v>
      </c>
      <c r="E36" s="532">
        <v>1250</v>
      </c>
      <c r="F36" s="533">
        <f>C36*E36</f>
        <v>76250</v>
      </c>
      <c r="G36" s="534"/>
      <c r="H36" s="284"/>
    </row>
    <row r="37" spans="1:8" s="535" customFormat="1" ht="19.5" customHeight="1" x14ac:dyDescent="0.25">
      <c r="A37" s="530" t="s">
        <v>6</v>
      </c>
      <c r="B37" s="536" t="s">
        <v>523</v>
      </c>
      <c r="C37" s="539">
        <v>45</v>
      </c>
      <c r="D37" s="530" t="s">
        <v>75</v>
      </c>
      <c r="E37" s="532">
        <f>E36</f>
        <v>1250</v>
      </c>
      <c r="F37" s="533">
        <f>C37*E37</f>
        <v>56250</v>
      </c>
      <c r="G37" s="534"/>
      <c r="H37" s="284"/>
    </row>
    <row r="38" spans="1:8" s="535" customFormat="1" ht="21" customHeight="1" x14ac:dyDescent="0.25">
      <c r="A38" s="530"/>
      <c r="B38" s="540" t="s">
        <v>67</v>
      </c>
      <c r="C38" s="530"/>
      <c r="D38" s="530"/>
      <c r="E38" s="538"/>
      <c r="F38" s="533"/>
      <c r="G38" s="534"/>
    </row>
    <row r="39" spans="1:8" s="535" customFormat="1" ht="24.75" customHeight="1" x14ac:dyDescent="0.25">
      <c r="A39" s="530"/>
      <c r="B39" s="531" t="s">
        <v>120</v>
      </c>
      <c r="C39" s="530"/>
      <c r="D39" s="530"/>
      <c r="E39" s="538"/>
      <c r="F39" s="533"/>
      <c r="G39" s="534"/>
    </row>
    <row r="40" spans="1:8" s="535" customFormat="1" ht="21.75" customHeight="1" x14ac:dyDescent="0.25">
      <c r="A40" s="530" t="s">
        <v>7</v>
      </c>
      <c r="B40" s="536" t="s">
        <v>947</v>
      </c>
      <c r="C40" s="539">
        <v>8</v>
      </c>
      <c r="D40" s="530" t="s">
        <v>511</v>
      </c>
      <c r="E40" s="532">
        <v>6500</v>
      </c>
      <c r="F40" s="533">
        <f>C40*E40</f>
        <v>52000</v>
      </c>
      <c r="G40" s="534"/>
      <c r="H40" s="284"/>
    </row>
    <row r="41" spans="1:8" ht="18.75" x14ac:dyDescent="0.25">
      <c r="A41" s="399" t="s">
        <v>8</v>
      </c>
      <c r="B41" s="398" t="s">
        <v>1</v>
      </c>
      <c r="C41" s="398">
        <v>42</v>
      </c>
      <c r="D41" s="399" t="s">
        <v>22</v>
      </c>
      <c r="E41" s="528">
        <v>975</v>
      </c>
      <c r="F41" s="400">
        <f>C41*E41</f>
        <v>40950</v>
      </c>
      <c r="G41" s="401"/>
      <c r="H41" s="401"/>
    </row>
    <row r="42" spans="1:8" ht="49.5" x14ac:dyDescent="0.25">
      <c r="A42" s="399"/>
      <c r="B42" s="414" t="s">
        <v>524</v>
      </c>
      <c r="C42" s="398"/>
      <c r="D42" s="399"/>
      <c r="E42" s="528"/>
      <c r="F42" s="400"/>
      <c r="G42" s="401"/>
      <c r="H42" s="401"/>
    </row>
    <row r="43" spans="1:8" ht="18.75" x14ac:dyDescent="0.25">
      <c r="A43" s="399" t="s">
        <v>9</v>
      </c>
      <c r="B43" s="415" t="s">
        <v>39</v>
      </c>
      <c r="C43" s="398">
        <v>90</v>
      </c>
      <c r="D43" s="399" t="s">
        <v>922</v>
      </c>
      <c r="E43" s="528">
        <v>800</v>
      </c>
      <c r="F43" s="400">
        <f t="shared" ref="F43" si="2">C43*E43</f>
        <v>72000</v>
      </c>
      <c r="G43" s="401"/>
      <c r="H43" s="401"/>
    </row>
    <row r="44" spans="1:8" ht="18.75" x14ac:dyDescent="0.25">
      <c r="A44" s="399"/>
      <c r="B44" s="398"/>
      <c r="C44" s="398"/>
      <c r="D44" s="399"/>
      <c r="E44" s="528"/>
      <c r="F44" s="400"/>
      <c r="G44" s="401"/>
      <c r="H44" s="401"/>
    </row>
    <row r="45" spans="1:8" ht="18.75" x14ac:dyDescent="0.25">
      <c r="A45" s="399"/>
      <c r="B45" s="404" t="s">
        <v>84</v>
      </c>
      <c r="C45" s="411"/>
      <c r="D45" s="402"/>
      <c r="E45" s="537"/>
      <c r="F45" s="412"/>
      <c r="G45" s="401"/>
      <c r="H45" s="401"/>
    </row>
    <row r="46" spans="1:8" ht="18.75" x14ac:dyDescent="0.25">
      <c r="A46" s="399"/>
      <c r="B46" s="413"/>
      <c r="C46" s="411"/>
      <c r="D46" s="402"/>
      <c r="E46" s="537"/>
      <c r="F46" s="412"/>
      <c r="G46" s="401"/>
      <c r="H46" s="401"/>
    </row>
    <row r="47" spans="1:8" ht="49.5" x14ac:dyDescent="0.25">
      <c r="A47" s="399"/>
      <c r="B47" s="414" t="s">
        <v>526</v>
      </c>
      <c r="C47" s="411"/>
      <c r="D47" s="402"/>
      <c r="E47" s="537"/>
      <c r="F47" s="412"/>
      <c r="G47" s="401"/>
      <c r="H47" s="401"/>
    </row>
    <row r="48" spans="1:8" ht="18.75" x14ac:dyDescent="0.25">
      <c r="A48" s="399"/>
      <c r="B48" s="414"/>
      <c r="C48" s="411"/>
      <c r="D48" s="402"/>
      <c r="E48" s="537"/>
      <c r="F48" s="412"/>
      <c r="G48" s="401"/>
      <c r="H48" s="401"/>
    </row>
    <row r="49" spans="1:6" ht="18.75" x14ac:dyDescent="0.25">
      <c r="A49" s="399" t="s">
        <v>2</v>
      </c>
      <c r="B49" s="415" t="s">
        <v>527</v>
      </c>
      <c r="C49" s="398">
        <v>72</v>
      </c>
      <c r="D49" s="399" t="s">
        <v>922</v>
      </c>
      <c r="E49" s="528">
        <v>11000</v>
      </c>
      <c r="F49" s="400">
        <f>C49*E49</f>
        <v>792000</v>
      </c>
    </row>
    <row r="50" spans="1:6" ht="18.75" x14ac:dyDescent="0.25">
      <c r="A50" s="399"/>
      <c r="B50" s="398"/>
      <c r="C50" s="401"/>
      <c r="D50" s="399"/>
      <c r="E50" s="528"/>
      <c r="F50" s="400"/>
    </row>
    <row r="51" spans="1:6" ht="18.75" x14ac:dyDescent="0.25">
      <c r="A51" s="399"/>
      <c r="B51" s="410" t="s">
        <v>528</v>
      </c>
      <c r="C51" s="398"/>
      <c r="D51" s="399"/>
      <c r="E51" s="528"/>
      <c r="F51" s="416"/>
    </row>
    <row r="52" spans="1:6" ht="18.75" x14ac:dyDescent="0.25">
      <c r="A52" s="399"/>
      <c r="B52" s="398"/>
      <c r="C52" s="398"/>
      <c r="D52" s="399"/>
      <c r="E52" s="528"/>
      <c r="F52" s="416"/>
    </row>
    <row r="53" spans="1:6" ht="18.75" x14ac:dyDescent="0.25">
      <c r="A53" s="399"/>
      <c r="B53" s="410" t="s">
        <v>529</v>
      </c>
      <c r="C53" s="398"/>
      <c r="D53" s="399"/>
      <c r="E53" s="528"/>
      <c r="F53" s="416"/>
    </row>
    <row r="54" spans="1:6" ht="18.75" x14ac:dyDescent="0.25">
      <c r="A54" s="399"/>
      <c r="B54" s="398"/>
      <c r="C54" s="398"/>
      <c r="D54" s="399"/>
      <c r="E54" s="528"/>
      <c r="F54" s="416"/>
    </row>
    <row r="55" spans="1:6" ht="49.5" x14ac:dyDescent="0.25">
      <c r="A55" s="399" t="s">
        <v>4</v>
      </c>
      <c r="B55" s="406" t="s">
        <v>530</v>
      </c>
      <c r="C55" s="398">
        <v>92</v>
      </c>
      <c r="D55" s="399" t="s">
        <v>922</v>
      </c>
      <c r="E55" s="528">
        <v>800</v>
      </c>
      <c r="F55" s="400">
        <f>C55*E55</f>
        <v>73600</v>
      </c>
    </row>
    <row r="56" spans="1:6" ht="18.75" x14ac:dyDescent="0.25">
      <c r="A56" s="399"/>
      <c r="B56" s="406"/>
      <c r="C56" s="398"/>
      <c r="D56" s="399"/>
      <c r="E56" s="528"/>
      <c r="F56" s="416"/>
    </row>
    <row r="57" spans="1:6" ht="18.75" x14ac:dyDescent="0.25">
      <c r="A57" s="399"/>
      <c r="B57" s="406"/>
      <c r="C57" s="398"/>
      <c r="D57" s="399"/>
      <c r="E57" s="528"/>
      <c r="F57" s="416"/>
    </row>
    <row r="58" spans="1:6" ht="18.75" x14ac:dyDescent="0.25">
      <c r="A58" s="399"/>
      <c r="B58" s="483" t="s">
        <v>525</v>
      </c>
      <c r="C58" s="398"/>
      <c r="D58" s="399"/>
      <c r="E58" s="537" t="s">
        <v>15</v>
      </c>
      <c r="F58" s="429">
        <f>SUM(F30:F57)</f>
        <v>1248050</v>
      </c>
    </row>
    <row r="59" spans="1:6" ht="18.75" x14ac:dyDescent="0.25">
      <c r="A59" s="399"/>
      <c r="B59" s="406"/>
      <c r="C59" s="398"/>
      <c r="D59" s="399"/>
      <c r="E59" s="528"/>
      <c r="F59" s="416"/>
    </row>
    <row r="60" spans="1:6" ht="18.75" x14ac:dyDescent="0.25">
      <c r="A60" s="399"/>
      <c r="B60" s="483"/>
      <c r="C60" s="398"/>
      <c r="D60" s="399"/>
      <c r="E60" s="537"/>
      <c r="F60" s="296"/>
    </row>
    <row r="61" spans="1:6" ht="18.75" x14ac:dyDescent="0.25">
      <c r="A61" s="399"/>
      <c r="B61" s="404" t="s">
        <v>531</v>
      </c>
      <c r="C61" s="398"/>
      <c r="D61" s="399"/>
      <c r="E61" s="537"/>
      <c r="F61" s="296"/>
    </row>
    <row r="62" spans="1:6" ht="18.75" x14ac:dyDescent="0.25">
      <c r="A62" s="399"/>
      <c r="B62" s="398"/>
      <c r="C62" s="398"/>
      <c r="D62" s="399"/>
      <c r="E62" s="528"/>
      <c r="F62" s="418"/>
    </row>
    <row r="63" spans="1:6" ht="18.75" x14ac:dyDescent="0.25">
      <c r="A63" s="399"/>
      <c r="B63" s="484" t="s">
        <v>532</v>
      </c>
      <c r="C63" s="398"/>
      <c r="D63" s="399"/>
      <c r="E63" s="528">
        <f>F28</f>
        <v>2392000</v>
      </c>
      <c r="F63" s="418"/>
    </row>
    <row r="64" spans="1:6" ht="18.75" x14ac:dyDescent="0.25">
      <c r="A64" s="399"/>
      <c r="B64" s="485"/>
      <c r="C64" s="398"/>
      <c r="D64" s="399"/>
      <c r="E64" s="528"/>
      <c r="F64" s="418"/>
    </row>
    <row r="65" spans="1:6" ht="18.75" x14ac:dyDescent="0.25">
      <c r="A65" s="399"/>
      <c r="B65" s="484" t="s">
        <v>451</v>
      </c>
      <c r="C65" s="398"/>
      <c r="D65" s="399"/>
      <c r="E65" s="528">
        <f>F58</f>
        <v>1248050</v>
      </c>
      <c r="F65" s="418"/>
    </row>
    <row r="66" spans="1:6" ht="18.75" x14ac:dyDescent="0.25">
      <c r="A66" s="399"/>
      <c r="B66" s="417"/>
      <c r="C66" s="398"/>
      <c r="D66" s="399"/>
      <c r="E66" s="528"/>
      <c r="F66" s="418"/>
    </row>
    <row r="67" spans="1:6" ht="18.75" x14ac:dyDescent="0.25">
      <c r="A67" s="399"/>
      <c r="B67" s="417"/>
      <c r="C67" s="398"/>
      <c r="D67" s="399"/>
      <c r="E67" s="528"/>
      <c r="F67" s="418"/>
    </row>
    <row r="68" spans="1:6" ht="18.75" x14ac:dyDescent="0.25">
      <c r="A68" s="399"/>
      <c r="B68" s="417"/>
      <c r="C68" s="398"/>
      <c r="D68" s="399"/>
      <c r="E68" s="528"/>
      <c r="F68" s="418"/>
    </row>
    <row r="69" spans="1:6" ht="18.75" x14ac:dyDescent="0.25">
      <c r="A69" s="399"/>
      <c r="B69" s="417"/>
      <c r="C69" s="398"/>
      <c r="D69" s="399"/>
      <c r="E69" s="528"/>
      <c r="F69" s="418"/>
    </row>
    <row r="70" spans="1:6" ht="18.75" x14ac:dyDescent="0.25">
      <c r="A70" s="399"/>
      <c r="B70" s="419" t="s">
        <v>533</v>
      </c>
      <c r="C70" s="411"/>
      <c r="D70" s="402"/>
      <c r="E70" s="528"/>
      <c r="F70" s="420"/>
    </row>
    <row r="71" spans="1:6" ht="18.75" x14ac:dyDescent="0.25">
      <c r="A71" s="399"/>
      <c r="B71" s="411" t="s">
        <v>534</v>
      </c>
      <c r="C71" s="411"/>
      <c r="D71" s="402"/>
      <c r="E71" s="537" t="s">
        <v>15</v>
      </c>
      <c r="F71" s="412">
        <f>SUM(E63:E66)</f>
        <v>3640050</v>
      </c>
    </row>
    <row r="72" spans="1:6" ht="18.75" x14ac:dyDescent="0.25">
      <c r="A72" s="399"/>
      <c r="B72" s="397" t="s">
        <v>535</v>
      </c>
      <c r="C72" s="398"/>
      <c r="D72" s="399"/>
      <c r="E72" s="528"/>
      <c r="F72" s="400"/>
    </row>
    <row r="73" spans="1:6" ht="18.75" x14ac:dyDescent="0.25">
      <c r="A73" s="399"/>
      <c r="B73" s="398"/>
      <c r="C73" s="398"/>
      <c r="D73" s="399"/>
      <c r="E73" s="528"/>
      <c r="F73" s="400"/>
    </row>
    <row r="74" spans="1:6" ht="18.75" x14ac:dyDescent="0.25">
      <c r="A74" s="399"/>
      <c r="B74" s="403" t="s">
        <v>948</v>
      </c>
      <c r="C74" s="398"/>
      <c r="D74" s="399"/>
      <c r="E74" s="528"/>
      <c r="F74" s="418"/>
    </row>
    <row r="75" spans="1:6" ht="18.75" x14ac:dyDescent="0.25">
      <c r="A75" s="399"/>
      <c r="B75" s="403"/>
      <c r="C75" s="398"/>
      <c r="D75" s="399"/>
      <c r="E75" s="528"/>
      <c r="F75" s="418"/>
    </row>
    <row r="76" spans="1:6" ht="18.75" x14ac:dyDescent="0.25">
      <c r="A76" s="399"/>
      <c r="B76" s="404" t="s">
        <v>84</v>
      </c>
      <c r="C76" s="411"/>
      <c r="D76" s="402"/>
      <c r="E76" s="537"/>
      <c r="F76" s="412"/>
    </row>
    <row r="77" spans="1:6" ht="18.75" x14ac:dyDescent="0.25">
      <c r="A77" s="399"/>
      <c r="B77" s="413"/>
      <c r="C77" s="411"/>
      <c r="D77" s="402"/>
      <c r="E77" s="537"/>
      <c r="F77" s="412"/>
    </row>
    <row r="78" spans="1:6" ht="33" x14ac:dyDescent="0.25">
      <c r="A78" s="399"/>
      <c r="B78" s="414" t="s">
        <v>594</v>
      </c>
      <c r="C78" s="411"/>
      <c r="D78" s="402"/>
      <c r="E78" s="537"/>
      <c r="F78" s="412"/>
    </row>
    <row r="79" spans="1:6" ht="18.75" x14ac:dyDescent="0.25">
      <c r="A79" s="399"/>
      <c r="B79" s="414"/>
      <c r="C79" s="411"/>
      <c r="D79" s="402"/>
      <c r="E79" s="537"/>
      <c r="F79" s="412"/>
    </row>
    <row r="80" spans="1:6" ht="18.75" x14ac:dyDescent="0.25">
      <c r="A80" s="399" t="s">
        <v>2</v>
      </c>
      <c r="B80" s="398" t="s">
        <v>595</v>
      </c>
      <c r="C80" s="407">
        <v>155</v>
      </c>
      <c r="D80" s="399" t="s">
        <v>922</v>
      </c>
      <c r="E80" s="528">
        <v>10300</v>
      </c>
      <c r="F80" s="486">
        <f>C80*E80</f>
        <v>1596500</v>
      </c>
    </row>
    <row r="81" spans="1:8" ht="18.75" x14ac:dyDescent="0.25">
      <c r="A81" s="399"/>
      <c r="B81" s="403"/>
      <c r="C81" s="398"/>
      <c r="D81" s="399"/>
      <c r="E81" s="528"/>
      <c r="F81" s="487"/>
      <c r="G81" s="401"/>
      <c r="H81" s="401"/>
    </row>
    <row r="82" spans="1:8" ht="18.75" x14ac:dyDescent="0.25">
      <c r="A82" s="399" t="s">
        <v>4</v>
      </c>
      <c r="B82" s="398" t="s">
        <v>596</v>
      </c>
      <c r="C82" s="407">
        <v>0</v>
      </c>
      <c r="D82" s="399" t="s">
        <v>922</v>
      </c>
      <c r="E82" s="528">
        <v>9500</v>
      </c>
      <c r="F82" s="486">
        <f>C82*E82</f>
        <v>0</v>
      </c>
      <c r="G82" s="401"/>
      <c r="H82" s="401"/>
    </row>
    <row r="83" spans="1:8" ht="18.75" x14ac:dyDescent="0.25">
      <c r="A83" s="399"/>
      <c r="B83" s="398"/>
      <c r="C83" s="410"/>
      <c r="D83" s="399"/>
      <c r="E83" s="528"/>
      <c r="F83" s="421"/>
      <c r="G83" s="401"/>
      <c r="H83" s="401"/>
    </row>
    <row r="84" spans="1:8" ht="18.75" x14ac:dyDescent="0.25">
      <c r="A84" s="399"/>
      <c r="B84" s="404" t="s">
        <v>98</v>
      </c>
      <c r="C84" s="398"/>
      <c r="D84" s="399"/>
      <c r="E84" s="528"/>
      <c r="F84" s="418"/>
      <c r="G84" s="401"/>
      <c r="H84" s="401"/>
    </row>
    <row r="85" spans="1:8" ht="18.75" x14ac:dyDescent="0.25">
      <c r="A85" s="399"/>
      <c r="B85" s="398"/>
      <c r="C85" s="398"/>
      <c r="D85" s="399"/>
      <c r="E85" s="528"/>
      <c r="F85" s="418"/>
      <c r="G85" s="401"/>
      <c r="H85" s="401"/>
    </row>
    <row r="86" spans="1:8" ht="18.75" x14ac:dyDescent="0.25">
      <c r="A86" s="399"/>
      <c r="B86" s="410" t="s">
        <v>927</v>
      </c>
      <c r="C86" s="398"/>
      <c r="D86" s="399"/>
      <c r="E86" s="528"/>
      <c r="F86" s="418"/>
      <c r="G86" s="401"/>
      <c r="H86" s="401"/>
    </row>
    <row r="87" spans="1:8" ht="18.75" x14ac:dyDescent="0.25">
      <c r="A87" s="399"/>
      <c r="B87" s="410"/>
      <c r="C87" s="398"/>
      <c r="D87" s="399"/>
      <c r="E87" s="528"/>
      <c r="F87" s="418"/>
      <c r="G87" s="401"/>
      <c r="H87" s="401"/>
    </row>
    <row r="88" spans="1:8" ht="18.75" x14ac:dyDescent="0.25">
      <c r="A88" s="399" t="s">
        <v>5</v>
      </c>
      <c r="B88" s="398" t="s">
        <v>597</v>
      </c>
      <c r="C88" s="398">
        <v>1</v>
      </c>
      <c r="D88" s="399" t="s">
        <v>924</v>
      </c>
      <c r="E88" s="528">
        <v>85000</v>
      </c>
      <c r="F88" s="418">
        <f>C88*E88</f>
        <v>85000</v>
      </c>
      <c r="G88" s="401"/>
      <c r="H88" s="401"/>
    </row>
    <row r="89" spans="1:8" ht="18.75" x14ac:dyDescent="0.25">
      <c r="A89" s="399"/>
      <c r="B89" s="398"/>
      <c r="C89" s="398"/>
      <c r="D89" s="399"/>
      <c r="E89" s="528"/>
      <c r="F89" s="418"/>
      <c r="G89" s="401"/>
      <c r="H89" s="401"/>
    </row>
    <row r="90" spans="1:8" s="535" customFormat="1" ht="21.75" customHeight="1" x14ac:dyDescent="0.25">
      <c r="A90" s="530" t="s">
        <v>6</v>
      </c>
      <c r="B90" s="536" t="s">
        <v>65</v>
      </c>
      <c r="C90" s="539">
        <v>2</v>
      </c>
      <c r="D90" s="530" t="s">
        <v>513</v>
      </c>
      <c r="E90" s="532">
        <f>E88</f>
        <v>85000</v>
      </c>
      <c r="F90" s="533">
        <f>C90*E90</f>
        <v>170000</v>
      </c>
      <c r="G90" s="534"/>
      <c r="H90" s="284"/>
    </row>
    <row r="91" spans="1:8" ht="18.75" x14ac:dyDescent="0.25">
      <c r="A91" s="399"/>
      <c r="B91" s="398"/>
      <c r="C91" s="398"/>
      <c r="D91" s="399"/>
      <c r="E91" s="528"/>
      <c r="F91" s="418"/>
      <c r="G91" s="401"/>
      <c r="H91" s="401"/>
    </row>
    <row r="92" spans="1:8" s="535" customFormat="1" ht="16.5" x14ac:dyDescent="0.25">
      <c r="A92" s="530" t="s">
        <v>7</v>
      </c>
      <c r="B92" s="536" t="s">
        <v>1106</v>
      </c>
      <c r="C92" s="539">
        <v>0</v>
      </c>
      <c r="D92" s="530" t="s">
        <v>513</v>
      </c>
      <c r="E92" s="532">
        <f>E90</f>
        <v>85000</v>
      </c>
      <c r="F92" s="533">
        <f>C92*E92</f>
        <v>0</v>
      </c>
      <c r="G92" s="533"/>
      <c r="H92" s="284"/>
    </row>
    <row r="93" spans="1:8" s="535" customFormat="1" ht="16.5" x14ac:dyDescent="0.25">
      <c r="A93" s="530"/>
      <c r="B93" s="536"/>
      <c r="C93" s="539"/>
      <c r="D93" s="530"/>
      <c r="E93" s="532"/>
      <c r="F93" s="533"/>
      <c r="G93" s="533"/>
      <c r="H93" s="284"/>
    </row>
    <row r="94" spans="1:8" ht="18.75" x14ac:dyDescent="0.25">
      <c r="A94" s="399"/>
      <c r="B94" s="404" t="s">
        <v>102</v>
      </c>
      <c r="C94" s="398"/>
      <c r="D94" s="399"/>
      <c r="E94" s="528"/>
      <c r="F94" s="418"/>
      <c r="G94" s="401"/>
      <c r="H94" s="401"/>
    </row>
    <row r="95" spans="1:8" ht="18.75" x14ac:dyDescent="0.25">
      <c r="A95" s="399"/>
      <c r="B95" s="410"/>
      <c r="C95" s="398"/>
      <c r="D95" s="399"/>
      <c r="E95" s="528"/>
      <c r="F95" s="418"/>
      <c r="G95" s="401"/>
      <c r="H95" s="401"/>
    </row>
    <row r="96" spans="1:8" ht="33" x14ac:dyDescent="0.25">
      <c r="A96" s="399"/>
      <c r="B96" s="414" t="s">
        <v>598</v>
      </c>
      <c r="C96" s="398"/>
      <c r="D96" s="399"/>
      <c r="E96" s="528"/>
      <c r="F96" s="418"/>
      <c r="G96" s="401"/>
      <c r="H96" s="401"/>
    </row>
    <row r="97" spans="1:6" ht="18.75" x14ac:dyDescent="0.25">
      <c r="A97" s="399"/>
      <c r="B97" s="398"/>
      <c r="C97" s="398"/>
      <c r="D97" s="399"/>
      <c r="E97" s="528"/>
      <c r="F97" s="418"/>
    </row>
    <row r="98" spans="1:6" ht="18.75" x14ac:dyDescent="0.25">
      <c r="A98" s="399" t="s">
        <v>8</v>
      </c>
      <c r="B98" s="398" t="s">
        <v>970</v>
      </c>
      <c r="C98" s="398">
        <v>257</v>
      </c>
      <c r="D98" s="399" t="s">
        <v>75</v>
      </c>
      <c r="E98" s="528">
        <v>1250</v>
      </c>
      <c r="F98" s="418">
        <f>C98*E98</f>
        <v>321250</v>
      </c>
    </row>
    <row r="99" spans="1:6" ht="18.75" x14ac:dyDescent="0.25">
      <c r="A99" s="399"/>
      <c r="B99" s="398"/>
      <c r="C99" s="398"/>
      <c r="D99" s="399"/>
      <c r="E99" s="528"/>
      <c r="F99" s="418"/>
    </row>
    <row r="100" spans="1:6" ht="18.75" x14ac:dyDescent="0.25">
      <c r="A100" s="399"/>
      <c r="B100" s="398"/>
      <c r="C100" s="398"/>
      <c r="D100" s="399"/>
      <c r="E100" s="528"/>
      <c r="F100" s="418"/>
    </row>
    <row r="101" spans="1:6" ht="18.75" x14ac:dyDescent="0.25">
      <c r="A101" s="399"/>
      <c r="B101" s="404" t="s">
        <v>67</v>
      </c>
      <c r="C101" s="398"/>
      <c r="D101" s="399"/>
      <c r="E101" s="528"/>
      <c r="F101" s="418"/>
    </row>
    <row r="102" spans="1:6" ht="18.75" x14ac:dyDescent="0.25">
      <c r="A102" s="399"/>
      <c r="B102" s="398"/>
      <c r="C102" s="398"/>
      <c r="D102" s="399"/>
      <c r="E102" s="528"/>
      <c r="F102" s="418"/>
    </row>
    <row r="103" spans="1:6" ht="18.75" x14ac:dyDescent="0.25">
      <c r="A103" s="399"/>
      <c r="B103" s="410" t="s">
        <v>120</v>
      </c>
      <c r="C103" s="398"/>
      <c r="D103" s="399"/>
      <c r="E103" s="528"/>
      <c r="F103" s="418"/>
    </row>
    <row r="104" spans="1:6" ht="18.75" x14ac:dyDescent="0.25">
      <c r="A104" s="399"/>
      <c r="B104" s="398"/>
      <c r="C104" s="398"/>
      <c r="D104" s="399"/>
      <c r="E104" s="528"/>
      <c r="F104" s="418"/>
    </row>
    <row r="105" spans="1:6" ht="18.75" x14ac:dyDescent="0.25">
      <c r="A105" s="399" t="s">
        <v>9</v>
      </c>
      <c r="B105" s="398" t="s">
        <v>949</v>
      </c>
      <c r="C105" s="398">
        <v>33</v>
      </c>
      <c r="D105" s="399" t="s">
        <v>922</v>
      </c>
      <c r="E105" s="528">
        <v>6500</v>
      </c>
      <c r="F105" s="418">
        <f>C105*E105</f>
        <v>214500</v>
      </c>
    </row>
    <row r="106" spans="1:6" ht="18.75" x14ac:dyDescent="0.25">
      <c r="A106" s="399"/>
      <c r="B106" s="410"/>
      <c r="C106" s="398"/>
      <c r="D106" s="399"/>
      <c r="E106" s="528"/>
      <c r="F106" s="416"/>
    </row>
    <row r="107" spans="1:6" ht="18.75" x14ac:dyDescent="0.25">
      <c r="A107" s="399"/>
      <c r="B107" s="398"/>
      <c r="C107" s="398"/>
      <c r="D107" s="399"/>
      <c r="E107" s="528"/>
      <c r="F107" s="416"/>
    </row>
    <row r="108" spans="1:6" ht="18.75" x14ac:dyDescent="0.25">
      <c r="A108" s="399"/>
      <c r="B108" s="398"/>
      <c r="C108" s="410"/>
      <c r="D108" s="399"/>
      <c r="E108" s="528"/>
      <c r="F108" s="421"/>
    </row>
    <row r="109" spans="1:6" ht="18.75" x14ac:dyDescent="0.25">
      <c r="A109" s="399"/>
      <c r="B109" s="398"/>
      <c r="C109" s="410"/>
      <c r="D109" s="399"/>
      <c r="E109" s="528"/>
      <c r="F109" s="421"/>
    </row>
    <row r="110" spans="1:6" ht="18.75" x14ac:dyDescent="0.25">
      <c r="A110" s="399"/>
      <c r="B110" s="398"/>
      <c r="C110" s="410"/>
      <c r="D110" s="399"/>
      <c r="E110" s="528"/>
      <c r="F110" s="421"/>
    </row>
    <row r="111" spans="1:6" ht="18.75" x14ac:dyDescent="0.25">
      <c r="A111" s="399"/>
      <c r="B111" s="398"/>
      <c r="C111" s="411"/>
      <c r="D111" s="402"/>
      <c r="E111" s="537"/>
      <c r="F111" s="420"/>
    </row>
    <row r="112" spans="1:6" ht="18.75" x14ac:dyDescent="0.25">
      <c r="A112" s="399"/>
      <c r="B112" s="398"/>
      <c r="C112" s="398"/>
      <c r="D112" s="399"/>
      <c r="E112" s="528"/>
      <c r="F112" s="400"/>
    </row>
    <row r="113" spans="1:8" ht="18.75" x14ac:dyDescent="0.25">
      <c r="A113" s="399"/>
      <c r="B113" s="403" t="s">
        <v>948</v>
      </c>
      <c r="C113" s="398"/>
      <c r="D113" s="399"/>
      <c r="E113" s="528"/>
      <c r="F113" s="400"/>
    </row>
    <row r="114" spans="1:8" ht="18.75" x14ac:dyDescent="0.25">
      <c r="A114" s="399"/>
      <c r="B114" s="411" t="s">
        <v>534</v>
      </c>
      <c r="C114" s="398"/>
      <c r="D114" s="399"/>
      <c r="E114" s="537" t="s">
        <v>15</v>
      </c>
      <c r="F114" s="296">
        <f>F80+F82+F88+F98+F105+F90+F92</f>
        <v>2387250</v>
      </c>
    </row>
    <row r="115" spans="1:8" ht="18.75" x14ac:dyDescent="0.25">
      <c r="A115" s="399"/>
      <c r="B115" s="397" t="s">
        <v>543</v>
      </c>
      <c r="C115" s="398"/>
      <c r="D115" s="399"/>
      <c r="E115" s="528"/>
      <c r="F115" s="400"/>
    </row>
    <row r="116" spans="1:8" ht="18.75" x14ac:dyDescent="0.25">
      <c r="A116" s="399"/>
      <c r="B116" s="398"/>
      <c r="C116" s="398"/>
      <c r="D116" s="399"/>
      <c r="E116" s="528"/>
      <c r="F116" s="400"/>
    </row>
    <row r="117" spans="1:8" ht="18.75" x14ac:dyDescent="0.25">
      <c r="A117" s="399"/>
      <c r="B117" s="403" t="s">
        <v>602</v>
      </c>
      <c r="C117" s="398"/>
      <c r="D117" s="399"/>
      <c r="E117" s="528"/>
      <c r="F117" s="418"/>
    </row>
    <row r="118" spans="1:8" ht="36" x14ac:dyDescent="0.25">
      <c r="A118" s="399"/>
      <c r="B118" s="490" t="s">
        <v>203</v>
      </c>
      <c r="C118" s="411"/>
      <c r="D118" s="402"/>
      <c r="E118" s="537"/>
      <c r="F118" s="412"/>
    </row>
    <row r="119" spans="1:8" ht="18.75" x14ac:dyDescent="0.25">
      <c r="A119" s="399"/>
      <c r="B119" s="411"/>
      <c r="C119" s="411"/>
      <c r="D119" s="402"/>
      <c r="E119" s="537"/>
      <c r="F119" s="412"/>
    </row>
    <row r="120" spans="1:8" ht="33" x14ac:dyDescent="0.25">
      <c r="A120" s="399"/>
      <c r="B120" s="415" t="s">
        <v>603</v>
      </c>
      <c r="C120" s="398"/>
      <c r="D120" s="399"/>
      <c r="E120" s="528"/>
      <c r="F120" s="418"/>
    </row>
    <row r="121" spans="1:8" s="401" customFormat="1" ht="18.75" x14ac:dyDescent="0.25">
      <c r="A121" s="399"/>
      <c r="B121" s="415"/>
      <c r="C121" s="398"/>
      <c r="D121" s="399"/>
      <c r="E121" s="528"/>
      <c r="F121" s="418"/>
      <c r="G121"/>
      <c r="H121"/>
    </row>
    <row r="122" spans="1:8" s="401" customFormat="1" ht="33" customHeight="1" x14ac:dyDescent="0.3">
      <c r="A122" s="399"/>
      <c r="B122" s="543" t="s">
        <v>1108</v>
      </c>
      <c r="C122" s="398"/>
      <c r="D122" s="399"/>
      <c r="E122" s="528"/>
      <c r="F122" s="418"/>
      <c r="G122"/>
      <c r="H122"/>
    </row>
    <row r="123" spans="1:8" s="401" customFormat="1" ht="18.75" x14ac:dyDescent="0.25">
      <c r="A123" s="399"/>
      <c r="B123" s="403"/>
      <c r="C123" s="398"/>
      <c r="D123" s="399"/>
      <c r="E123" s="528"/>
      <c r="F123" s="416"/>
      <c r="G123"/>
      <c r="H123"/>
    </row>
    <row r="124" spans="1:8" s="401" customFormat="1" ht="18.75" x14ac:dyDescent="0.25">
      <c r="A124" s="399" t="s">
        <v>2</v>
      </c>
      <c r="B124" s="398" t="s">
        <v>1109</v>
      </c>
      <c r="C124" s="398">
        <v>1</v>
      </c>
      <c r="D124" s="399" t="s">
        <v>3</v>
      </c>
      <c r="E124" s="528">
        <f>3*2.4*65000</f>
        <v>467999.99999999994</v>
      </c>
      <c r="F124" s="486">
        <f>C124*E124</f>
        <v>467999.99999999994</v>
      </c>
      <c r="G124"/>
      <c r="H124"/>
    </row>
    <row r="125" spans="1:8" s="401" customFormat="1" ht="18.75" x14ac:dyDescent="0.25">
      <c r="A125" s="399"/>
      <c r="B125" s="404"/>
      <c r="C125" s="398"/>
      <c r="D125" s="399"/>
      <c r="E125" s="528"/>
      <c r="F125" s="400"/>
      <c r="G125"/>
      <c r="H125"/>
    </row>
    <row r="126" spans="1:8" s="401" customFormat="1" ht="18.75" x14ac:dyDescent="0.25">
      <c r="A126" s="399" t="s">
        <v>4</v>
      </c>
      <c r="B126" s="398" t="s">
        <v>1110</v>
      </c>
      <c r="C126" s="398">
        <v>2</v>
      </c>
      <c r="D126" s="399" t="s">
        <v>3</v>
      </c>
      <c r="E126" s="528">
        <f>1.2*2.4*65000</f>
        <v>187200</v>
      </c>
      <c r="F126" s="400">
        <f>C126*E126</f>
        <v>374400</v>
      </c>
      <c r="G126"/>
      <c r="H126"/>
    </row>
    <row r="127" spans="1:8" s="401" customFormat="1" ht="18.75" x14ac:dyDescent="0.25">
      <c r="A127" s="399"/>
      <c r="B127" s="410"/>
      <c r="C127" s="398"/>
      <c r="D127" s="399"/>
      <c r="E127" s="528"/>
      <c r="F127" s="400"/>
      <c r="G127"/>
      <c r="H127"/>
    </row>
    <row r="128" spans="1:8" s="401" customFormat="1" ht="18.75" x14ac:dyDescent="0.25">
      <c r="A128" s="399"/>
      <c r="B128" s="410"/>
      <c r="C128" s="398"/>
      <c r="D128" s="399"/>
      <c r="E128" s="528"/>
      <c r="F128" s="400"/>
      <c r="G128"/>
      <c r="H128"/>
    </row>
    <row r="129" spans="1:8" s="401" customFormat="1" ht="18.75" x14ac:dyDescent="0.25">
      <c r="A129" s="399"/>
      <c r="B129" s="410"/>
      <c r="C129" s="398"/>
      <c r="D129" s="399"/>
      <c r="E129" s="528"/>
      <c r="F129" s="400"/>
      <c r="G129"/>
      <c r="H129"/>
    </row>
    <row r="130" spans="1:8" s="401" customFormat="1" ht="18.75" x14ac:dyDescent="0.25">
      <c r="A130" s="399"/>
      <c r="B130" s="398"/>
      <c r="C130" s="398"/>
      <c r="D130" s="399"/>
      <c r="E130" s="528"/>
      <c r="F130" s="400"/>
      <c r="G130"/>
      <c r="H130"/>
    </row>
    <row r="131" spans="1:8" s="401" customFormat="1" ht="18.75" x14ac:dyDescent="0.25">
      <c r="A131" s="399"/>
      <c r="B131" s="398"/>
      <c r="C131" s="398"/>
      <c r="D131" s="399"/>
      <c r="E131" s="528"/>
      <c r="F131" s="400"/>
      <c r="G131"/>
      <c r="H131"/>
    </row>
    <row r="132" spans="1:8" s="401" customFormat="1" ht="18.75" x14ac:dyDescent="0.25">
      <c r="A132" s="399"/>
      <c r="B132" s="403" t="s">
        <v>200</v>
      </c>
      <c r="C132" s="398"/>
      <c r="D132" s="399"/>
      <c r="E132" s="528"/>
      <c r="F132" s="400"/>
      <c r="G132"/>
      <c r="H132"/>
    </row>
    <row r="133" spans="1:8" s="401" customFormat="1" ht="18.75" x14ac:dyDescent="0.25">
      <c r="A133" s="399"/>
      <c r="B133" s="411" t="s">
        <v>534</v>
      </c>
      <c r="C133" s="398"/>
      <c r="D133" s="399"/>
      <c r="E133" s="537" t="s">
        <v>15</v>
      </c>
      <c r="F133" s="296">
        <f>SUM(F120:F128)</f>
        <v>842400</v>
      </c>
      <c r="G133"/>
      <c r="H133"/>
    </row>
    <row r="134" spans="1:8" s="401" customFormat="1" ht="18.75" x14ac:dyDescent="0.25">
      <c r="A134" s="488"/>
      <c r="B134" s="397" t="s">
        <v>548</v>
      </c>
      <c r="C134" s="398"/>
      <c r="D134" s="399"/>
      <c r="E134" s="528"/>
      <c r="F134" s="418"/>
      <c r="G134"/>
      <c r="H134"/>
    </row>
    <row r="135" spans="1:8" s="401" customFormat="1" ht="18.75" x14ac:dyDescent="0.25">
      <c r="A135" s="399"/>
      <c r="B135" s="398"/>
      <c r="C135" s="398"/>
      <c r="D135" s="399"/>
      <c r="E135" s="528"/>
      <c r="F135" s="418"/>
      <c r="G135"/>
      <c r="H135"/>
    </row>
    <row r="136" spans="1:8" s="401" customFormat="1" ht="18.75" x14ac:dyDescent="0.25">
      <c r="A136" s="399"/>
      <c r="B136" s="403" t="s">
        <v>163</v>
      </c>
      <c r="C136" s="398"/>
      <c r="D136" s="399"/>
      <c r="E136" s="528"/>
      <c r="F136" s="418"/>
      <c r="G136"/>
      <c r="H136"/>
    </row>
    <row r="137" spans="1:8" s="401" customFormat="1" ht="18.75" x14ac:dyDescent="0.25">
      <c r="A137" s="399"/>
      <c r="B137" s="398"/>
      <c r="C137" s="398"/>
      <c r="D137" s="399"/>
      <c r="E137" s="528"/>
      <c r="F137" s="418"/>
      <c r="G137"/>
      <c r="H137"/>
    </row>
    <row r="138" spans="1:8" s="401" customFormat="1" ht="18.75" x14ac:dyDescent="0.25">
      <c r="A138" s="399"/>
      <c r="B138" s="404" t="s">
        <v>98</v>
      </c>
      <c r="C138" s="398"/>
      <c r="D138" s="399"/>
      <c r="E138" s="528"/>
      <c r="F138" s="418"/>
      <c r="G138"/>
      <c r="H138"/>
    </row>
    <row r="139" spans="1:8" s="401" customFormat="1" ht="18.75" x14ac:dyDescent="0.25">
      <c r="A139" s="399"/>
      <c r="B139" s="398"/>
      <c r="C139" s="398"/>
      <c r="D139" s="399"/>
      <c r="E139" s="528"/>
      <c r="F139" s="418"/>
      <c r="G139"/>
      <c r="H139"/>
    </row>
    <row r="140" spans="1:8" s="401" customFormat="1" ht="18.75" x14ac:dyDescent="0.25">
      <c r="A140" s="399"/>
      <c r="B140" s="410" t="s">
        <v>536</v>
      </c>
      <c r="C140" s="398"/>
      <c r="D140" s="399"/>
      <c r="E140" s="528"/>
      <c r="F140" s="418"/>
      <c r="G140"/>
      <c r="H140"/>
    </row>
    <row r="141" spans="1:8" s="401" customFormat="1" ht="18.75" x14ac:dyDescent="0.25">
      <c r="A141" s="399"/>
      <c r="B141" s="410"/>
      <c r="C141" s="398"/>
      <c r="D141" s="399"/>
      <c r="E141" s="528"/>
      <c r="F141" s="418"/>
      <c r="G141"/>
      <c r="H141"/>
    </row>
    <row r="142" spans="1:8" s="401" customFormat="1" ht="18.75" x14ac:dyDescent="0.25">
      <c r="A142" s="399"/>
      <c r="B142" s="410" t="s">
        <v>927</v>
      </c>
      <c r="C142" s="398"/>
      <c r="D142" s="399"/>
      <c r="E142" s="528"/>
      <c r="F142" s="418"/>
      <c r="G142"/>
      <c r="H142"/>
    </row>
    <row r="143" spans="1:8" s="401" customFormat="1" ht="18.75" x14ac:dyDescent="0.25">
      <c r="A143" s="399"/>
      <c r="B143" s="398"/>
      <c r="C143" s="398"/>
      <c r="D143" s="399"/>
      <c r="E143" s="528"/>
      <c r="F143" s="418"/>
      <c r="G143"/>
      <c r="H143"/>
    </row>
    <row r="144" spans="1:8" s="401" customFormat="1" ht="18.75" x14ac:dyDescent="0.25">
      <c r="A144" s="399" t="s">
        <v>2</v>
      </c>
      <c r="B144" s="398" t="s">
        <v>1111</v>
      </c>
      <c r="C144" s="398">
        <v>6</v>
      </c>
      <c r="D144" s="399" t="s">
        <v>924</v>
      </c>
      <c r="E144" s="528">
        <v>85000</v>
      </c>
      <c r="F144" s="418">
        <f>C144*E144</f>
        <v>510000</v>
      </c>
      <c r="G144"/>
      <c r="H144"/>
    </row>
    <row r="145" spans="1:8" s="401" customFormat="1" ht="18.75" x14ac:dyDescent="0.25">
      <c r="A145" s="399"/>
      <c r="B145" s="398"/>
      <c r="C145" s="398"/>
      <c r="D145" s="399"/>
      <c r="E145" s="528"/>
      <c r="F145" s="418"/>
      <c r="G145"/>
      <c r="H145"/>
    </row>
    <row r="146" spans="1:8" s="401" customFormat="1" ht="18.75" x14ac:dyDescent="0.25">
      <c r="A146" s="488"/>
      <c r="B146" s="404" t="s">
        <v>102</v>
      </c>
      <c r="C146" s="398"/>
      <c r="D146" s="399"/>
      <c r="E146" s="528"/>
      <c r="F146" s="418"/>
      <c r="G146"/>
      <c r="H146"/>
    </row>
    <row r="147" spans="1:8" s="401" customFormat="1" ht="18.75" x14ac:dyDescent="0.25">
      <c r="A147" s="399"/>
      <c r="B147" s="410"/>
      <c r="C147" s="398"/>
      <c r="D147" s="399"/>
      <c r="E147" s="528"/>
      <c r="F147" s="418"/>
      <c r="G147"/>
      <c r="H147"/>
    </row>
    <row r="148" spans="1:8" s="401" customFormat="1" ht="33" x14ac:dyDescent="0.25">
      <c r="A148" s="399"/>
      <c r="B148" s="414" t="s">
        <v>570</v>
      </c>
      <c r="C148" s="398"/>
      <c r="D148" s="399"/>
      <c r="E148" s="528"/>
      <c r="F148" s="418"/>
      <c r="G148"/>
      <c r="H148"/>
    </row>
    <row r="149" spans="1:8" s="401" customFormat="1" ht="18.75" x14ac:dyDescent="0.25">
      <c r="A149" s="399"/>
      <c r="B149" s="415"/>
      <c r="C149" s="415"/>
      <c r="D149" s="545"/>
      <c r="E149" s="546"/>
      <c r="F149" s="547"/>
      <c r="G149"/>
      <c r="H149"/>
    </row>
    <row r="150" spans="1:8" s="401" customFormat="1" ht="18.75" x14ac:dyDescent="0.25">
      <c r="A150" s="399" t="s">
        <v>4</v>
      </c>
      <c r="B150" s="398" t="s">
        <v>571</v>
      </c>
      <c r="C150" s="407">
        <v>278</v>
      </c>
      <c r="D150" s="399" t="s">
        <v>75</v>
      </c>
      <c r="E150" s="528">
        <v>1250</v>
      </c>
      <c r="F150" s="489">
        <f t="shared" ref="F150:F154" si="3">C150*E150</f>
        <v>347500</v>
      </c>
      <c r="G150"/>
      <c r="H150"/>
    </row>
    <row r="151" spans="1:8" s="401" customFormat="1" ht="18.75" x14ac:dyDescent="0.25">
      <c r="A151" s="399"/>
      <c r="B151" s="398"/>
      <c r="C151" s="407"/>
      <c r="D151" s="399"/>
      <c r="E151" s="528"/>
      <c r="F151" s="489"/>
      <c r="G151"/>
      <c r="H151"/>
    </row>
    <row r="152" spans="1:8" s="401" customFormat="1" ht="18.75" x14ac:dyDescent="0.25">
      <c r="A152" s="399" t="s">
        <v>5</v>
      </c>
      <c r="B152" s="398" t="s">
        <v>803</v>
      </c>
      <c r="C152" s="407">
        <v>94</v>
      </c>
      <c r="D152" s="399" t="s">
        <v>75</v>
      </c>
      <c r="E152" s="528">
        <f>E150</f>
        <v>1250</v>
      </c>
      <c r="F152" s="489">
        <f t="shared" si="3"/>
        <v>117500</v>
      </c>
      <c r="G152"/>
      <c r="H152"/>
    </row>
    <row r="153" spans="1:8" s="401" customFormat="1" ht="18.75" x14ac:dyDescent="0.25">
      <c r="A153" s="548"/>
      <c r="B153" s="398"/>
      <c r="C153" s="398"/>
      <c r="D153" s="399"/>
      <c r="E153" s="528"/>
      <c r="F153" s="489"/>
      <c r="G153"/>
      <c r="H153"/>
    </row>
    <row r="154" spans="1:8" s="401" customFormat="1" ht="18.75" x14ac:dyDescent="0.25">
      <c r="A154" s="399" t="s">
        <v>6</v>
      </c>
      <c r="B154" s="398" t="s">
        <v>973</v>
      </c>
      <c r="C154" s="407">
        <v>53</v>
      </c>
      <c r="D154" s="399" t="s">
        <v>75</v>
      </c>
      <c r="E154" s="528">
        <f>E152</f>
        <v>1250</v>
      </c>
      <c r="F154" s="489">
        <f t="shared" si="3"/>
        <v>66250</v>
      </c>
      <c r="G154"/>
      <c r="H154"/>
    </row>
    <row r="155" spans="1:8" s="401" customFormat="1" ht="18.75" x14ac:dyDescent="0.25">
      <c r="A155" s="548"/>
      <c r="B155" s="398"/>
      <c r="C155" s="398"/>
      <c r="D155" s="399"/>
      <c r="E155" s="528"/>
      <c r="F155" s="489"/>
      <c r="G155"/>
      <c r="H155"/>
    </row>
    <row r="156" spans="1:8" s="401" customFormat="1" ht="18.75" x14ac:dyDescent="0.25">
      <c r="A156" s="399"/>
      <c r="B156" s="404" t="s">
        <v>67</v>
      </c>
      <c r="C156" s="398"/>
      <c r="D156" s="399"/>
      <c r="E156" s="528"/>
      <c r="F156" s="418"/>
      <c r="G156"/>
      <c r="H156"/>
    </row>
    <row r="157" spans="1:8" s="401" customFormat="1" ht="18.75" x14ac:dyDescent="0.25">
      <c r="A157" s="399"/>
      <c r="B157" s="398"/>
      <c r="C157" s="398"/>
      <c r="D157" s="399"/>
      <c r="E157" s="528"/>
      <c r="F157" s="418"/>
      <c r="G157"/>
      <c r="H157"/>
    </row>
    <row r="158" spans="1:8" s="401" customFormat="1" ht="18.75" x14ac:dyDescent="0.25">
      <c r="A158" s="399"/>
      <c r="B158" s="410" t="s">
        <v>120</v>
      </c>
      <c r="C158" s="398"/>
      <c r="D158" s="399"/>
      <c r="E158" s="528"/>
      <c r="F158" s="418"/>
      <c r="G158"/>
      <c r="H158"/>
    </row>
    <row r="159" spans="1:8" s="401" customFormat="1" ht="18.75" x14ac:dyDescent="0.25">
      <c r="A159" s="399"/>
      <c r="B159" s="398"/>
      <c r="C159" s="398"/>
      <c r="D159" s="399"/>
      <c r="E159" s="528"/>
      <c r="F159" s="418"/>
      <c r="G159"/>
      <c r="H159"/>
    </row>
    <row r="160" spans="1:8" s="401" customFormat="1" ht="18.75" x14ac:dyDescent="0.25">
      <c r="A160" s="399" t="s">
        <v>7</v>
      </c>
      <c r="B160" s="415" t="s">
        <v>1112</v>
      </c>
      <c r="C160" s="398">
        <v>52</v>
      </c>
      <c r="D160" s="399" t="s">
        <v>922</v>
      </c>
      <c r="E160" s="528">
        <v>6500</v>
      </c>
      <c r="F160" s="418">
        <f>C160*E160</f>
        <v>338000</v>
      </c>
      <c r="G160"/>
      <c r="H160"/>
    </row>
    <row r="161" spans="1:8" s="401" customFormat="1" ht="18.75" x14ac:dyDescent="0.25">
      <c r="A161" s="399"/>
      <c r="B161" s="398"/>
      <c r="C161" s="398"/>
      <c r="D161" s="399"/>
      <c r="E161" s="528"/>
      <c r="F161" s="418"/>
      <c r="G161"/>
      <c r="H161"/>
    </row>
    <row r="162" spans="1:8" s="401" customFormat="1" ht="18.75" x14ac:dyDescent="0.25">
      <c r="A162" s="399"/>
      <c r="B162" s="398"/>
      <c r="C162" s="398"/>
      <c r="D162" s="399"/>
      <c r="E162" s="528"/>
      <c r="F162" s="418"/>
      <c r="G162"/>
      <c r="H162"/>
    </row>
    <row r="163" spans="1:8" s="401" customFormat="1" ht="18.75" x14ac:dyDescent="0.25">
      <c r="A163" s="399"/>
      <c r="B163" s="398"/>
      <c r="C163" s="398"/>
      <c r="D163" s="399"/>
      <c r="E163" s="528"/>
      <c r="F163" s="418"/>
      <c r="G163"/>
      <c r="H163"/>
    </row>
    <row r="164" spans="1:8" s="401" customFormat="1" ht="18.75" x14ac:dyDescent="0.25">
      <c r="A164" s="399"/>
      <c r="B164" s="398"/>
      <c r="C164" s="398"/>
      <c r="D164" s="399"/>
      <c r="E164" s="528"/>
      <c r="F164" s="418"/>
      <c r="G164"/>
      <c r="H164"/>
    </row>
    <row r="165" spans="1:8" s="401" customFormat="1" ht="18.75" x14ac:dyDescent="0.25">
      <c r="A165" s="399"/>
      <c r="B165" s="398"/>
      <c r="C165" s="398"/>
      <c r="D165" s="399"/>
      <c r="E165" s="528"/>
      <c r="F165" s="418"/>
      <c r="G165"/>
      <c r="H165"/>
    </row>
    <row r="166" spans="1:8" s="401" customFormat="1" ht="18.75" x14ac:dyDescent="0.25">
      <c r="A166" s="399"/>
      <c r="B166" s="398"/>
      <c r="C166" s="398"/>
      <c r="D166" s="399"/>
      <c r="E166" s="528"/>
      <c r="F166" s="418"/>
      <c r="G166"/>
      <c r="H166"/>
    </row>
    <row r="167" spans="1:8" s="401" customFormat="1" ht="18.75" x14ac:dyDescent="0.25">
      <c r="A167" s="399"/>
      <c r="B167" s="398"/>
      <c r="C167" s="398"/>
      <c r="D167" s="399"/>
      <c r="E167" s="528"/>
      <c r="F167" s="418"/>
      <c r="G167"/>
      <c r="H167"/>
    </row>
    <row r="168" spans="1:8" s="401" customFormat="1" ht="18.75" x14ac:dyDescent="0.25">
      <c r="A168" s="399"/>
      <c r="B168" s="398"/>
      <c r="C168" s="398"/>
      <c r="D168" s="399"/>
      <c r="E168" s="528"/>
      <c r="F168" s="418"/>
      <c r="G168"/>
      <c r="H168"/>
    </row>
    <row r="169" spans="1:8" s="401" customFormat="1" ht="18.75" x14ac:dyDescent="0.25">
      <c r="A169" s="399"/>
      <c r="B169" s="398"/>
      <c r="C169" s="398"/>
      <c r="D169" s="399"/>
      <c r="E169" s="528"/>
      <c r="F169" s="418"/>
      <c r="G169"/>
      <c r="H169"/>
    </row>
    <row r="170" spans="1:8" s="401" customFormat="1" ht="18.75" x14ac:dyDescent="0.25">
      <c r="A170" s="399"/>
      <c r="B170" s="398"/>
      <c r="C170" s="398"/>
      <c r="D170" s="399"/>
      <c r="E170" s="528"/>
      <c r="F170" s="418"/>
      <c r="G170"/>
      <c r="H170"/>
    </row>
    <row r="171" spans="1:8" s="401" customFormat="1" ht="18.75" x14ac:dyDescent="0.25">
      <c r="A171" s="399"/>
      <c r="B171" s="411" t="s">
        <v>520</v>
      </c>
      <c r="C171" s="411"/>
      <c r="D171" s="402"/>
      <c r="E171" s="537" t="s">
        <v>15</v>
      </c>
      <c r="F171" s="420">
        <f>SUM(F137:F169)</f>
        <v>1379250</v>
      </c>
      <c r="G171"/>
      <c r="H171"/>
    </row>
    <row r="172" spans="1:8" s="401" customFormat="1" ht="18.75" x14ac:dyDescent="0.25">
      <c r="A172" s="399"/>
      <c r="B172" s="403" t="s">
        <v>573</v>
      </c>
      <c r="C172" s="398"/>
      <c r="D172" s="399"/>
      <c r="E172" s="528"/>
      <c r="F172" s="418"/>
      <c r="G172"/>
      <c r="H172"/>
    </row>
    <row r="173" spans="1:8" s="401" customFormat="1" ht="18.75" x14ac:dyDescent="0.25">
      <c r="A173" s="399"/>
      <c r="B173" s="398"/>
      <c r="C173" s="398"/>
      <c r="D173" s="399"/>
      <c r="E173" s="528"/>
      <c r="F173" s="418"/>
      <c r="G173"/>
      <c r="H173"/>
    </row>
    <row r="174" spans="1:8" s="401" customFormat="1" ht="49.5" x14ac:dyDescent="0.25">
      <c r="A174" s="399"/>
      <c r="B174" s="549" t="s">
        <v>574</v>
      </c>
      <c r="C174" s="398"/>
      <c r="D174" s="399"/>
      <c r="E174" s="528"/>
      <c r="F174" s="400"/>
      <c r="G174"/>
      <c r="H174"/>
    </row>
    <row r="175" spans="1:8" s="401" customFormat="1" ht="18.75" x14ac:dyDescent="0.25">
      <c r="A175" s="399"/>
      <c r="B175" s="417"/>
      <c r="C175" s="398"/>
      <c r="D175" s="399"/>
      <c r="E175" s="528"/>
      <c r="F175" s="400"/>
      <c r="G175"/>
      <c r="H175"/>
    </row>
    <row r="176" spans="1:8" s="401" customFormat="1" ht="18.75" x14ac:dyDescent="0.25">
      <c r="A176" s="399" t="s">
        <v>2</v>
      </c>
      <c r="B176" s="422" t="s">
        <v>974</v>
      </c>
      <c r="C176" s="407">
        <v>82</v>
      </c>
      <c r="D176" s="399" t="s">
        <v>922</v>
      </c>
      <c r="E176" s="528">
        <v>10100</v>
      </c>
      <c r="F176" s="486">
        <f>C176*E176</f>
        <v>828200</v>
      </c>
      <c r="G176"/>
      <c r="H176"/>
    </row>
    <row r="177" spans="1:8" s="401" customFormat="1" ht="18.75" x14ac:dyDescent="0.25">
      <c r="A177" s="399"/>
      <c r="B177" s="406"/>
      <c r="C177" s="398"/>
      <c r="D177" s="399"/>
      <c r="E177" s="528"/>
      <c r="F177" s="486"/>
      <c r="G177"/>
      <c r="H177"/>
    </row>
    <row r="178" spans="1:8" s="401" customFormat="1" ht="18.75" x14ac:dyDescent="0.25">
      <c r="A178" s="399" t="s">
        <v>4</v>
      </c>
      <c r="B178" s="398" t="s">
        <v>975</v>
      </c>
      <c r="C178" s="398">
        <v>0</v>
      </c>
      <c r="D178" s="399" t="s">
        <v>22</v>
      </c>
      <c r="E178" s="528">
        <f>E176*0.3</f>
        <v>3030</v>
      </c>
      <c r="F178" s="486">
        <f>C178*E178</f>
        <v>0</v>
      </c>
      <c r="G178"/>
      <c r="H178"/>
    </row>
    <row r="179" spans="1:8" s="401" customFormat="1" ht="18.75" x14ac:dyDescent="0.25">
      <c r="A179" s="399"/>
      <c r="B179" s="398"/>
      <c r="C179" s="398"/>
      <c r="D179" s="399"/>
      <c r="E179" s="528"/>
      <c r="F179" s="486"/>
      <c r="G179"/>
      <c r="H179"/>
    </row>
    <row r="180" spans="1:8" s="401" customFormat="1" ht="18.75" x14ac:dyDescent="0.25">
      <c r="A180" s="399"/>
      <c r="B180" s="398"/>
      <c r="C180" s="398"/>
      <c r="D180" s="399"/>
      <c r="E180" s="528"/>
      <c r="F180" s="486"/>
      <c r="G180"/>
      <c r="H180"/>
    </row>
    <row r="181" spans="1:8" s="401" customFormat="1" ht="36" x14ac:dyDescent="0.25">
      <c r="A181" s="399"/>
      <c r="B181" s="490" t="s">
        <v>577</v>
      </c>
      <c r="C181" s="398"/>
      <c r="D181" s="399"/>
      <c r="E181" s="528"/>
      <c r="F181" s="486"/>
      <c r="G181"/>
      <c r="H181"/>
    </row>
    <row r="182" spans="1:8" s="401" customFormat="1" ht="18.75" x14ac:dyDescent="0.25">
      <c r="A182" s="399"/>
      <c r="B182" s="398"/>
      <c r="C182" s="398"/>
      <c r="D182" s="399"/>
      <c r="E182" s="528"/>
      <c r="F182" s="400"/>
      <c r="G182"/>
      <c r="H182"/>
    </row>
    <row r="183" spans="1:8" s="401" customFormat="1" ht="33" x14ac:dyDescent="0.25">
      <c r="A183" s="399"/>
      <c r="B183" s="414" t="s">
        <v>187</v>
      </c>
      <c r="C183" s="398"/>
      <c r="D183" s="399"/>
      <c r="E183" s="528"/>
      <c r="F183" s="400"/>
      <c r="G183"/>
      <c r="H183"/>
    </row>
    <row r="184" spans="1:8" s="401" customFormat="1" ht="18.75" x14ac:dyDescent="0.25">
      <c r="A184" s="399"/>
      <c r="B184" s="398"/>
      <c r="C184" s="398"/>
      <c r="D184" s="399"/>
      <c r="E184" s="528"/>
      <c r="F184" s="400"/>
      <c r="G184"/>
      <c r="H184"/>
    </row>
    <row r="185" spans="1:8" s="401" customFormat="1" ht="18.75" x14ac:dyDescent="0.25">
      <c r="A185" s="399" t="s">
        <v>5</v>
      </c>
      <c r="B185" s="398" t="s">
        <v>678</v>
      </c>
      <c r="C185" s="407">
        <v>40</v>
      </c>
      <c r="D185" s="399" t="s">
        <v>22</v>
      </c>
      <c r="E185" s="528">
        <v>800</v>
      </c>
      <c r="F185" s="486">
        <f t="shared" ref="F185" si="4">C185*E185</f>
        <v>32000</v>
      </c>
      <c r="G185"/>
      <c r="H185"/>
    </row>
    <row r="186" spans="1:8" s="401" customFormat="1" ht="18.75" x14ac:dyDescent="0.25">
      <c r="A186" s="399"/>
      <c r="B186" s="398"/>
      <c r="C186" s="398"/>
      <c r="D186" s="399"/>
      <c r="E186" s="528"/>
      <c r="F186" s="400"/>
      <c r="G186"/>
      <c r="H186"/>
    </row>
    <row r="187" spans="1:8" s="401" customFormat="1" ht="18.75" x14ac:dyDescent="0.25">
      <c r="A187" s="399" t="s">
        <v>6</v>
      </c>
      <c r="B187" s="398" t="s">
        <v>188</v>
      </c>
      <c r="C187" s="407">
        <v>68</v>
      </c>
      <c r="D187" s="399" t="s">
        <v>22</v>
      </c>
      <c r="E187" s="528">
        <v>800</v>
      </c>
      <c r="F187" s="486">
        <f t="shared" ref="F187" si="5">C187*E187</f>
        <v>54400</v>
      </c>
      <c r="G187"/>
      <c r="H187"/>
    </row>
    <row r="188" spans="1:8" s="401" customFormat="1" ht="18.75" x14ac:dyDescent="0.25">
      <c r="A188" s="399"/>
      <c r="B188" s="398"/>
      <c r="C188" s="398"/>
      <c r="D188" s="399"/>
      <c r="E188" s="528"/>
      <c r="F188" s="400"/>
      <c r="G188"/>
      <c r="H188"/>
    </row>
    <row r="189" spans="1:8" s="401" customFormat="1" ht="18.75" x14ac:dyDescent="0.25">
      <c r="A189" s="399" t="s">
        <v>7</v>
      </c>
      <c r="B189" s="398" t="s">
        <v>976</v>
      </c>
      <c r="C189" s="407">
        <v>66</v>
      </c>
      <c r="D189" s="399" t="s">
        <v>22</v>
      </c>
      <c r="E189" s="528">
        <f>E187</f>
        <v>800</v>
      </c>
      <c r="F189" s="486">
        <f t="shared" ref="F189" si="6">C189*E189</f>
        <v>52800</v>
      </c>
      <c r="G189"/>
      <c r="H189"/>
    </row>
    <row r="190" spans="1:8" s="401" customFormat="1" ht="18.75" x14ac:dyDescent="0.25">
      <c r="A190" s="399"/>
      <c r="B190" s="398"/>
      <c r="C190" s="398"/>
      <c r="D190" s="399"/>
      <c r="E190" s="528"/>
      <c r="F190" s="400"/>
      <c r="G190"/>
      <c r="H190"/>
    </row>
    <row r="191" spans="1:8" s="401" customFormat="1" ht="18.75" x14ac:dyDescent="0.25">
      <c r="A191" s="399" t="s">
        <v>8</v>
      </c>
      <c r="B191" s="398" t="s">
        <v>580</v>
      </c>
      <c r="C191" s="407">
        <v>72</v>
      </c>
      <c r="D191" s="399" t="s">
        <v>22</v>
      </c>
      <c r="E191" s="528">
        <f>E189</f>
        <v>800</v>
      </c>
      <c r="F191" s="486">
        <f t="shared" ref="F191" si="7">C191*E191</f>
        <v>57600</v>
      </c>
      <c r="G191"/>
      <c r="H191"/>
    </row>
    <row r="192" spans="1:8" s="401" customFormat="1" ht="18.75" x14ac:dyDescent="0.25">
      <c r="A192" s="399"/>
      <c r="B192" s="398"/>
      <c r="C192" s="398"/>
      <c r="D192" s="399"/>
      <c r="E192" s="528"/>
      <c r="F192" s="486"/>
      <c r="G192"/>
      <c r="H192"/>
    </row>
    <row r="193" spans="1:8" s="401" customFormat="1" ht="18.75" x14ac:dyDescent="0.25">
      <c r="A193" s="399" t="s">
        <v>9</v>
      </c>
      <c r="B193" s="398" t="s">
        <v>191</v>
      </c>
      <c r="C193" s="407">
        <v>116</v>
      </c>
      <c r="D193" s="399" t="s">
        <v>22</v>
      </c>
      <c r="E193" s="528">
        <v>700</v>
      </c>
      <c r="F193" s="486">
        <f>C193*E193</f>
        <v>81200</v>
      </c>
      <c r="G193"/>
      <c r="H193"/>
    </row>
    <row r="194" spans="1:8" s="401" customFormat="1" ht="18.75" x14ac:dyDescent="0.25">
      <c r="A194" s="399"/>
      <c r="B194" s="398"/>
      <c r="C194" s="407"/>
      <c r="D194" s="399"/>
      <c r="E194" s="528"/>
      <c r="F194" s="486"/>
      <c r="G194"/>
      <c r="H194"/>
    </row>
    <row r="195" spans="1:8" s="401" customFormat="1" ht="18.75" x14ac:dyDescent="0.25">
      <c r="A195" s="399"/>
      <c r="B195" s="398"/>
      <c r="C195" s="407"/>
      <c r="D195" s="399"/>
      <c r="E195" s="528"/>
      <c r="F195" s="486"/>
      <c r="G195"/>
      <c r="H195"/>
    </row>
    <row r="196" spans="1:8" s="401" customFormat="1" ht="18.75" x14ac:dyDescent="0.25">
      <c r="A196" s="399"/>
      <c r="B196" s="404" t="s">
        <v>84</v>
      </c>
      <c r="C196" s="411"/>
      <c r="D196" s="402"/>
      <c r="E196" s="537"/>
      <c r="F196" s="412"/>
      <c r="G196"/>
      <c r="H196"/>
    </row>
    <row r="197" spans="1:8" s="401" customFormat="1" ht="18.75" x14ac:dyDescent="0.25">
      <c r="A197" s="399"/>
      <c r="B197" s="413"/>
      <c r="C197" s="411"/>
      <c r="D197" s="402"/>
      <c r="E197" s="537"/>
      <c r="F197" s="412"/>
      <c r="G197"/>
      <c r="H197"/>
    </row>
    <row r="198" spans="1:8" s="401" customFormat="1" ht="33" x14ac:dyDescent="0.25">
      <c r="A198" s="399"/>
      <c r="B198" s="414" t="s">
        <v>582</v>
      </c>
      <c r="C198" s="411"/>
      <c r="D198" s="402"/>
      <c r="E198" s="537"/>
      <c r="F198" s="412"/>
      <c r="G198"/>
      <c r="H198"/>
    </row>
    <row r="199" spans="1:8" s="401" customFormat="1" ht="18.75" x14ac:dyDescent="0.25">
      <c r="A199" s="399"/>
      <c r="B199" s="414"/>
      <c r="C199" s="411"/>
      <c r="D199" s="402"/>
      <c r="E199" s="537"/>
      <c r="F199" s="412"/>
      <c r="G199"/>
      <c r="H199"/>
    </row>
    <row r="200" spans="1:8" s="401" customFormat="1" ht="18.75" x14ac:dyDescent="0.25">
      <c r="A200" s="399" t="s">
        <v>10</v>
      </c>
      <c r="B200" s="415" t="s">
        <v>977</v>
      </c>
      <c r="C200" s="398">
        <v>23</v>
      </c>
      <c r="D200" s="399" t="s">
        <v>922</v>
      </c>
      <c r="E200" s="528">
        <v>10300</v>
      </c>
      <c r="F200" s="400">
        <f>C200*E200</f>
        <v>236900</v>
      </c>
      <c r="G200"/>
      <c r="H200"/>
    </row>
    <row r="201" spans="1:8" s="401" customFormat="1" ht="18.75" x14ac:dyDescent="0.25">
      <c r="A201" s="399"/>
      <c r="B201" s="398"/>
      <c r="C201" s="398"/>
      <c r="D201" s="399"/>
      <c r="E201" s="528"/>
      <c r="F201" s="400"/>
      <c r="G201"/>
      <c r="H201"/>
    </row>
    <row r="202" spans="1:8" s="401" customFormat="1" ht="18.75" x14ac:dyDescent="0.25">
      <c r="A202" s="399"/>
      <c r="B202" s="404" t="s">
        <v>147</v>
      </c>
      <c r="C202" s="398"/>
      <c r="D202" s="399"/>
      <c r="E202" s="528"/>
      <c r="F202" s="418"/>
      <c r="G202"/>
      <c r="H202"/>
    </row>
    <row r="203" spans="1:8" s="401" customFormat="1" ht="18.75" x14ac:dyDescent="0.25">
      <c r="A203" s="399"/>
      <c r="B203" s="398"/>
      <c r="C203" s="398"/>
      <c r="D203" s="399"/>
      <c r="E203" s="528"/>
      <c r="F203" s="418"/>
      <c r="G203"/>
      <c r="H203"/>
    </row>
    <row r="204" spans="1:8" s="401" customFormat="1" ht="33" x14ac:dyDescent="0.25">
      <c r="A204" s="399"/>
      <c r="B204" s="414" t="s">
        <v>583</v>
      </c>
      <c r="C204" s="398"/>
      <c r="D204" s="399"/>
      <c r="E204" s="528"/>
      <c r="F204" s="418"/>
      <c r="G204"/>
      <c r="H204"/>
    </row>
    <row r="205" spans="1:8" s="401" customFormat="1" ht="18.75" x14ac:dyDescent="0.25">
      <c r="A205" s="399"/>
      <c r="B205" s="414"/>
      <c r="C205" s="398"/>
      <c r="D205" s="399"/>
      <c r="E205" s="528"/>
      <c r="F205" s="418"/>
      <c r="G205"/>
      <c r="H205"/>
    </row>
    <row r="206" spans="1:8" s="401" customFormat="1" ht="18.75" x14ac:dyDescent="0.25">
      <c r="A206" s="399" t="s">
        <v>11</v>
      </c>
      <c r="B206" s="417" t="s">
        <v>1113</v>
      </c>
      <c r="C206" s="398">
        <f>C200*2</f>
        <v>46</v>
      </c>
      <c r="D206" s="399" t="s">
        <v>922</v>
      </c>
      <c r="E206" s="528">
        <v>3200</v>
      </c>
      <c r="F206" s="400">
        <f>C206*E206</f>
        <v>147200</v>
      </c>
      <c r="G206"/>
      <c r="H206"/>
    </row>
    <row r="207" spans="1:8" s="401" customFormat="1" ht="18.75" x14ac:dyDescent="0.25">
      <c r="A207" s="399"/>
      <c r="B207" s="417"/>
      <c r="C207" s="398"/>
      <c r="D207" s="399"/>
      <c r="E207" s="528"/>
      <c r="F207" s="400"/>
      <c r="G207"/>
      <c r="H207"/>
    </row>
    <row r="208" spans="1:8" s="401" customFormat="1" ht="18.75" x14ac:dyDescent="0.25">
      <c r="A208" s="399" t="s">
        <v>12</v>
      </c>
      <c r="B208" s="398" t="s">
        <v>978</v>
      </c>
      <c r="C208" s="409">
        <v>0</v>
      </c>
      <c r="D208" s="399" t="s">
        <v>922</v>
      </c>
      <c r="E208" s="528">
        <f>E206</f>
        <v>3200</v>
      </c>
      <c r="F208" s="400">
        <f>C208*E208</f>
        <v>0</v>
      </c>
      <c r="G208"/>
      <c r="H208"/>
    </row>
    <row r="209" spans="1:8" s="401" customFormat="1" ht="18.75" x14ac:dyDescent="0.25">
      <c r="A209" s="399"/>
      <c r="B209" s="398"/>
      <c r="C209" s="398"/>
      <c r="D209" s="399"/>
      <c r="E209" s="528"/>
      <c r="F209" s="400"/>
      <c r="G209"/>
      <c r="H209"/>
    </row>
    <row r="210" spans="1:8" s="401" customFormat="1" ht="18.75" x14ac:dyDescent="0.25">
      <c r="A210" s="399"/>
      <c r="B210" s="404" t="s">
        <v>585</v>
      </c>
      <c r="C210" s="398"/>
      <c r="D210" s="399"/>
      <c r="E210" s="528"/>
      <c r="F210" s="400"/>
      <c r="G210"/>
      <c r="H210"/>
    </row>
    <row r="211" spans="1:8" s="401" customFormat="1" ht="18.75" x14ac:dyDescent="0.25">
      <c r="A211" s="399"/>
      <c r="B211" s="398"/>
      <c r="C211" s="398"/>
      <c r="D211" s="399"/>
      <c r="E211" s="528"/>
      <c r="F211" s="400"/>
      <c r="G211"/>
      <c r="H211"/>
    </row>
    <row r="212" spans="1:8" s="401" customFormat="1" ht="18.75" x14ac:dyDescent="0.25">
      <c r="A212" s="399"/>
      <c r="B212" s="410" t="s">
        <v>560</v>
      </c>
      <c r="C212" s="398"/>
      <c r="D212" s="399"/>
      <c r="E212" s="528"/>
      <c r="F212" s="418"/>
      <c r="G212"/>
      <c r="H212"/>
    </row>
    <row r="213" spans="1:8" s="401" customFormat="1" ht="18.75" x14ac:dyDescent="0.25">
      <c r="A213" s="399"/>
      <c r="B213" s="410"/>
      <c r="C213" s="398"/>
      <c r="D213" s="399"/>
      <c r="E213" s="528"/>
      <c r="F213" s="418"/>
      <c r="G213"/>
      <c r="H213"/>
    </row>
    <row r="214" spans="1:8" s="401" customFormat="1" ht="18.75" x14ac:dyDescent="0.25">
      <c r="A214" s="399" t="s">
        <v>13</v>
      </c>
      <c r="B214" s="417" t="s">
        <v>979</v>
      </c>
      <c r="C214" s="398"/>
      <c r="D214" s="399" t="s">
        <v>922</v>
      </c>
      <c r="E214" s="528">
        <v>4200</v>
      </c>
      <c r="F214" s="400">
        <f>C214*E214</f>
        <v>0</v>
      </c>
      <c r="G214"/>
      <c r="H214"/>
    </row>
    <row r="215" spans="1:8" s="401" customFormat="1" ht="18.75" x14ac:dyDescent="0.25">
      <c r="A215" s="399"/>
      <c r="B215" s="417"/>
      <c r="C215" s="398"/>
      <c r="D215" s="399"/>
      <c r="E215" s="528"/>
      <c r="F215" s="400"/>
      <c r="G215"/>
      <c r="H215"/>
    </row>
    <row r="216" spans="1:8" s="401" customFormat="1" ht="18.75" x14ac:dyDescent="0.25">
      <c r="A216" s="399"/>
      <c r="B216" s="398"/>
      <c r="C216" s="398"/>
      <c r="D216" s="399"/>
      <c r="E216" s="528"/>
      <c r="F216" s="400"/>
      <c r="G216"/>
      <c r="H216"/>
    </row>
    <row r="217" spans="1:8" s="401" customFormat="1" ht="18.75" x14ac:dyDescent="0.25">
      <c r="A217" s="399"/>
      <c r="B217" s="411"/>
      <c r="C217" s="411"/>
      <c r="D217" s="402"/>
      <c r="E217" s="537"/>
      <c r="F217" s="429"/>
      <c r="G217"/>
      <c r="H217"/>
    </row>
    <row r="218" spans="1:8" s="401" customFormat="1" ht="18.75" x14ac:dyDescent="0.25">
      <c r="A218" s="399"/>
      <c r="B218" s="411"/>
      <c r="C218" s="411"/>
      <c r="D218" s="402"/>
      <c r="E218" s="537"/>
      <c r="F218" s="429"/>
      <c r="G218"/>
      <c r="H218"/>
    </row>
    <row r="219" spans="1:8" s="401" customFormat="1" ht="18.75" x14ac:dyDescent="0.25">
      <c r="A219" s="399"/>
      <c r="B219" s="411"/>
      <c r="C219" s="411"/>
      <c r="D219" s="402"/>
      <c r="E219" s="537"/>
      <c r="F219" s="429"/>
      <c r="G219"/>
      <c r="H219"/>
    </row>
    <row r="220" spans="1:8" s="401" customFormat="1" ht="18.75" x14ac:dyDescent="0.25">
      <c r="A220" s="399"/>
      <c r="B220" s="411"/>
      <c r="C220" s="411"/>
      <c r="D220" s="402"/>
      <c r="E220" s="537"/>
      <c r="F220" s="429"/>
      <c r="G220"/>
      <c r="H220"/>
    </row>
    <row r="221" spans="1:8" s="401" customFormat="1" ht="18.75" x14ac:dyDescent="0.25">
      <c r="A221" s="399"/>
      <c r="B221" s="411"/>
      <c r="C221" s="411"/>
      <c r="D221" s="402"/>
      <c r="E221" s="537"/>
      <c r="F221" s="429"/>
      <c r="G221"/>
      <c r="H221"/>
    </row>
    <row r="222" spans="1:8" s="401" customFormat="1" ht="18.75" x14ac:dyDescent="0.25">
      <c r="A222" s="399"/>
      <c r="B222" s="411"/>
      <c r="C222" s="411"/>
      <c r="D222" s="402"/>
      <c r="E222" s="537"/>
      <c r="F222" s="429"/>
      <c r="G222"/>
      <c r="H222"/>
    </row>
    <row r="223" spans="1:8" s="401" customFormat="1" ht="18.75" x14ac:dyDescent="0.25">
      <c r="A223" s="399"/>
      <c r="B223" s="411" t="s">
        <v>520</v>
      </c>
      <c r="C223" s="411"/>
      <c r="D223" s="402"/>
      <c r="E223" s="537" t="s">
        <v>15</v>
      </c>
      <c r="F223" s="429">
        <f>SUM(F175:F214)</f>
        <v>1490300</v>
      </c>
      <c r="G223"/>
      <c r="H223"/>
    </row>
    <row r="224" spans="1:8" s="401" customFormat="1" ht="18.75" x14ac:dyDescent="0.25">
      <c r="A224" s="399"/>
      <c r="B224" s="403" t="s">
        <v>573</v>
      </c>
      <c r="C224" s="398"/>
      <c r="D224" s="399"/>
      <c r="E224" s="528"/>
      <c r="F224" s="400"/>
      <c r="G224"/>
      <c r="H224"/>
    </row>
    <row r="225" spans="1:8" s="401" customFormat="1" ht="18.75" x14ac:dyDescent="0.25">
      <c r="A225" s="399"/>
      <c r="B225" s="417"/>
      <c r="C225" s="398"/>
      <c r="D225" s="399"/>
      <c r="E225" s="528"/>
      <c r="F225" s="400"/>
      <c r="G225"/>
      <c r="H225"/>
    </row>
    <row r="226" spans="1:8" s="401" customFormat="1" ht="18.75" x14ac:dyDescent="0.25">
      <c r="A226" s="399"/>
      <c r="B226" s="404" t="s">
        <v>592</v>
      </c>
      <c r="C226" s="398"/>
      <c r="D226" s="399"/>
      <c r="E226" s="528"/>
      <c r="F226" s="400"/>
      <c r="G226"/>
      <c r="H226"/>
    </row>
    <row r="227" spans="1:8" s="401" customFormat="1" ht="18.75" x14ac:dyDescent="0.25">
      <c r="A227" s="399"/>
      <c r="B227" s="398"/>
      <c r="C227" s="398"/>
      <c r="D227" s="399"/>
      <c r="E227" s="528"/>
      <c r="F227" s="400"/>
      <c r="G227"/>
      <c r="H227"/>
    </row>
    <row r="228" spans="1:8" s="401" customFormat="1" ht="33" x14ac:dyDescent="0.25">
      <c r="A228" s="399"/>
      <c r="B228" s="414" t="s">
        <v>950</v>
      </c>
      <c r="C228" s="398"/>
      <c r="D228" s="399"/>
      <c r="E228" s="528"/>
      <c r="F228" s="400"/>
      <c r="G228"/>
      <c r="H228"/>
    </row>
    <row r="229" spans="1:8" s="401" customFormat="1" ht="18.75" x14ac:dyDescent="0.25">
      <c r="A229" s="399"/>
      <c r="B229" s="398"/>
      <c r="C229" s="398"/>
      <c r="D229" s="399"/>
      <c r="E229" s="528"/>
      <c r="F229" s="400"/>
      <c r="G229"/>
      <c r="H229"/>
    </row>
    <row r="230" spans="1:8" s="401" customFormat="1" ht="18.75" x14ac:dyDescent="0.25">
      <c r="A230" s="399" t="s">
        <v>2</v>
      </c>
      <c r="B230" s="417" t="s">
        <v>24</v>
      </c>
      <c r="C230" s="398">
        <f>C200</f>
        <v>23</v>
      </c>
      <c r="D230" s="399" t="s">
        <v>35</v>
      </c>
      <c r="E230" s="528">
        <v>2200</v>
      </c>
      <c r="F230" s="486">
        <f>C230*E230</f>
        <v>50600</v>
      </c>
      <c r="G230"/>
      <c r="H230"/>
    </row>
    <row r="231" spans="1:8" s="401" customFormat="1" ht="18.75" x14ac:dyDescent="0.25">
      <c r="A231" s="399"/>
      <c r="B231" s="417"/>
      <c r="C231" s="398"/>
      <c r="D231" s="399"/>
      <c r="E231" s="528"/>
      <c r="F231" s="486"/>
      <c r="G231"/>
      <c r="H231"/>
    </row>
    <row r="232" spans="1:8" s="401" customFormat="1" ht="18.75" x14ac:dyDescent="0.25">
      <c r="A232" s="399" t="s">
        <v>4</v>
      </c>
      <c r="B232" s="398" t="s">
        <v>978</v>
      </c>
      <c r="C232" s="409">
        <f>C208</f>
        <v>0</v>
      </c>
      <c r="D232" s="399" t="s">
        <v>35</v>
      </c>
      <c r="E232" s="528">
        <f>E230</f>
        <v>2200</v>
      </c>
      <c r="F232" s="486">
        <f>C232*E232</f>
        <v>0</v>
      </c>
      <c r="G232"/>
      <c r="H232"/>
    </row>
    <row r="233" spans="1:8" s="401" customFormat="1" ht="18.75" x14ac:dyDescent="0.25">
      <c r="A233" s="399"/>
      <c r="B233" s="398"/>
      <c r="C233" s="398"/>
      <c r="D233" s="399"/>
      <c r="E233" s="528"/>
      <c r="F233" s="486"/>
      <c r="G233"/>
      <c r="H233"/>
    </row>
    <row r="234" spans="1:8" s="401" customFormat="1" ht="18.75" x14ac:dyDescent="0.25">
      <c r="A234" s="399"/>
      <c r="B234" s="398"/>
      <c r="C234" s="398"/>
      <c r="D234" s="399"/>
      <c r="E234" s="528"/>
      <c r="F234" s="486"/>
      <c r="G234"/>
      <c r="H234"/>
    </row>
    <row r="235" spans="1:8" s="401" customFormat="1" ht="18.75" x14ac:dyDescent="0.25">
      <c r="A235" s="399"/>
      <c r="B235" s="411" t="s">
        <v>520</v>
      </c>
      <c r="C235" s="411"/>
      <c r="D235" s="402"/>
      <c r="E235" s="537" t="s">
        <v>15</v>
      </c>
      <c r="F235" s="412">
        <f>SUM(F225:F233)</f>
        <v>50600</v>
      </c>
      <c r="G235"/>
      <c r="H235"/>
    </row>
    <row r="236" spans="1:8" s="401" customFormat="1" ht="18.75" x14ac:dyDescent="0.25">
      <c r="A236" s="399"/>
      <c r="B236" s="411"/>
      <c r="C236" s="411"/>
      <c r="D236" s="402"/>
      <c r="E236" s="537"/>
      <c r="F236" s="412"/>
      <c r="G236"/>
      <c r="H236"/>
    </row>
    <row r="237" spans="1:8" s="401" customFormat="1" ht="18.75" x14ac:dyDescent="0.25">
      <c r="A237" s="399"/>
      <c r="B237" s="411"/>
      <c r="C237" s="411"/>
      <c r="D237" s="402"/>
      <c r="E237" s="537"/>
      <c r="F237" s="412"/>
      <c r="G237"/>
      <c r="H237"/>
    </row>
    <row r="238" spans="1:8" s="401" customFormat="1" ht="18.75" x14ac:dyDescent="0.25">
      <c r="A238" s="399"/>
      <c r="B238" s="403" t="s">
        <v>531</v>
      </c>
      <c r="C238" s="398"/>
      <c r="D238" s="399"/>
      <c r="E238" s="528"/>
      <c r="F238" s="418"/>
      <c r="G238"/>
      <c r="H238"/>
    </row>
    <row r="239" spans="1:8" s="401" customFormat="1" ht="18.75" x14ac:dyDescent="0.25">
      <c r="A239" s="399"/>
      <c r="B239" s="410"/>
      <c r="C239" s="398"/>
      <c r="D239" s="399"/>
      <c r="E239" s="528"/>
      <c r="F239" s="418"/>
      <c r="G239"/>
      <c r="H239"/>
    </row>
    <row r="240" spans="1:8" s="401" customFormat="1" ht="18.75" x14ac:dyDescent="0.25">
      <c r="A240" s="399"/>
      <c r="B240" s="484" t="s">
        <v>980</v>
      </c>
      <c r="C240" s="398"/>
      <c r="D240" s="399"/>
      <c r="E240" s="528">
        <f>F171</f>
        <v>1379250</v>
      </c>
      <c r="F240" s="418"/>
      <c r="G240"/>
      <c r="H240"/>
    </row>
    <row r="241" spans="1:8" s="401" customFormat="1" ht="18.75" x14ac:dyDescent="0.25">
      <c r="A241" s="399"/>
      <c r="B241" s="484"/>
      <c r="C241" s="398"/>
      <c r="D241" s="399"/>
      <c r="E241" s="528"/>
      <c r="F241" s="418"/>
      <c r="G241"/>
      <c r="H241"/>
    </row>
    <row r="242" spans="1:8" s="401" customFormat="1" ht="18.75" x14ac:dyDescent="0.25">
      <c r="A242" s="399"/>
      <c r="B242" s="484" t="s">
        <v>566</v>
      </c>
      <c r="C242" s="398"/>
      <c r="D242" s="399"/>
      <c r="E242" s="528">
        <f>F223</f>
        <v>1490300</v>
      </c>
      <c r="F242" s="418"/>
      <c r="G242"/>
      <c r="H242"/>
    </row>
    <row r="243" spans="1:8" s="401" customFormat="1" ht="18.75" x14ac:dyDescent="0.25">
      <c r="A243" s="399"/>
      <c r="B243" s="484"/>
      <c r="C243" s="398"/>
      <c r="D243" s="399"/>
      <c r="E243" s="528"/>
      <c r="F243" s="400"/>
      <c r="G243"/>
      <c r="H243"/>
    </row>
    <row r="244" spans="1:8" s="401" customFormat="1" ht="18.75" x14ac:dyDescent="0.25">
      <c r="A244" s="399"/>
      <c r="B244" s="484" t="s">
        <v>567</v>
      </c>
      <c r="C244" s="398"/>
      <c r="D244" s="399"/>
      <c r="E244" s="528">
        <f>F235</f>
        <v>50600</v>
      </c>
      <c r="F244" s="418"/>
      <c r="G244"/>
      <c r="H244"/>
    </row>
    <row r="245" spans="1:8" s="401" customFormat="1" ht="18.75" x14ac:dyDescent="0.25">
      <c r="A245" s="399"/>
      <c r="B245" s="417"/>
      <c r="C245" s="398"/>
      <c r="D245" s="399"/>
      <c r="E245" s="528"/>
      <c r="F245" s="400"/>
      <c r="G245"/>
      <c r="H245"/>
    </row>
    <row r="246" spans="1:8" s="401" customFormat="1" ht="18.75" x14ac:dyDescent="0.25">
      <c r="A246" s="399"/>
      <c r="B246" s="417"/>
      <c r="C246" s="398"/>
      <c r="D246" s="399"/>
      <c r="E246" s="528"/>
      <c r="F246" s="400"/>
      <c r="G246"/>
      <c r="H246"/>
    </row>
    <row r="247" spans="1:8" s="401" customFormat="1" ht="18.75" x14ac:dyDescent="0.25">
      <c r="A247" s="399"/>
      <c r="B247" s="417"/>
      <c r="C247" s="398"/>
      <c r="D247" s="399"/>
      <c r="E247" s="528"/>
      <c r="F247" s="400"/>
      <c r="G247"/>
      <c r="H247"/>
    </row>
    <row r="248" spans="1:8" s="401" customFormat="1" ht="18.75" x14ac:dyDescent="0.25">
      <c r="A248" s="399"/>
      <c r="B248" s="417"/>
      <c r="C248" s="398"/>
      <c r="D248" s="399"/>
      <c r="E248" s="528"/>
      <c r="F248" s="400"/>
      <c r="G248"/>
      <c r="H248"/>
    </row>
    <row r="249" spans="1:8" s="401" customFormat="1" ht="18.75" x14ac:dyDescent="0.25">
      <c r="A249" s="399"/>
      <c r="B249" s="417"/>
      <c r="C249" s="398"/>
      <c r="D249" s="399"/>
      <c r="E249" s="528"/>
      <c r="F249" s="400"/>
      <c r="G249"/>
      <c r="H249"/>
    </row>
    <row r="250" spans="1:8" s="401" customFormat="1" ht="18.75" x14ac:dyDescent="0.25">
      <c r="A250" s="399"/>
      <c r="B250" s="403" t="s">
        <v>163</v>
      </c>
      <c r="C250" s="398"/>
      <c r="D250" s="399"/>
      <c r="E250" s="528"/>
      <c r="F250" s="418"/>
      <c r="G250"/>
      <c r="H250"/>
    </row>
    <row r="251" spans="1:8" s="401" customFormat="1" ht="18.75" x14ac:dyDescent="0.25">
      <c r="A251" s="399"/>
      <c r="B251" s="411" t="s">
        <v>534</v>
      </c>
      <c r="C251" s="411"/>
      <c r="D251" s="402"/>
      <c r="E251" s="537" t="s">
        <v>15</v>
      </c>
      <c r="F251" s="412">
        <f>SUM(E238:E245)</f>
        <v>2920150</v>
      </c>
      <c r="G251"/>
      <c r="H251"/>
    </row>
    <row r="252" spans="1:8" s="401" customFormat="1" ht="18.75" x14ac:dyDescent="0.25">
      <c r="A252" s="399"/>
      <c r="B252" s="403" t="s">
        <v>593</v>
      </c>
      <c r="C252" s="398"/>
      <c r="D252" s="399"/>
      <c r="E252" s="528"/>
      <c r="F252" s="400"/>
      <c r="G252"/>
      <c r="H252"/>
    </row>
    <row r="253" spans="1:8" s="401" customFormat="1" ht="18.75" x14ac:dyDescent="0.25">
      <c r="A253" s="399"/>
      <c r="B253" s="403"/>
      <c r="C253" s="398"/>
      <c r="D253" s="399"/>
      <c r="E253" s="528"/>
      <c r="F253" s="400"/>
      <c r="G253"/>
      <c r="H253"/>
    </row>
    <row r="254" spans="1:8" s="401" customFormat="1" ht="18.75" x14ac:dyDescent="0.25">
      <c r="A254" s="399"/>
      <c r="B254" s="403" t="s">
        <v>236</v>
      </c>
      <c r="C254" s="398"/>
      <c r="D254" s="399"/>
      <c r="E254" s="528"/>
      <c r="F254" s="400"/>
      <c r="G254"/>
      <c r="H254"/>
    </row>
    <row r="255" spans="1:8" s="401" customFormat="1" ht="18.75" x14ac:dyDescent="0.25">
      <c r="A255" s="399"/>
      <c r="B255" s="410" t="s">
        <v>610</v>
      </c>
      <c r="C255" s="398"/>
      <c r="D255" s="399"/>
      <c r="E255" s="528"/>
      <c r="F255" s="400"/>
      <c r="G255"/>
      <c r="H255"/>
    </row>
    <row r="256" spans="1:8" s="401" customFormat="1" ht="18.75" x14ac:dyDescent="0.25">
      <c r="A256" s="399"/>
      <c r="B256" s="398"/>
      <c r="C256" s="398"/>
      <c r="D256" s="399"/>
      <c r="E256" s="528"/>
      <c r="F256" s="400"/>
      <c r="G256"/>
      <c r="H256"/>
    </row>
    <row r="257" spans="1:8" s="401" customFormat="1" ht="18.75" x14ac:dyDescent="0.25">
      <c r="A257" s="399"/>
      <c r="B257" s="404" t="s">
        <v>283</v>
      </c>
      <c r="C257" s="398"/>
      <c r="D257" s="399"/>
      <c r="E257" s="528"/>
      <c r="F257" s="400"/>
      <c r="G257"/>
      <c r="H257"/>
    </row>
    <row r="258" spans="1:8" s="401" customFormat="1" ht="33" x14ac:dyDescent="0.25">
      <c r="A258" s="399"/>
      <c r="B258" s="414" t="s">
        <v>611</v>
      </c>
      <c r="C258" s="398"/>
      <c r="D258" s="399"/>
      <c r="E258" s="528"/>
      <c r="F258" s="400"/>
      <c r="G258"/>
      <c r="H258"/>
    </row>
    <row r="259" spans="1:8" s="401" customFormat="1" ht="18.75" x14ac:dyDescent="0.25">
      <c r="A259" s="399" t="s">
        <v>2</v>
      </c>
      <c r="B259" s="398" t="s">
        <v>612</v>
      </c>
      <c r="C259" s="407">
        <v>160</v>
      </c>
      <c r="D259" s="399" t="s">
        <v>35</v>
      </c>
      <c r="E259" s="528">
        <v>3500</v>
      </c>
      <c r="F259" s="400">
        <f>E259*C259</f>
        <v>560000</v>
      </c>
      <c r="G259"/>
      <c r="H259"/>
    </row>
    <row r="260" spans="1:8" s="401" customFormat="1" ht="33" x14ac:dyDescent="0.25">
      <c r="A260" s="399" t="s">
        <v>4</v>
      </c>
      <c r="B260" s="415" t="s">
        <v>613</v>
      </c>
      <c r="C260" s="398">
        <v>57</v>
      </c>
      <c r="D260" s="399" t="s">
        <v>22</v>
      </c>
      <c r="E260" s="528">
        <f>E259*0.3</f>
        <v>1050</v>
      </c>
      <c r="F260" s="400">
        <f>E260*C260</f>
        <v>59850</v>
      </c>
      <c r="G260"/>
      <c r="H260"/>
    </row>
    <row r="261" spans="1:8" s="401" customFormat="1" ht="18.75" x14ac:dyDescent="0.25">
      <c r="A261" s="399"/>
      <c r="B261" s="415"/>
      <c r="C261" s="398"/>
      <c r="D261" s="399"/>
      <c r="E261" s="528"/>
      <c r="F261" s="400"/>
      <c r="G261"/>
      <c r="H261"/>
    </row>
    <row r="262" spans="1:8" s="401" customFormat="1" ht="18.75" x14ac:dyDescent="0.25">
      <c r="A262" s="399"/>
      <c r="B262" s="411" t="s">
        <v>152</v>
      </c>
      <c r="C262" s="399"/>
      <c r="D262" s="399"/>
      <c r="E262" s="528"/>
      <c r="F262" s="400"/>
      <c r="G262"/>
      <c r="H262"/>
    </row>
    <row r="263" spans="1:8" s="401" customFormat="1" ht="33" x14ac:dyDescent="0.25">
      <c r="A263" s="399"/>
      <c r="B263" s="415" t="s">
        <v>619</v>
      </c>
      <c r="C263" s="398"/>
      <c r="E263" s="528"/>
      <c r="F263" s="400"/>
      <c r="G263"/>
      <c r="H263"/>
    </row>
    <row r="264" spans="1:8" s="401" customFormat="1" ht="18.75" x14ac:dyDescent="0.25">
      <c r="A264" s="399" t="s">
        <v>5</v>
      </c>
      <c r="B264" s="398" t="s">
        <v>612</v>
      </c>
      <c r="C264" s="424">
        <f>C259-C268-C269</f>
        <v>160</v>
      </c>
      <c r="D264" s="399" t="s">
        <v>35</v>
      </c>
      <c r="E264" s="528">
        <v>1500</v>
      </c>
      <c r="F264" s="400">
        <f>C264*E264</f>
        <v>240000</v>
      </c>
      <c r="G264"/>
      <c r="H264"/>
    </row>
    <row r="265" spans="1:8" s="401" customFormat="1" ht="18.75" x14ac:dyDescent="0.25">
      <c r="A265" s="399" t="s">
        <v>6</v>
      </c>
      <c r="B265" s="398" t="s">
        <v>620</v>
      </c>
      <c r="C265" s="398">
        <f>C260</f>
        <v>57</v>
      </c>
      <c r="D265" s="399" t="s">
        <v>22</v>
      </c>
      <c r="E265" s="528">
        <v>450</v>
      </c>
      <c r="F265" s="400">
        <f>C265*E265</f>
        <v>25650</v>
      </c>
      <c r="G265"/>
      <c r="H265"/>
    </row>
    <row r="266" spans="1:8" s="401" customFormat="1" ht="36" x14ac:dyDescent="0.25">
      <c r="A266" s="399"/>
      <c r="B266" s="425" t="s">
        <v>621</v>
      </c>
      <c r="C266" s="398"/>
      <c r="D266" s="399"/>
      <c r="E266" s="528"/>
      <c r="F266" s="400"/>
      <c r="G266"/>
      <c r="H266"/>
    </row>
    <row r="267" spans="1:8" s="401" customFormat="1" ht="66" x14ac:dyDescent="0.25">
      <c r="A267" s="399"/>
      <c r="B267" s="415" t="s">
        <v>928</v>
      </c>
      <c r="C267" s="398"/>
      <c r="D267" s="399"/>
      <c r="E267" s="528"/>
      <c r="F267" s="400"/>
      <c r="G267"/>
      <c r="H267"/>
    </row>
    <row r="268" spans="1:8" s="401" customFormat="1" ht="18.75" x14ac:dyDescent="0.25">
      <c r="A268" s="399" t="s">
        <v>7</v>
      </c>
      <c r="B268" s="398" t="s">
        <v>624</v>
      </c>
      <c r="C268" s="426">
        <v>0</v>
      </c>
      <c r="D268" s="399" t="s">
        <v>35</v>
      </c>
      <c r="E268" s="528">
        <v>6500</v>
      </c>
      <c r="F268" s="400">
        <f t="shared" ref="F268:F273" si="8">E268*C268</f>
        <v>0</v>
      </c>
      <c r="G268"/>
      <c r="H268"/>
    </row>
    <row r="269" spans="1:8" s="401" customFormat="1" ht="18.75" x14ac:dyDescent="0.25">
      <c r="A269" s="399" t="s">
        <v>8</v>
      </c>
      <c r="B269" s="398" t="s">
        <v>623</v>
      </c>
      <c r="C269" s="426">
        <v>0</v>
      </c>
      <c r="D269" s="399" t="s">
        <v>35</v>
      </c>
      <c r="E269" s="528">
        <v>6500</v>
      </c>
      <c r="F269" s="400">
        <f t="shared" si="8"/>
        <v>0</v>
      </c>
      <c r="G269"/>
      <c r="H269"/>
    </row>
    <row r="270" spans="1:8" s="401" customFormat="1" ht="18.75" x14ac:dyDescent="0.25">
      <c r="A270" s="399"/>
      <c r="B270" s="398"/>
      <c r="C270" s="555"/>
      <c r="D270" s="399"/>
      <c r="E270" s="528"/>
      <c r="F270" s="400"/>
      <c r="G270"/>
      <c r="H270"/>
    </row>
    <row r="271" spans="1:8" s="401" customFormat="1" ht="54" x14ac:dyDescent="0.25">
      <c r="A271" s="399"/>
      <c r="B271" s="425" t="s">
        <v>625</v>
      </c>
      <c r="C271" s="398"/>
      <c r="D271" s="399"/>
      <c r="E271" s="528"/>
      <c r="F271" s="400"/>
      <c r="G271"/>
      <c r="H271"/>
    </row>
    <row r="272" spans="1:8" s="401" customFormat="1" ht="18.75" x14ac:dyDescent="0.25">
      <c r="A272" s="399"/>
      <c r="B272" s="398" t="s">
        <v>626</v>
      </c>
      <c r="C272" s="398"/>
      <c r="D272" s="399"/>
      <c r="E272" s="528"/>
      <c r="F272" s="400"/>
      <c r="G272"/>
      <c r="H272"/>
    </row>
    <row r="273" spans="1:8" s="401" customFormat="1" ht="18.75" x14ac:dyDescent="0.25">
      <c r="A273" s="399" t="s">
        <v>9</v>
      </c>
      <c r="B273" s="398" t="s">
        <v>627</v>
      </c>
      <c r="C273" s="407">
        <f>C268+C269</f>
        <v>0</v>
      </c>
      <c r="D273" s="399" t="s">
        <v>35</v>
      </c>
      <c r="E273" s="528">
        <v>1850</v>
      </c>
      <c r="F273" s="400">
        <f t="shared" si="8"/>
        <v>0</v>
      </c>
      <c r="G273"/>
      <c r="H273"/>
    </row>
    <row r="274" spans="1:8" s="401" customFormat="1" ht="18.75" x14ac:dyDescent="0.25">
      <c r="A274" s="399"/>
      <c r="B274" s="403" t="s">
        <v>628</v>
      </c>
      <c r="C274" s="409"/>
      <c r="D274" s="399"/>
      <c r="E274" s="528"/>
      <c r="F274" s="418"/>
      <c r="G274"/>
      <c r="H274"/>
    </row>
    <row r="275" spans="1:8" s="401" customFormat="1" ht="18.75" x14ac:dyDescent="0.25">
      <c r="A275" s="399"/>
      <c r="B275" s="398" t="s">
        <v>629</v>
      </c>
      <c r="C275" s="409"/>
      <c r="D275" s="399"/>
      <c r="E275" s="528"/>
      <c r="F275" s="418"/>
      <c r="G275"/>
      <c r="H275"/>
    </row>
    <row r="276" spans="1:8" s="401" customFormat="1" ht="33" x14ac:dyDescent="0.25">
      <c r="A276" s="399"/>
      <c r="B276" s="414" t="s">
        <v>630</v>
      </c>
      <c r="C276" s="409"/>
      <c r="D276" s="399"/>
      <c r="E276" s="528"/>
      <c r="F276" s="418"/>
      <c r="G276"/>
      <c r="H276"/>
    </row>
    <row r="277" spans="1:8" s="401" customFormat="1" ht="18.75" x14ac:dyDescent="0.25">
      <c r="A277" s="399" t="s">
        <v>10</v>
      </c>
      <c r="B277" s="398" t="s">
        <v>612</v>
      </c>
      <c r="C277" s="409">
        <v>135</v>
      </c>
      <c r="D277" s="399" t="s">
        <v>35</v>
      </c>
      <c r="E277" s="528">
        <f>E259</f>
        <v>3500</v>
      </c>
      <c r="F277" s="400">
        <f>C277*E277</f>
        <v>472500</v>
      </c>
      <c r="G277"/>
      <c r="H277"/>
    </row>
    <row r="278" spans="1:8" s="401" customFormat="1" ht="33" x14ac:dyDescent="0.25">
      <c r="A278" s="399" t="s">
        <v>11</v>
      </c>
      <c r="B278" s="422" t="s">
        <v>981</v>
      </c>
      <c r="C278" s="409">
        <v>42</v>
      </c>
      <c r="D278" s="399" t="s">
        <v>22</v>
      </c>
      <c r="E278" s="528">
        <f>E260</f>
        <v>1050</v>
      </c>
      <c r="F278" s="400">
        <f>E278*C278</f>
        <v>44100</v>
      </c>
      <c r="G278"/>
      <c r="H278"/>
    </row>
    <row r="279" spans="1:8" s="401" customFormat="1" ht="18.75" x14ac:dyDescent="0.25">
      <c r="A279" s="399"/>
      <c r="B279" s="417"/>
      <c r="C279" s="409"/>
      <c r="D279" s="399"/>
      <c r="E279" s="528"/>
      <c r="F279" s="400"/>
      <c r="G279"/>
      <c r="H279"/>
    </row>
    <row r="280" spans="1:8" s="401" customFormat="1" ht="18.75" x14ac:dyDescent="0.25">
      <c r="A280" s="399"/>
      <c r="B280" s="411" t="s">
        <v>152</v>
      </c>
      <c r="C280" s="399"/>
      <c r="D280" s="399"/>
      <c r="E280" s="528"/>
      <c r="F280" s="400"/>
      <c r="G280"/>
      <c r="H280"/>
    </row>
    <row r="281" spans="1:8" s="401" customFormat="1" ht="33" x14ac:dyDescent="0.25">
      <c r="A281" s="399"/>
      <c r="B281" s="415" t="s">
        <v>619</v>
      </c>
      <c r="C281" s="398"/>
      <c r="E281" s="528"/>
      <c r="F281" s="400"/>
      <c r="G281"/>
      <c r="H281"/>
    </row>
    <row r="282" spans="1:8" s="401" customFormat="1" ht="18.75" x14ac:dyDescent="0.25">
      <c r="A282" s="399" t="s">
        <v>12</v>
      </c>
      <c r="B282" s="398" t="s">
        <v>612</v>
      </c>
      <c r="C282" s="424">
        <f>C277</f>
        <v>135</v>
      </c>
      <c r="D282" s="399" t="s">
        <v>35</v>
      </c>
      <c r="E282" s="528">
        <v>2200</v>
      </c>
      <c r="F282" s="400">
        <f>C282*E282</f>
        <v>297000</v>
      </c>
      <c r="G282"/>
      <c r="H282"/>
    </row>
    <row r="283" spans="1:8" s="401" customFormat="1" ht="18.75" x14ac:dyDescent="0.25">
      <c r="A283" s="399" t="s">
        <v>13</v>
      </c>
      <c r="B283" s="398" t="s">
        <v>620</v>
      </c>
      <c r="C283" s="409">
        <f>C278</f>
        <v>42</v>
      </c>
      <c r="D283" s="399" t="s">
        <v>22</v>
      </c>
      <c r="E283" s="528">
        <v>400</v>
      </c>
      <c r="F283" s="400">
        <f>C283*E283</f>
        <v>16800</v>
      </c>
      <c r="G283"/>
      <c r="H283"/>
    </row>
    <row r="284" spans="1:8" s="401" customFormat="1" ht="18.75" x14ac:dyDescent="0.25">
      <c r="A284" s="399"/>
      <c r="B284" s="417"/>
      <c r="C284" s="409"/>
      <c r="D284" s="399"/>
      <c r="E284" s="528"/>
      <c r="F284" s="400"/>
      <c r="G284"/>
      <c r="H284"/>
    </row>
    <row r="285" spans="1:8" s="401" customFormat="1" ht="18.75" x14ac:dyDescent="0.25">
      <c r="A285" s="399"/>
      <c r="B285" s="417"/>
      <c r="C285" s="409"/>
      <c r="D285" s="399"/>
      <c r="E285" s="528"/>
      <c r="F285" s="400"/>
      <c r="G285"/>
      <c r="H285"/>
    </row>
    <row r="286" spans="1:8" s="401" customFormat="1" ht="18.75" x14ac:dyDescent="0.25">
      <c r="A286" s="399"/>
      <c r="B286" s="417"/>
      <c r="C286" s="409"/>
      <c r="D286" s="399"/>
      <c r="E286" s="528"/>
      <c r="F286" s="400"/>
      <c r="G286"/>
      <c r="H286"/>
    </row>
    <row r="287" spans="1:8" s="401" customFormat="1" ht="18.75" x14ac:dyDescent="0.25">
      <c r="A287" s="399"/>
      <c r="B287" s="417"/>
      <c r="C287" s="409"/>
      <c r="D287" s="399"/>
      <c r="E287" s="528"/>
      <c r="F287" s="400"/>
      <c r="G287"/>
      <c r="H287"/>
    </row>
    <row r="288" spans="1:8" s="401" customFormat="1" ht="18.75" x14ac:dyDescent="0.25">
      <c r="A288" s="399"/>
      <c r="B288" s="398"/>
      <c r="C288" s="398"/>
      <c r="D288" s="399"/>
      <c r="E288" s="528"/>
      <c r="F288" s="400"/>
      <c r="G288"/>
      <c r="H288"/>
    </row>
    <row r="289" spans="1:8" s="401" customFormat="1" ht="18.75" x14ac:dyDescent="0.25">
      <c r="A289" s="399"/>
      <c r="B289" s="398"/>
      <c r="C289" s="398"/>
      <c r="D289" s="399"/>
      <c r="E289" s="528"/>
      <c r="F289" s="400"/>
      <c r="G289"/>
      <c r="H289"/>
    </row>
    <row r="290" spans="1:8" s="401" customFormat="1" ht="18.75" x14ac:dyDescent="0.25">
      <c r="A290" s="399"/>
      <c r="B290" s="398"/>
      <c r="C290" s="398"/>
      <c r="D290" s="399"/>
      <c r="E290" s="528"/>
      <c r="F290" s="400"/>
      <c r="G290"/>
      <c r="H290"/>
    </row>
    <row r="291" spans="1:8" s="401" customFormat="1" ht="18.75" x14ac:dyDescent="0.25">
      <c r="A291" s="399"/>
      <c r="B291" s="411"/>
      <c r="C291" s="411"/>
      <c r="D291" s="402"/>
      <c r="E291" s="537"/>
      <c r="F291" s="296"/>
      <c r="G291"/>
      <c r="H291"/>
    </row>
    <row r="292" spans="1:8" s="401" customFormat="1" ht="18.75" x14ac:dyDescent="0.25">
      <c r="A292" s="399"/>
      <c r="B292" s="411"/>
      <c r="C292" s="411"/>
      <c r="D292" s="402"/>
      <c r="E292" s="537"/>
      <c r="F292" s="296"/>
      <c r="G292"/>
      <c r="H292"/>
    </row>
    <row r="293" spans="1:8" s="401" customFormat="1" ht="18.75" x14ac:dyDescent="0.25">
      <c r="A293" s="399"/>
      <c r="B293" s="411"/>
      <c r="C293" s="411"/>
      <c r="D293" s="402"/>
      <c r="E293" s="537"/>
      <c r="F293" s="296"/>
      <c r="G293"/>
      <c r="H293"/>
    </row>
    <row r="294" spans="1:8" s="401" customFormat="1" ht="18.75" x14ac:dyDescent="0.25">
      <c r="A294" s="399"/>
      <c r="B294" s="411"/>
      <c r="C294" s="411"/>
      <c r="D294" s="402"/>
      <c r="E294" s="537"/>
      <c r="F294" s="296"/>
      <c r="G294"/>
      <c r="H294"/>
    </row>
    <row r="295" spans="1:8" s="401" customFormat="1" ht="18.75" x14ac:dyDescent="0.25">
      <c r="A295" s="399"/>
      <c r="B295" s="403" t="s">
        <v>236</v>
      </c>
      <c r="C295" s="411"/>
      <c r="D295" s="402"/>
      <c r="E295" s="537"/>
      <c r="F295" s="296"/>
      <c r="G295"/>
      <c r="H295"/>
    </row>
    <row r="296" spans="1:8" s="401" customFormat="1" ht="18.75" x14ac:dyDescent="0.25">
      <c r="A296" s="399"/>
      <c r="B296" s="411" t="s">
        <v>638</v>
      </c>
      <c r="C296" s="411"/>
      <c r="D296" s="402"/>
      <c r="E296" s="537" t="s">
        <v>15</v>
      </c>
      <c r="F296" s="296">
        <f>F259+F260+F264+F265+F268+F268+F273+F277+F277+F278+F282+F283</f>
        <v>2188400</v>
      </c>
      <c r="G296"/>
      <c r="H296"/>
    </row>
    <row r="297" spans="1:8" s="401" customFormat="1" ht="18.75" x14ac:dyDescent="0.25">
      <c r="A297" s="399"/>
      <c r="B297" s="403" t="s">
        <v>604</v>
      </c>
      <c r="C297" s="398"/>
      <c r="D297" s="399"/>
      <c r="E297" s="528"/>
      <c r="F297" s="400"/>
      <c r="G297"/>
      <c r="H297"/>
    </row>
    <row r="298" spans="1:8" s="401" customFormat="1" ht="18.75" x14ac:dyDescent="0.25">
      <c r="A298" s="399"/>
      <c r="B298" s="398"/>
      <c r="C298" s="398"/>
      <c r="D298" s="399"/>
      <c r="E298" s="528"/>
      <c r="F298" s="400"/>
      <c r="G298"/>
      <c r="H298"/>
    </row>
    <row r="299" spans="1:8" s="401" customFormat="1" ht="18.75" x14ac:dyDescent="0.25">
      <c r="A299" s="399"/>
      <c r="B299" s="403" t="s">
        <v>265</v>
      </c>
      <c r="C299" s="398"/>
      <c r="D299" s="399"/>
      <c r="E299" s="528"/>
      <c r="F299" s="400"/>
      <c r="G299"/>
      <c r="H299"/>
    </row>
    <row r="300" spans="1:8" s="401" customFormat="1" ht="18.75" x14ac:dyDescent="0.25">
      <c r="A300" s="399"/>
      <c r="B300" s="410" t="s">
        <v>610</v>
      </c>
      <c r="C300" s="398"/>
      <c r="D300" s="399"/>
      <c r="E300" s="528"/>
      <c r="F300" s="400"/>
      <c r="G300"/>
      <c r="H300"/>
    </row>
    <row r="301" spans="1:8" s="401" customFormat="1" ht="36" x14ac:dyDescent="0.25">
      <c r="A301" s="399"/>
      <c r="B301" s="490" t="s">
        <v>640</v>
      </c>
      <c r="C301" s="398"/>
      <c r="D301" s="399"/>
      <c r="E301" s="528"/>
      <c r="F301" s="400"/>
      <c r="G301"/>
      <c r="H301"/>
    </row>
    <row r="302" spans="1:8" s="401" customFormat="1" ht="18.75" x14ac:dyDescent="0.25">
      <c r="A302" s="399"/>
      <c r="B302" s="410"/>
      <c r="C302" s="398"/>
      <c r="D302" s="399"/>
      <c r="E302" s="528"/>
      <c r="F302" s="400"/>
      <c r="G302"/>
      <c r="H302"/>
    </row>
    <row r="303" spans="1:8" s="401" customFormat="1" ht="82.5" x14ac:dyDescent="0.25">
      <c r="A303" s="399"/>
      <c r="B303" s="413" t="s">
        <v>1121</v>
      </c>
      <c r="C303" s="398"/>
      <c r="D303" s="399"/>
      <c r="E303" s="528"/>
      <c r="F303" s="400"/>
      <c r="G303"/>
      <c r="H303"/>
    </row>
    <row r="304" spans="1:8" s="401" customFormat="1" ht="18.75" x14ac:dyDescent="0.25">
      <c r="A304" s="399"/>
      <c r="B304" s="413"/>
      <c r="C304" s="398"/>
      <c r="D304" s="399"/>
      <c r="E304" s="528"/>
      <c r="F304" s="400"/>
      <c r="G304"/>
      <c r="H304"/>
    </row>
    <row r="305" spans="1:8" s="401" customFormat="1" ht="18.75" x14ac:dyDescent="0.25">
      <c r="A305" s="399" t="s">
        <v>2</v>
      </c>
      <c r="B305" s="398" t="s">
        <v>1114</v>
      </c>
      <c r="C305" s="398">
        <v>68</v>
      </c>
      <c r="D305" s="399" t="s">
        <v>35</v>
      </c>
      <c r="E305" s="528">
        <v>9000</v>
      </c>
      <c r="F305" s="400">
        <f t="shared" ref="F305" si="9">E305*C305</f>
        <v>612000</v>
      </c>
      <c r="G305"/>
      <c r="H305"/>
    </row>
    <row r="306" spans="1:8" s="401" customFormat="1" ht="18.75" x14ac:dyDescent="0.25">
      <c r="A306" s="399"/>
      <c r="B306" s="398"/>
      <c r="C306" s="398"/>
      <c r="D306" s="399"/>
      <c r="E306" s="528"/>
      <c r="F306" s="400"/>
      <c r="G306"/>
      <c r="H306"/>
    </row>
    <row r="307" spans="1:8" s="401" customFormat="1" ht="18.75" x14ac:dyDescent="0.25">
      <c r="A307" s="399"/>
      <c r="B307" s="398"/>
      <c r="C307" s="398"/>
      <c r="D307" s="399"/>
      <c r="E307" s="528"/>
      <c r="F307" s="400"/>
      <c r="G307"/>
      <c r="H307"/>
    </row>
    <row r="308" spans="1:8" s="401" customFormat="1" ht="18.75" x14ac:dyDescent="0.25">
      <c r="A308" s="399"/>
      <c r="B308" s="398"/>
      <c r="C308" s="398"/>
      <c r="D308" s="399"/>
      <c r="E308" s="528"/>
      <c r="F308" s="400"/>
      <c r="G308"/>
      <c r="H308"/>
    </row>
    <row r="309" spans="1:8" s="401" customFormat="1" ht="18.75" x14ac:dyDescent="0.25">
      <c r="A309" s="399"/>
      <c r="B309" s="398"/>
      <c r="C309" s="398"/>
      <c r="D309" s="399"/>
      <c r="E309" s="528"/>
      <c r="F309" s="400"/>
      <c r="G309"/>
      <c r="H309"/>
    </row>
    <row r="310" spans="1:8" s="401" customFormat="1" ht="18.75" x14ac:dyDescent="0.25">
      <c r="A310" s="399"/>
      <c r="B310" s="398"/>
      <c r="C310" s="398"/>
      <c r="D310" s="399"/>
      <c r="E310" s="528"/>
      <c r="F310" s="400"/>
      <c r="G310"/>
      <c r="H310"/>
    </row>
    <row r="311" spans="1:8" s="401" customFormat="1" ht="18.75" x14ac:dyDescent="0.25">
      <c r="A311" s="399"/>
      <c r="B311" s="398"/>
      <c r="C311" s="398"/>
      <c r="D311" s="399"/>
      <c r="E311" s="528"/>
      <c r="F311" s="400"/>
      <c r="G311"/>
      <c r="H311"/>
    </row>
    <row r="312" spans="1:8" s="401" customFormat="1" ht="18.75" x14ac:dyDescent="0.25">
      <c r="A312" s="399"/>
      <c r="B312" s="398"/>
      <c r="C312" s="398"/>
      <c r="D312" s="399"/>
      <c r="E312" s="528"/>
      <c r="F312" s="400"/>
      <c r="G312"/>
      <c r="H312"/>
    </row>
    <row r="313" spans="1:8" s="401" customFormat="1" ht="18.75" x14ac:dyDescent="0.25">
      <c r="A313" s="399"/>
      <c r="B313" s="403" t="s">
        <v>265</v>
      </c>
      <c r="C313" s="398"/>
      <c r="D313" s="399"/>
      <c r="E313" s="528"/>
      <c r="F313" s="400"/>
      <c r="G313"/>
      <c r="H313"/>
    </row>
    <row r="314" spans="1:8" s="401" customFormat="1" ht="18.75" x14ac:dyDescent="0.25">
      <c r="A314" s="399"/>
      <c r="B314" s="411" t="s">
        <v>534</v>
      </c>
      <c r="C314" s="411"/>
      <c r="D314" s="402"/>
      <c r="E314" s="537" t="s">
        <v>15</v>
      </c>
      <c r="F314" s="296">
        <f>SUM(F303:F313)</f>
        <v>612000</v>
      </c>
      <c r="G314"/>
      <c r="H314"/>
    </row>
    <row r="315" spans="1:8" s="401" customFormat="1" ht="18.75" x14ac:dyDescent="0.25">
      <c r="A315" s="399"/>
      <c r="B315" s="403" t="s">
        <v>605</v>
      </c>
      <c r="C315" s="398"/>
      <c r="D315" s="399"/>
      <c r="E315" s="528"/>
      <c r="F315" s="400"/>
      <c r="G315"/>
      <c r="H315"/>
    </row>
    <row r="316" spans="1:8" s="401" customFormat="1" ht="18.75" x14ac:dyDescent="0.25">
      <c r="A316" s="399"/>
      <c r="B316" s="398"/>
      <c r="C316" s="398"/>
      <c r="D316" s="399"/>
      <c r="E316" s="528"/>
      <c r="F316" s="400"/>
      <c r="G316"/>
      <c r="H316"/>
    </row>
    <row r="317" spans="1:8" s="401" customFormat="1" ht="18.75" x14ac:dyDescent="0.25">
      <c r="A317" s="399"/>
      <c r="B317" s="403" t="s">
        <v>281</v>
      </c>
      <c r="C317" s="398"/>
      <c r="D317" s="399"/>
      <c r="E317" s="528"/>
      <c r="F317" s="400"/>
      <c r="G317"/>
      <c r="H317"/>
    </row>
    <row r="318" spans="1:8" s="401" customFormat="1" ht="18.75" x14ac:dyDescent="0.25">
      <c r="A318" s="399"/>
      <c r="B318" s="403"/>
      <c r="C318" s="398"/>
      <c r="D318" s="399"/>
      <c r="E318" s="528"/>
      <c r="F318" s="400"/>
      <c r="G318"/>
      <c r="H318"/>
    </row>
    <row r="319" spans="1:8" s="401" customFormat="1" ht="18.75" x14ac:dyDescent="0.25">
      <c r="A319" s="399"/>
      <c r="B319" s="403" t="s">
        <v>282</v>
      </c>
      <c r="C319" s="398"/>
      <c r="D319" s="399"/>
      <c r="E319" s="528"/>
      <c r="F319" s="400"/>
      <c r="G319"/>
      <c r="H319"/>
    </row>
    <row r="320" spans="1:8" s="401" customFormat="1" ht="18.75" x14ac:dyDescent="0.25">
      <c r="A320" s="399"/>
      <c r="B320" s="403"/>
      <c r="C320" s="398"/>
      <c r="D320" s="399"/>
      <c r="E320" s="528"/>
      <c r="F320" s="400"/>
      <c r="G320"/>
      <c r="H320"/>
    </row>
    <row r="321" spans="1:8" s="401" customFormat="1" ht="18.75" x14ac:dyDescent="0.25">
      <c r="A321" s="399"/>
      <c r="B321" s="411" t="s">
        <v>954</v>
      </c>
      <c r="C321" s="407"/>
      <c r="D321" s="399"/>
      <c r="E321" s="528"/>
      <c r="F321" s="486"/>
      <c r="G321"/>
      <c r="H321"/>
    </row>
    <row r="322" spans="1:8" s="401" customFormat="1" ht="18.75" x14ac:dyDescent="0.25">
      <c r="A322" s="399"/>
      <c r="B322" s="398" t="s">
        <v>1122</v>
      </c>
      <c r="C322" s="398"/>
      <c r="D322" s="399"/>
      <c r="E322" s="528"/>
      <c r="F322" s="486"/>
      <c r="G322"/>
      <c r="H322"/>
    </row>
    <row r="323" spans="1:8" s="401" customFormat="1" ht="18.75" x14ac:dyDescent="0.25">
      <c r="A323" s="399" t="s">
        <v>2</v>
      </c>
      <c r="B323" s="398" t="s">
        <v>956</v>
      </c>
      <c r="C323" s="407">
        <v>68</v>
      </c>
      <c r="D323" s="399" t="s">
        <v>35</v>
      </c>
      <c r="E323" s="528">
        <v>9000</v>
      </c>
      <c r="F323" s="400">
        <f>C323*E323</f>
        <v>612000</v>
      </c>
      <c r="G323"/>
      <c r="H323"/>
    </row>
    <row r="324" spans="1:8" s="401" customFormat="1" ht="18.75" x14ac:dyDescent="0.25">
      <c r="A324" s="399"/>
      <c r="B324" s="398"/>
      <c r="C324" s="407"/>
      <c r="D324" s="399"/>
      <c r="E324" s="528"/>
      <c r="F324" s="400"/>
      <c r="G324"/>
      <c r="H324"/>
    </row>
    <row r="325" spans="1:8" s="401" customFormat="1" ht="36" x14ac:dyDescent="0.25">
      <c r="A325" s="399"/>
      <c r="B325" s="425" t="s">
        <v>653</v>
      </c>
      <c r="C325" s="398"/>
      <c r="D325" s="399"/>
      <c r="E325" s="528"/>
      <c r="F325" s="486"/>
      <c r="G325"/>
      <c r="H325"/>
    </row>
    <row r="326" spans="1:8" s="401" customFormat="1" ht="18.75" x14ac:dyDescent="0.25">
      <c r="A326" s="399"/>
      <c r="B326" s="492" t="s">
        <v>654</v>
      </c>
      <c r="C326" s="398"/>
      <c r="D326" s="399"/>
      <c r="E326" s="528"/>
      <c r="F326" s="400"/>
      <c r="G326"/>
      <c r="H326"/>
    </row>
    <row r="327" spans="1:8" s="401" customFormat="1" ht="18.75" x14ac:dyDescent="0.25">
      <c r="A327" s="399" t="s">
        <v>4</v>
      </c>
      <c r="B327" s="398" t="s">
        <v>287</v>
      </c>
      <c r="C327" s="493">
        <f>C323*3.6</f>
        <v>244.8</v>
      </c>
      <c r="D327" s="399" t="s">
        <v>22</v>
      </c>
      <c r="E327" s="528">
        <v>400</v>
      </c>
      <c r="F327" s="400">
        <f>E327*C327</f>
        <v>97920</v>
      </c>
      <c r="G327"/>
      <c r="H327"/>
    </row>
    <row r="328" spans="1:8" s="401" customFormat="1" ht="18.75" x14ac:dyDescent="0.25">
      <c r="A328" s="399"/>
      <c r="B328" s="411" t="s">
        <v>152</v>
      </c>
      <c r="C328" s="407"/>
      <c r="D328" s="399"/>
      <c r="E328" s="528"/>
      <c r="F328" s="486"/>
      <c r="G328"/>
      <c r="H328"/>
    </row>
    <row r="329" spans="1:8" s="401" customFormat="1" ht="33" x14ac:dyDescent="0.25">
      <c r="A329" s="399"/>
      <c r="B329" s="415" t="s">
        <v>655</v>
      </c>
      <c r="C329" s="407"/>
      <c r="D329" s="399"/>
      <c r="E329" s="528"/>
      <c r="F329" s="486"/>
      <c r="G329"/>
      <c r="H329"/>
    </row>
    <row r="330" spans="1:8" s="401" customFormat="1" ht="18.75" x14ac:dyDescent="0.25">
      <c r="A330" s="399" t="s">
        <v>5</v>
      </c>
      <c r="B330" s="398" t="s">
        <v>957</v>
      </c>
      <c r="C330" s="407"/>
      <c r="D330" s="399" t="s">
        <v>35</v>
      </c>
      <c r="E330" s="528">
        <v>2200</v>
      </c>
      <c r="F330" s="400">
        <f>C330*E330</f>
        <v>0</v>
      </c>
      <c r="G330"/>
      <c r="H330"/>
    </row>
    <row r="331" spans="1:8" s="401" customFormat="1" ht="18.75" x14ac:dyDescent="0.25">
      <c r="A331" s="399"/>
      <c r="B331" s="398"/>
      <c r="C331" s="398"/>
      <c r="D331" s="399"/>
      <c r="E331" s="528"/>
      <c r="F331" s="486"/>
      <c r="G331"/>
      <c r="H331"/>
    </row>
    <row r="332" spans="1:8" s="401" customFormat="1" ht="18.75" x14ac:dyDescent="0.25">
      <c r="A332" s="399"/>
      <c r="B332" s="398"/>
      <c r="C332" s="398"/>
      <c r="D332" s="399"/>
      <c r="E332" s="528"/>
      <c r="F332" s="486"/>
      <c r="G332"/>
      <c r="H332"/>
    </row>
    <row r="333" spans="1:8" s="401" customFormat="1" ht="18.75" x14ac:dyDescent="0.25">
      <c r="A333" s="399"/>
      <c r="B333" s="398"/>
      <c r="C333" s="398"/>
      <c r="D333" s="399"/>
      <c r="E333" s="528"/>
      <c r="F333" s="486"/>
      <c r="G333"/>
      <c r="H333"/>
    </row>
    <row r="334" spans="1:8" s="401" customFormat="1" ht="18.75" x14ac:dyDescent="0.25">
      <c r="A334" s="399"/>
      <c r="B334" s="398"/>
      <c r="C334" s="398"/>
      <c r="D334" s="399"/>
      <c r="E334" s="528"/>
      <c r="F334" s="486"/>
      <c r="G334"/>
      <c r="H334"/>
    </row>
    <row r="335" spans="1:8" s="401" customFormat="1" ht="18.75" x14ac:dyDescent="0.25">
      <c r="A335" s="399"/>
      <c r="B335" s="398"/>
      <c r="C335" s="398"/>
      <c r="D335" s="399"/>
      <c r="E335" s="528"/>
      <c r="F335" s="486"/>
      <c r="G335"/>
      <c r="H335"/>
    </row>
    <row r="336" spans="1:8" s="401" customFormat="1" ht="18.75" x14ac:dyDescent="0.25">
      <c r="A336" s="399"/>
      <c r="B336" s="398"/>
      <c r="C336" s="398"/>
      <c r="D336" s="399"/>
      <c r="E336" s="528"/>
      <c r="F336" s="486"/>
      <c r="G336"/>
      <c r="H336"/>
    </row>
    <row r="337" spans="1:8" s="401" customFormat="1" ht="18.75" x14ac:dyDescent="0.25">
      <c r="A337" s="399"/>
      <c r="B337" s="398"/>
      <c r="C337" s="398"/>
      <c r="D337" s="399"/>
      <c r="E337" s="528"/>
      <c r="F337" s="486"/>
      <c r="G337"/>
      <c r="H337"/>
    </row>
    <row r="338" spans="1:8" s="401" customFormat="1" ht="18.75" x14ac:dyDescent="0.25">
      <c r="A338" s="399"/>
      <c r="B338" s="398"/>
      <c r="C338" s="398"/>
      <c r="D338" s="399"/>
      <c r="E338" s="528"/>
      <c r="F338" s="486"/>
      <c r="G338"/>
      <c r="H338"/>
    </row>
    <row r="339" spans="1:8" s="401" customFormat="1" ht="16.5" x14ac:dyDescent="0.25">
      <c r="A339" s="399"/>
      <c r="B339" s="410"/>
      <c r="C339" s="398"/>
      <c r="D339" s="399"/>
      <c r="E339" s="528"/>
      <c r="F339" s="494"/>
      <c r="G339"/>
      <c r="H339"/>
    </row>
    <row r="340" spans="1:8" s="401" customFormat="1" ht="16.5" x14ac:dyDescent="0.25">
      <c r="A340" s="399"/>
      <c r="B340" s="398"/>
      <c r="C340" s="398"/>
      <c r="D340" s="399"/>
      <c r="E340" s="528"/>
      <c r="F340" s="494"/>
      <c r="G340"/>
      <c r="H340"/>
    </row>
    <row r="341" spans="1:8" s="401" customFormat="1" ht="18.75" x14ac:dyDescent="0.25">
      <c r="A341" s="399"/>
      <c r="B341" s="406"/>
      <c r="C341" s="398"/>
      <c r="D341" s="399"/>
      <c r="E341" s="528"/>
      <c r="F341" s="486"/>
      <c r="G341"/>
      <c r="H341"/>
    </row>
    <row r="342" spans="1:8" s="401" customFormat="1" ht="18.75" x14ac:dyDescent="0.25">
      <c r="A342" s="399"/>
      <c r="B342" s="406"/>
      <c r="C342" s="398"/>
      <c r="D342" s="399"/>
      <c r="E342" s="528"/>
      <c r="F342" s="486"/>
      <c r="G342"/>
      <c r="H342"/>
    </row>
    <row r="343" spans="1:8" s="401" customFormat="1" ht="18.75" x14ac:dyDescent="0.25">
      <c r="A343" s="399"/>
      <c r="B343" s="406"/>
      <c r="C343" s="398"/>
      <c r="D343" s="399"/>
      <c r="E343" s="528"/>
      <c r="F343" s="486"/>
      <c r="G343"/>
      <c r="H343"/>
    </row>
    <row r="344" spans="1:8" s="401" customFormat="1" ht="18.75" x14ac:dyDescent="0.25">
      <c r="A344" s="399"/>
      <c r="B344" s="406"/>
      <c r="C344" s="398"/>
      <c r="D344" s="399"/>
      <c r="E344" s="528"/>
      <c r="F344" s="486"/>
      <c r="G344"/>
      <c r="H344"/>
    </row>
    <row r="345" spans="1:8" s="401" customFormat="1" ht="18.75" x14ac:dyDescent="0.25">
      <c r="A345" s="399"/>
      <c r="B345" s="406"/>
      <c r="C345" s="398"/>
      <c r="D345" s="399"/>
      <c r="E345" s="528"/>
      <c r="F345" s="486"/>
      <c r="G345"/>
      <c r="H345"/>
    </row>
    <row r="346" spans="1:8" s="401" customFormat="1" ht="18.75" x14ac:dyDescent="0.25">
      <c r="A346" s="399"/>
      <c r="B346" s="406"/>
      <c r="C346" s="398"/>
      <c r="D346" s="399"/>
      <c r="E346" s="528"/>
      <c r="F346" s="486"/>
      <c r="G346"/>
      <c r="H346"/>
    </row>
    <row r="347" spans="1:8" s="401" customFormat="1" ht="18.75" x14ac:dyDescent="0.25">
      <c r="A347" s="399"/>
      <c r="B347" s="403" t="s">
        <v>281</v>
      </c>
      <c r="C347" s="411"/>
      <c r="D347" s="402"/>
      <c r="E347" s="537"/>
      <c r="F347" s="429"/>
      <c r="G347"/>
      <c r="H347"/>
    </row>
    <row r="348" spans="1:8" s="401" customFormat="1" ht="18.75" x14ac:dyDescent="0.25">
      <c r="A348" s="399"/>
      <c r="B348" s="411" t="s">
        <v>534</v>
      </c>
      <c r="C348" s="411"/>
      <c r="D348" s="402"/>
      <c r="E348" s="537" t="s">
        <v>15</v>
      </c>
      <c r="F348" s="296">
        <f>SUM(F321:F347)</f>
        <v>709920</v>
      </c>
      <c r="G348"/>
      <c r="H348"/>
    </row>
    <row r="349" spans="1:8" s="401" customFormat="1" ht="18.75" x14ac:dyDescent="0.25">
      <c r="A349" s="399"/>
      <c r="B349" s="398"/>
      <c r="C349" s="398"/>
      <c r="D349" s="399"/>
      <c r="E349" s="528"/>
      <c r="F349" s="400"/>
      <c r="G349"/>
      <c r="H349"/>
    </row>
    <row r="350" spans="1:8" s="401" customFormat="1" ht="18.75" x14ac:dyDescent="0.25">
      <c r="A350" s="399"/>
      <c r="B350" s="403" t="s">
        <v>608</v>
      </c>
      <c r="C350" s="411"/>
      <c r="D350" s="402"/>
      <c r="E350" s="537"/>
      <c r="F350" s="296"/>
      <c r="G350"/>
      <c r="H350"/>
    </row>
    <row r="351" spans="1:8" s="401" customFormat="1" ht="18.75" x14ac:dyDescent="0.25">
      <c r="A351" s="399"/>
      <c r="B351" s="403" t="s">
        <v>657</v>
      </c>
      <c r="C351" s="411"/>
      <c r="D351" s="402"/>
      <c r="E351" s="537"/>
      <c r="F351" s="296"/>
      <c r="G351"/>
      <c r="H351"/>
    </row>
    <row r="352" spans="1:8" s="401" customFormat="1" ht="16.5" x14ac:dyDescent="0.3">
      <c r="A352" s="495"/>
      <c r="B352" s="496" t="s">
        <v>940</v>
      </c>
      <c r="C352" s="398"/>
      <c r="D352" s="495"/>
      <c r="E352" s="556"/>
      <c r="F352" s="496"/>
      <c r="G352"/>
      <c r="H352"/>
    </row>
    <row r="353" spans="1:8" s="401" customFormat="1" ht="16.5" x14ac:dyDescent="0.3">
      <c r="A353" s="495"/>
      <c r="B353" s="496"/>
      <c r="C353" s="398"/>
      <c r="D353" s="495"/>
      <c r="E353" s="556"/>
      <c r="F353" s="496"/>
      <c r="G353"/>
      <c r="H353"/>
    </row>
    <row r="354" spans="1:8" s="401" customFormat="1" ht="33" x14ac:dyDescent="0.3">
      <c r="A354" s="495" t="s">
        <v>2</v>
      </c>
      <c r="B354" s="423" t="s">
        <v>982</v>
      </c>
      <c r="C354" s="398"/>
      <c r="D354" s="495" t="s">
        <v>401</v>
      </c>
      <c r="E354" s="556"/>
      <c r="F354" s="400">
        <v>100000</v>
      </c>
      <c r="G354"/>
      <c r="H354"/>
    </row>
    <row r="355" spans="1:8" s="401" customFormat="1" ht="16.5" x14ac:dyDescent="0.3">
      <c r="A355" s="495"/>
      <c r="B355" s="496"/>
      <c r="C355" s="398"/>
      <c r="D355" s="495"/>
      <c r="E355" s="556"/>
      <c r="F355" s="496"/>
      <c r="G355"/>
      <c r="H355"/>
    </row>
    <row r="356" spans="1:8" s="401" customFormat="1" ht="16.5" x14ac:dyDescent="0.3">
      <c r="A356" s="495"/>
      <c r="B356" s="496"/>
      <c r="C356" s="398"/>
      <c r="D356" s="495"/>
      <c r="E356" s="556"/>
      <c r="F356" s="496"/>
      <c r="G356"/>
      <c r="H356"/>
    </row>
    <row r="357" spans="1:8" s="401" customFormat="1" ht="16.5" x14ac:dyDescent="0.3">
      <c r="A357" s="495"/>
      <c r="B357" s="496"/>
      <c r="C357" s="398"/>
      <c r="D357" s="495"/>
      <c r="E357" s="556"/>
      <c r="F357" s="496"/>
      <c r="G357"/>
      <c r="H357"/>
    </row>
    <row r="358" spans="1:8" s="401" customFormat="1" ht="16.5" x14ac:dyDescent="0.3">
      <c r="A358" s="495"/>
      <c r="B358" s="496"/>
      <c r="C358" s="398"/>
      <c r="D358" s="495"/>
      <c r="E358" s="556"/>
      <c r="F358" s="496"/>
      <c r="G358"/>
      <c r="H358"/>
    </row>
    <row r="359" spans="1:8" s="401" customFormat="1" ht="16.5" x14ac:dyDescent="0.3">
      <c r="A359" s="495"/>
      <c r="B359" s="496"/>
      <c r="C359" s="398"/>
      <c r="D359" s="495"/>
      <c r="E359" s="556"/>
      <c r="F359" s="496"/>
      <c r="G359"/>
      <c r="H359"/>
    </row>
    <row r="360" spans="1:8" s="401" customFormat="1" ht="18.75" x14ac:dyDescent="0.3">
      <c r="A360" s="495"/>
      <c r="B360" s="496"/>
      <c r="C360" s="398"/>
      <c r="D360" s="495"/>
      <c r="E360" s="556"/>
      <c r="F360" s="400"/>
      <c r="G360"/>
      <c r="H360"/>
    </row>
    <row r="361" spans="1:8" s="401" customFormat="1" ht="18.75" x14ac:dyDescent="0.3">
      <c r="A361" s="495"/>
      <c r="B361" s="496"/>
      <c r="C361" s="398"/>
      <c r="D361" s="495"/>
      <c r="E361" s="556"/>
      <c r="F361" s="400"/>
      <c r="G361"/>
      <c r="H361"/>
    </row>
    <row r="362" spans="1:8" s="401" customFormat="1" ht="18.75" x14ac:dyDescent="0.3">
      <c r="A362" s="495"/>
      <c r="B362" s="496"/>
      <c r="C362" s="398"/>
      <c r="D362" s="495"/>
      <c r="E362" s="556"/>
      <c r="F362" s="400"/>
      <c r="G362"/>
      <c r="H362"/>
    </row>
    <row r="363" spans="1:8" s="401" customFormat="1" ht="18.75" x14ac:dyDescent="0.3">
      <c r="A363" s="495"/>
      <c r="B363" s="496"/>
      <c r="C363" s="398"/>
      <c r="D363" s="495"/>
      <c r="E363" s="556"/>
      <c r="F363" s="400"/>
      <c r="G363"/>
      <c r="H363"/>
    </row>
    <row r="364" spans="1:8" s="401" customFormat="1" ht="18.75" x14ac:dyDescent="0.3">
      <c r="A364" s="495"/>
      <c r="B364" s="496"/>
      <c r="C364" s="398"/>
      <c r="D364" s="495"/>
      <c r="E364" s="556"/>
      <c r="F364" s="400"/>
      <c r="G364"/>
      <c r="H364"/>
    </row>
    <row r="365" spans="1:8" s="401" customFormat="1" ht="18.75" x14ac:dyDescent="0.3">
      <c r="A365" s="495"/>
      <c r="B365" s="496"/>
      <c r="C365" s="398"/>
      <c r="D365" s="495"/>
      <c r="E365" s="556"/>
      <c r="F365" s="400"/>
      <c r="G365"/>
      <c r="H365"/>
    </row>
    <row r="366" spans="1:8" s="401" customFormat="1" ht="18.75" x14ac:dyDescent="0.3">
      <c r="A366" s="495"/>
      <c r="B366" s="496"/>
      <c r="C366" s="398"/>
      <c r="D366" s="495"/>
      <c r="E366" s="556"/>
      <c r="F366" s="400"/>
      <c r="G366"/>
      <c r="H366"/>
    </row>
    <row r="367" spans="1:8" s="401" customFormat="1" ht="18.75" x14ac:dyDescent="0.3">
      <c r="A367" s="495"/>
      <c r="B367" s="496"/>
      <c r="C367" s="484"/>
      <c r="D367" s="495"/>
      <c r="E367" s="556"/>
      <c r="F367" s="400"/>
      <c r="G367"/>
      <c r="H367"/>
    </row>
    <row r="368" spans="1:8" s="401" customFormat="1" ht="18.75" x14ac:dyDescent="0.3">
      <c r="A368" s="495"/>
      <c r="B368" s="496"/>
      <c r="C368" s="497"/>
      <c r="D368" s="495"/>
      <c r="E368" s="556"/>
      <c r="F368" s="400"/>
      <c r="G368"/>
      <c r="H368"/>
    </row>
    <row r="369" spans="1:8" s="401" customFormat="1" ht="18.75" x14ac:dyDescent="0.3">
      <c r="A369" s="495"/>
      <c r="B369" s="496"/>
      <c r="C369" s="497"/>
      <c r="D369" s="495"/>
      <c r="E369" s="556"/>
      <c r="F369" s="400"/>
      <c r="G369"/>
      <c r="H369"/>
    </row>
    <row r="370" spans="1:8" s="401" customFormat="1" ht="18.75" x14ac:dyDescent="0.3">
      <c r="A370" s="495"/>
      <c r="B370" s="403" t="s">
        <v>657</v>
      </c>
      <c r="C370" s="484"/>
      <c r="D370" s="495"/>
      <c r="E370" s="556"/>
      <c r="F370" s="400"/>
      <c r="G370"/>
      <c r="H370"/>
    </row>
    <row r="371" spans="1:8" s="401" customFormat="1" ht="18" x14ac:dyDescent="0.35">
      <c r="A371" s="495"/>
      <c r="B371" s="411" t="s">
        <v>520</v>
      </c>
      <c r="C371" s="398"/>
      <c r="D371" s="495"/>
      <c r="E371" s="557" t="s">
        <v>15</v>
      </c>
      <c r="F371" s="498">
        <f>F354</f>
        <v>100000</v>
      </c>
      <c r="G371"/>
      <c r="H371"/>
    </row>
    <row r="372" spans="1:8" s="401" customFormat="1" ht="18.75" x14ac:dyDescent="0.25">
      <c r="A372" s="399"/>
      <c r="B372" s="403" t="s">
        <v>609</v>
      </c>
      <c r="C372" s="398"/>
      <c r="D372" s="399"/>
      <c r="E372" s="528"/>
      <c r="F372" s="400"/>
      <c r="G372"/>
      <c r="H372"/>
    </row>
    <row r="373" spans="1:8" s="401" customFormat="1" ht="18.75" x14ac:dyDescent="0.25">
      <c r="A373" s="399"/>
      <c r="B373" s="398"/>
      <c r="C373" s="398"/>
      <c r="D373" s="399"/>
      <c r="E373" s="528"/>
      <c r="F373" s="400"/>
      <c r="G373"/>
      <c r="H373"/>
    </row>
    <row r="374" spans="1:8" s="401" customFormat="1" ht="18.75" x14ac:dyDescent="0.25">
      <c r="A374" s="399"/>
      <c r="B374" s="499" t="s">
        <v>659</v>
      </c>
      <c r="C374" s="398"/>
      <c r="D374" s="399"/>
      <c r="E374" s="528"/>
      <c r="F374" s="400"/>
      <c r="G374"/>
      <c r="H374"/>
    </row>
    <row r="375" spans="1:8" s="401" customFormat="1" ht="18.75" x14ac:dyDescent="0.25">
      <c r="A375" s="399"/>
      <c r="B375" s="398"/>
      <c r="C375" s="398"/>
      <c r="D375" s="399"/>
      <c r="E375" s="528"/>
      <c r="F375" s="400"/>
      <c r="G375"/>
      <c r="H375"/>
    </row>
    <row r="376" spans="1:8" s="401" customFormat="1" ht="33" x14ac:dyDescent="0.3">
      <c r="A376" s="399" t="s">
        <v>2</v>
      </c>
      <c r="B376" s="423" t="s">
        <v>958</v>
      </c>
      <c r="C376" s="398"/>
      <c r="D376" s="495" t="s">
        <v>401</v>
      </c>
      <c r="E376" s="528"/>
      <c r="F376" s="400">
        <v>250000</v>
      </c>
      <c r="G376"/>
      <c r="H376"/>
    </row>
    <row r="377" spans="1:8" s="401" customFormat="1" ht="18.75" x14ac:dyDescent="0.25">
      <c r="A377" s="399"/>
      <c r="B377" s="398"/>
      <c r="C377" s="398"/>
      <c r="D377" s="399"/>
      <c r="E377" s="528"/>
      <c r="F377" s="400"/>
      <c r="G377"/>
      <c r="H377"/>
    </row>
    <row r="378" spans="1:8" s="401" customFormat="1" ht="18.75" x14ac:dyDescent="0.25">
      <c r="A378" s="399"/>
      <c r="B378" s="398"/>
      <c r="C378" s="398"/>
      <c r="D378" s="399"/>
      <c r="E378" s="528"/>
      <c r="F378" s="400"/>
      <c r="G378"/>
      <c r="H378"/>
    </row>
    <row r="379" spans="1:8" s="401" customFormat="1" ht="18.75" x14ac:dyDescent="0.25">
      <c r="A379" s="399"/>
      <c r="B379" s="398"/>
      <c r="C379" s="398"/>
      <c r="D379" s="399"/>
      <c r="E379" s="528"/>
      <c r="F379" s="400"/>
      <c r="G379"/>
      <c r="H379"/>
    </row>
    <row r="380" spans="1:8" s="401" customFormat="1" ht="18.75" x14ac:dyDescent="0.25">
      <c r="A380" s="399"/>
      <c r="B380" s="398"/>
      <c r="C380" s="398"/>
      <c r="D380" s="399"/>
      <c r="E380" s="528"/>
      <c r="F380" s="400"/>
      <c r="G380"/>
      <c r="H380"/>
    </row>
    <row r="381" spans="1:8" s="401" customFormat="1" ht="18.75" x14ac:dyDescent="0.25">
      <c r="A381" s="399"/>
      <c r="B381" s="398"/>
      <c r="C381" s="398"/>
      <c r="D381" s="399"/>
      <c r="E381" s="528"/>
      <c r="F381" s="400"/>
      <c r="G381"/>
      <c r="H381"/>
    </row>
    <row r="382" spans="1:8" s="401" customFormat="1" ht="18.75" x14ac:dyDescent="0.25">
      <c r="A382" s="399"/>
      <c r="B382" s="398"/>
      <c r="C382" s="398"/>
      <c r="D382" s="399"/>
      <c r="E382" s="528"/>
      <c r="F382" s="400"/>
      <c r="G382"/>
      <c r="H382"/>
    </row>
    <row r="383" spans="1:8" s="401" customFormat="1" ht="18.75" x14ac:dyDescent="0.25">
      <c r="A383" s="399"/>
      <c r="B383" s="398"/>
      <c r="C383" s="398"/>
      <c r="D383" s="399"/>
      <c r="E383" s="528"/>
      <c r="F383" s="400"/>
      <c r="G383"/>
      <c r="H383"/>
    </row>
    <row r="384" spans="1:8" s="401" customFormat="1" ht="18.75" x14ac:dyDescent="0.25">
      <c r="A384" s="399"/>
      <c r="B384" s="398"/>
      <c r="C384" s="398"/>
      <c r="D384" s="399"/>
      <c r="E384" s="528"/>
      <c r="F384" s="400"/>
      <c r="G384"/>
      <c r="H384"/>
    </row>
    <row r="385" spans="1:8" s="401" customFormat="1" ht="18.75" x14ac:dyDescent="0.25">
      <c r="A385" s="399"/>
      <c r="B385" s="398"/>
      <c r="C385" s="398"/>
      <c r="D385" s="399"/>
      <c r="E385" s="528"/>
      <c r="F385" s="400"/>
      <c r="G385"/>
      <c r="H385"/>
    </row>
    <row r="386" spans="1:8" s="401" customFormat="1" ht="18.75" x14ac:dyDescent="0.25">
      <c r="A386" s="399"/>
      <c r="B386" s="398"/>
      <c r="C386" s="398"/>
      <c r="D386" s="399"/>
      <c r="E386" s="528"/>
      <c r="F386" s="400"/>
      <c r="G386"/>
      <c r="H386"/>
    </row>
    <row r="387" spans="1:8" s="401" customFormat="1" ht="18.75" x14ac:dyDescent="0.25">
      <c r="A387" s="399"/>
      <c r="B387" s="398"/>
      <c r="C387" s="398"/>
      <c r="D387" s="399"/>
      <c r="E387" s="528"/>
      <c r="F387" s="400"/>
      <c r="G387"/>
      <c r="H387"/>
    </row>
    <row r="388" spans="1:8" s="401" customFormat="1" ht="18.75" x14ac:dyDescent="0.25">
      <c r="A388" s="399"/>
      <c r="B388" s="398"/>
      <c r="C388" s="398"/>
      <c r="D388" s="399"/>
      <c r="E388" s="528"/>
      <c r="F388" s="400"/>
      <c r="G388"/>
      <c r="H388"/>
    </row>
    <row r="389" spans="1:8" s="401" customFormat="1" ht="18.75" x14ac:dyDescent="0.25">
      <c r="A389" s="399"/>
      <c r="B389" s="398"/>
      <c r="C389" s="398"/>
      <c r="D389" s="399"/>
      <c r="E389" s="528"/>
      <c r="F389" s="400"/>
      <c r="G389"/>
      <c r="H389"/>
    </row>
    <row r="390" spans="1:8" s="401" customFormat="1" ht="18.75" x14ac:dyDescent="0.25">
      <c r="A390" s="399"/>
      <c r="B390" s="398"/>
      <c r="C390" s="398"/>
      <c r="D390" s="399"/>
      <c r="E390" s="528"/>
      <c r="F390" s="400"/>
      <c r="G390"/>
      <c r="H390"/>
    </row>
    <row r="391" spans="1:8" s="401" customFormat="1" ht="18.75" x14ac:dyDescent="0.25">
      <c r="A391" s="399"/>
      <c r="B391" s="398"/>
      <c r="C391" s="398"/>
      <c r="D391" s="399"/>
      <c r="E391" s="528"/>
      <c r="F391" s="400"/>
      <c r="G391"/>
      <c r="H391"/>
    </row>
    <row r="392" spans="1:8" s="401" customFormat="1" ht="18.75" x14ac:dyDescent="0.25">
      <c r="A392" s="399"/>
      <c r="B392" s="398"/>
      <c r="C392" s="398"/>
      <c r="D392" s="399"/>
      <c r="E392" s="528"/>
      <c r="F392" s="400"/>
      <c r="G392"/>
      <c r="H392"/>
    </row>
    <row r="393" spans="1:8" s="401" customFormat="1" ht="18.75" x14ac:dyDescent="0.25">
      <c r="A393" s="399"/>
      <c r="B393" s="398"/>
      <c r="C393" s="398"/>
      <c r="D393" s="399"/>
      <c r="E393" s="528"/>
      <c r="F393" s="400"/>
      <c r="G393"/>
      <c r="H393"/>
    </row>
    <row r="394" spans="1:8" s="401" customFormat="1" ht="18.75" x14ac:dyDescent="0.25">
      <c r="A394" s="399"/>
      <c r="B394" s="398"/>
      <c r="C394" s="398"/>
      <c r="D394" s="399"/>
      <c r="E394" s="528"/>
      <c r="F394" s="400"/>
      <c r="G394"/>
      <c r="H394"/>
    </row>
    <row r="395" spans="1:8" s="401" customFormat="1" ht="18.75" x14ac:dyDescent="0.25">
      <c r="A395" s="399"/>
      <c r="B395" s="398"/>
      <c r="C395" s="398"/>
      <c r="D395" s="399"/>
      <c r="E395" s="528"/>
      <c r="F395" s="400"/>
      <c r="G395"/>
      <c r="H395"/>
    </row>
    <row r="396" spans="1:8" s="401" customFormat="1" ht="18.75" x14ac:dyDescent="0.25">
      <c r="A396" s="399"/>
      <c r="B396" s="499" t="s">
        <v>659</v>
      </c>
      <c r="C396" s="398"/>
      <c r="D396" s="399"/>
      <c r="E396" s="528"/>
      <c r="F396" s="400"/>
      <c r="G396"/>
      <c r="H396"/>
    </row>
    <row r="397" spans="1:8" s="401" customFormat="1" ht="18" x14ac:dyDescent="0.35">
      <c r="A397" s="495"/>
      <c r="B397" s="411" t="s">
        <v>520</v>
      </c>
      <c r="C397" s="398"/>
      <c r="D397" s="495"/>
      <c r="E397" s="557" t="s">
        <v>15</v>
      </c>
      <c r="F397" s="558">
        <f>F376</f>
        <v>250000</v>
      </c>
      <c r="G397"/>
      <c r="H397"/>
    </row>
    <row r="398" spans="1:8" s="401" customFormat="1" ht="18.75" x14ac:dyDescent="0.25">
      <c r="A398" s="399"/>
      <c r="B398" s="411"/>
      <c r="C398" s="411"/>
      <c r="D398" s="402"/>
      <c r="E398" s="537"/>
      <c r="F398" s="420"/>
      <c r="G398"/>
      <c r="H398"/>
    </row>
    <row r="399" spans="1:8" s="401" customFormat="1" ht="18.75" x14ac:dyDescent="0.25">
      <c r="A399" s="399"/>
      <c r="B399" s="403"/>
      <c r="C399" s="398"/>
      <c r="D399" s="399"/>
      <c r="E399" s="528"/>
      <c r="F399" s="418"/>
      <c r="G399"/>
      <c r="H399"/>
    </row>
    <row r="400" spans="1:8" s="401" customFormat="1" ht="18.75" x14ac:dyDescent="0.25">
      <c r="A400" s="399"/>
      <c r="B400" s="404" t="s">
        <v>450</v>
      </c>
      <c r="C400" s="398"/>
      <c r="D400" s="399"/>
      <c r="E400" s="528"/>
      <c r="F400" s="400"/>
      <c r="G400"/>
      <c r="H400"/>
    </row>
    <row r="401" spans="1:8" s="401" customFormat="1" ht="18.75" x14ac:dyDescent="0.25">
      <c r="A401" s="399"/>
      <c r="B401" s="398"/>
      <c r="C401" s="398"/>
      <c r="D401" s="399"/>
      <c r="E401" s="528"/>
      <c r="F401" s="427"/>
      <c r="G401"/>
      <c r="H401"/>
    </row>
    <row r="402" spans="1:8" s="401" customFormat="1" ht="18.75" x14ac:dyDescent="0.25">
      <c r="A402" s="399"/>
      <c r="B402" s="415" t="s">
        <v>533</v>
      </c>
      <c r="C402" s="398"/>
      <c r="D402" s="399"/>
      <c r="E402" s="528">
        <f>F71</f>
        <v>3640050</v>
      </c>
      <c r="F402" s="428"/>
      <c r="G402"/>
      <c r="H402"/>
    </row>
    <row r="403" spans="1:8" s="401" customFormat="1" ht="18.75" x14ac:dyDescent="0.25">
      <c r="A403" s="399"/>
      <c r="B403" s="398"/>
      <c r="C403" s="398"/>
      <c r="D403" s="399"/>
      <c r="E403" s="528"/>
      <c r="F403" s="428"/>
      <c r="G403"/>
      <c r="H403"/>
    </row>
    <row r="404" spans="1:8" s="401" customFormat="1" ht="18.75" x14ac:dyDescent="0.25">
      <c r="A404" s="399"/>
      <c r="B404" s="398" t="s">
        <v>195</v>
      </c>
      <c r="C404" s="398"/>
      <c r="D404" s="399"/>
      <c r="E404" s="528">
        <f>F114</f>
        <v>2387250</v>
      </c>
      <c r="F404" s="428"/>
      <c r="G404"/>
      <c r="H404"/>
    </row>
    <row r="405" spans="1:8" s="401" customFormat="1" ht="18.75" x14ac:dyDescent="0.25">
      <c r="A405" s="399"/>
      <c r="B405" s="398"/>
      <c r="C405" s="398"/>
      <c r="D405" s="399"/>
      <c r="E405" s="528"/>
      <c r="F405" s="400"/>
      <c r="G405"/>
      <c r="H405"/>
    </row>
    <row r="406" spans="1:8" s="401" customFormat="1" ht="18.75" x14ac:dyDescent="0.25">
      <c r="A406" s="399"/>
      <c r="B406" s="398" t="s">
        <v>602</v>
      </c>
      <c r="C406" s="398"/>
      <c r="D406" s="399"/>
      <c r="E406" s="528">
        <f>F133</f>
        <v>842400</v>
      </c>
      <c r="F406" s="428"/>
      <c r="G406"/>
      <c r="H406"/>
    </row>
    <row r="407" spans="1:8" s="401" customFormat="1" ht="18.75" x14ac:dyDescent="0.25">
      <c r="A407" s="399"/>
      <c r="B407" s="398"/>
      <c r="C407" s="398"/>
      <c r="D407" s="399"/>
      <c r="E407" s="528"/>
      <c r="F407" s="400"/>
      <c r="G407"/>
      <c r="H407"/>
    </row>
    <row r="408" spans="1:8" s="401" customFormat="1" ht="18.75" x14ac:dyDescent="0.25">
      <c r="A408" s="399"/>
      <c r="B408" s="398" t="s">
        <v>163</v>
      </c>
      <c r="C408" s="398"/>
      <c r="D408" s="399"/>
      <c r="E408" s="528">
        <f>F251</f>
        <v>2920150</v>
      </c>
      <c r="F408" s="428"/>
      <c r="G408"/>
      <c r="H408"/>
    </row>
    <row r="409" spans="1:8" s="401" customFormat="1" ht="18.75" x14ac:dyDescent="0.25">
      <c r="A409" s="399"/>
      <c r="B409" s="398"/>
      <c r="C409" s="398"/>
      <c r="D409" s="399"/>
      <c r="E409" s="528"/>
      <c r="F409" s="400"/>
      <c r="G409"/>
      <c r="H409"/>
    </row>
    <row r="410" spans="1:8" s="401" customFormat="1" ht="18.75" x14ac:dyDescent="0.25">
      <c r="A410" s="399"/>
      <c r="B410" s="398" t="s">
        <v>236</v>
      </c>
      <c r="C410" s="398"/>
      <c r="D410" s="399"/>
      <c r="E410" s="528">
        <f>F296</f>
        <v>2188400</v>
      </c>
      <c r="F410" s="428"/>
      <c r="G410"/>
      <c r="H410"/>
    </row>
    <row r="411" spans="1:8" s="401" customFormat="1" ht="18.75" x14ac:dyDescent="0.25">
      <c r="A411" s="399"/>
      <c r="B411" s="398"/>
      <c r="C411" s="398"/>
      <c r="D411" s="399"/>
      <c r="E411" s="528"/>
      <c r="F411" s="400"/>
      <c r="G411"/>
      <c r="H411"/>
    </row>
    <row r="412" spans="1:8" s="401" customFormat="1" ht="18.75" x14ac:dyDescent="0.25">
      <c r="A412" s="399"/>
      <c r="B412" s="398" t="s">
        <v>265</v>
      </c>
      <c r="C412" s="398"/>
      <c r="D412" s="399"/>
      <c r="E412" s="528">
        <f>F314</f>
        <v>612000</v>
      </c>
      <c r="F412" s="428"/>
      <c r="G412"/>
      <c r="H412"/>
    </row>
    <row r="413" spans="1:8" s="401" customFormat="1" ht="18.75" x14ac:dyDescent="0.25">
      <c r="A413" s="399"/>
      <c r="B413" s="398"/>
      <c r="C413" s="398"/>
      <c r="D413" s="399"/>
      <c r="E413" s="528"/>
      <c r="F413" s="400"/>
      <c r="G413"/>
      <c r="H413"/>
    </row>
    <row r="414" spans="1:8" s="401" customFormat="1" ht="18.75" x14ac:dyDescent="0.25">
      <c r="A414" s="399"/>
      <c r="B414" s="398" t="s">
        <v>281</v>
      </c>
      <c r="C414" s="398"/>
      <c r="D414" s="399"/>
      <c r="E414" s="528">
        <f>F348</f>
        <v>709920</v>
      </c>
      <c r="F414" s="428"/>
      <c r="G414"/>
      <c r="H414"/>
    </row>
    <row r="415" spans="1:8" s="401" customFormat="1" ht="18.75" x14ac:dyDescent="0.25">
      <c r="A415" s="399"/>
      <c r="B415" s="398"/>
      <c r="C415" s="398"/>
      <c r="D415" s="399"/>
      <c r="E415" s="528"/>
      <c r="F415" s="400"/>
      <c r="G415"/>
      <c r="H415"/>
    </row>
    <row r="416" spans="1:8" s="401" customFormat="1" ht="18.75" x14ac:dyDescent="0.25">
      <c r="A416" s="399"/>
      <c r="B416" s="398" t="s">
        <v>658</v>
      </c>
      <c r="C416" s="398"/>
      <c r="D416" s="399"/>
      <c r="E416" s="528">
        <f>F371</f>
        <v>100000</v>
      </c>
      <c r="F416" s="428"/>
      <c r="G416"/>
      <c r="H416"/>
    </row>
    <row r="417" spans="1:8" s="401" customFormat="1" ht="18.75" x14ac:dyDescent="0.25">
      <c r="A417" s="399"/>
      <c r="B417" s="398"/>
      <c r="C417" s="398"/>
      <c r="D417" s="399"/>
      <c r="E417" s="528"/>
      <c r="F417" s="400"/>
      <c r="G417"/>
      <c r="H417"/>
    </row>
    <row r="418" spans="1:8" s="401" customFormat="1" ht="18.75" x14ac:dyDescent="0.25">
      <c r="A418" s="399"/>
      <c r="B418" s="398" t="s">
        <v>659</v>
      </c>
      <c r="C418" s="398"/>
      <c r="D418" s="399"/>
      <c r="E418" s="528">
        <f>F397</f>
        <v>250000</v>
      </c>
      <c r="F418" s="428"/>
      <c r="G418"/>
      <c r="H418"/>
    </row>
    <row r="419" spans="1:8" s="401" customFormat="1" ht="18.75" x14ac:dyDescent="0.25">
      <c r="A419" s="399"/>
      <c r="B419" s="398"/>
      <c r="C419" s="398"/>
      <c r="D419" s="399"/>
      <c r="E419" s="528"/>
      <c r="F419" s="400"/>
      <c r="G419"/>
      <c r="H419"/>
    </row>
    <row r="420" spans="1:8" s="401" customFormat="1" ht="18.75" x14ac:dyDescent="0.25">
      <c r="A420" s="399"/>
      <c r="B420" s="398"/>
      <c r="C420" s="398"/>
      <c r="D420" s="399"/>
      <c r="E420" s="528"/>
      <c r="F420" s="400"/>
      <c r="G420"/>
      <c r="H420"/>
    </row>
    <row r="421" spans="1:8" s="401" customFormat="1" ht="18.75" x14ac:dyDescent="0.25">
      <c r="A421" s="399"/>
      <c r="B421" s="398"/>
      <c r="C421" s="398"/>
      <c r="D421" s="399"/>
      <c r="E421" s="528"/>
      <c r="F421" s="400"/>
      <c r="G421"/>
      <c r="H421"/>
    </row>
    <row r="422" spans="1:8" s="401" customFormat="1" ht="18.75" x14ac:dyDescent="0.25">
      <c r="A422" s="399"/>
      <c r="B422" s="398"/>
      <c r="C422" s="398"/>
      <c r="D422" s="399"/>
      <c r="E422" s="528"/>
      <c r="F422" s="400"/>
      <c r="G422"/>
      <c r="H422"/>
    </row>
    <row r="423" spans="1:8" s="401" customFormat="1" ht="18.75" x14ac:dyDescent="0.25">
      <c r="A423" s="399"/>
      <c r="B423" s="398"/>
      <c r="C423" s="398"/>
      <c r="D423" s="399"/>
      <c r="E423" s="528"/>
      <c r="F423" s="400"/>
      <c r="G423"/>
      <c r="H423"/>
    </row>
    <row r="424" spans="1:8" s="401" customFormat="1" ht="18.75" x14ac:dyDescent="0.25">
      <c r="A424" s="399"/>
      <c r="B424" s="398"/>
      <c r="C424" s="398"/>
      <c r="D424" s="399"/>
      <c r="E424" s="528"/>
      <c r="F424" s="400"/>
      <c r="G424"/>
      <c r="H424"/>
    </row>
    <row r="425" spans="1:8" s="401" customFormat="1" ht="18.75" x14ac:dyDescent="0.25">
      <c r="A425" s="399"/>
      <c r="B425" s="398"/>
      <c r="C425" s="398"/>
      <c r="D425" s="399"/>
      <c r="E425" s="528"/>
      <c r="F425" s="400"/>
      <c r="G425"/>
      <c r="H425"/>
    </row>
    <row r="426" spans="1:8" s="401" customFormat="1" ht="18.75" x14ac:dyDescent="0.25">
      <c r="A426" s="399"/>
      <c r="B426" s="398"/>
      <c r="C426" s="398"/>
      <c r="D426" s="399"/>
      <c r="E426" s="528"/>
      <c r="F426" s="400"/>
      <c r="G426"/>
      <c r="H426"/>
    </row>
    <row r="427" spans="1:8" s="401" customFormat="1" ht="18.75" x14ac:dyDescent="0.25">
      <c r="A427" s="399"/>
      <c r="B427" s="398"/>
      <c r="C427" s="398"/>
      <c r="D427" s="399"/>
      <c r="E427" s="528"/>
      <c r="F427" s="400"/>
      <c r="G427"/>
      <c r="H427"/>
    </row>
    <row r="428" spans="1:8" s="401" customFormat="1" ht="18.75" x14ac:dyDescent="0.25">
      <c r="A428" s="399"/>
      <c r="B428" s="398"/>
      <c r="C428" s="398"/>
      <c r="D428" s="399"/>
      <c r="E428" s="528"/>
      <c r="F428" s="400"/>
      <c r="G428"/>
      <c r="H428"/>
    </row>
    <row r="429" spans="1:8" s="401" customFormat="1" ht="18.75" x14ac:dyDescent="0.25">
      <c r="A429" s="399"/>
      <c r="B429" s="398"/>
      <c r="C429" s="398"/>
      <c r="D429" s="399"/>
      <c r="E429" s="528"/>
      <c r="F429" s="400"/>
      <c r="G429"/>
      <c r="H429"/>
    </row>
    <row r="430" spans="1:8" s="401" customFormat="1" ht="18.75" x14ac:dyDescent="0.25">
      <c r="A430" s="399"/>
      <c r="B430" s="398"/>
      <c r="C430" s="398"/>
      <c r="D430" s="399"/>
      <c r="E430" s="528"/>
      <c r="F430" s="400"/>
      <c r="G430"/>
      <c r="H430"/>
    </row>
    <row r="431" spans="1:8" s="401" customFormat="1" ht="18.75" x14ac:dyDescent="0.25">
      <c r="A431" s="399"/>
      <c r="B431" s="398"/>
      <c r="C431" s="398"/>
      <c r="D431" s="399"/>
      <c r="E431" s="528"/>
      <c r="F431" s="400"/>
      <c r="G431"/>
      <c r="H431"/>
    </row>
    <row r="432" spans="1:8" s="401" customFormat="1" ht="18.75" x14ac:dyDescent="0.25">
      <c r="A432" s="399"/>
      <c r="B432" s="398"/>
      <c r="C432" s="398"/>
      <c r="D432" s="399"/>
      <c r="E432" s="528"/>
      <c r="F432" s="400"/>
      <c r="G432"/>
      <c r="H432"/>
    </row>
    <row r="433" spans="1:8" s="401" customFormat="1" ht="18.75" x14ac:dyDescent="0.25">
      <c r="A433" s="399"/>
      <c r="B433" s="419" t="s">
        <v>1115</v>
      </c>
      <c r="C433" s="411"/>
      <c r="D433" s="402"/>
      <c r="E433" s="537"/>
      <c r="F433" s="429"/>
      <c r="G433"/>
      <c r="H433"/>
    </row>
    <row r="434" spans="1:8" s="401" customFormat="1" ht="19.5" thickBot="1" x14ac:dyDescent="0.3">
      <c r="A434" s="399"/>
      <c r="B434" s="411" t="s">
        <v>695</v>
      </c>
      <c r="C434" s="411"/>
      <c r="D434" s="402"/>
      <c r="E434" s="537" t="s">
        <v>15</v>
      </c>
      <c r="F434" s="430">
        <f>SUM(E402:E418)</f>
        <v>13650170</v>
      </c>
      <c r="G434"/>
      <c r="H434"/>
    </row>
    <row r="435" spans="1:8" s="401" customFormat="1" ht="19.5" thickTop="1" x14ac:dyDescent="0.25">
      <c r="A435" s="399"/>
      <c r="B435" s="398"/>
      <c r="C435" s="398"/>
      <c r="D435" s="399"/>
      <c r="E435" s="528"/>
      <c r="F435" s="400"/>
      <c r="G435"/>
      <c r="H435"/>
    </row>
    <row r="436" spans="1:8" s="401" customFormat="1" ht="18.75" hidden="1" x14ac:dyDescent="0.25">
      <c r="A436" s="399"/>
      <c r="B436" s="398"/>
      <c r="C436" s="398"/>
      <c r="D436" s="399"/>
      <c r="E436" s="528"/>
      <c r="F436" s="400"/>
      <c r="G436"/>
      <c r="H436"/>
    </row>
    <row r="437" spans="1:8" s="401" customFormat="1" ht="18.75" hidden="1" x14ac:dyDescent="0.25">
      <c r="A437" s="399"/>
      <c r="B437" s="411"/>
      <c r="C437" s="431"/>
      <c r="D437" s="402" t="s">
        <v>472</v>
      </c>
      <c r="E437" s="528"/>
      <c r="F437" s="296"/>
      <c r="G437"/>
      <c r="H437"/>
    </row>
    <row r="438" spans="1:8" s="401" customFormat="1" ht="18.75" hidden="1" x14ac:dyDescent="0.25">
      <c r="A438" s="399"/>
      <c r="B438" s="411" t="s">
        <v>471</v>
      </c>
      <c r="C438" s="411"/>
      <c r="D438" s="402"/>
      <c r="E438" s="537"/>
      <c r="F438" s="296">
        <v>241</v>
      </c>
      <c r="G438"/>
      <c r="H438"/>
    </row>
    <row r="439" spans="1:8" s="401" customFormat="1" ht="18.75" hidden="1" x14ac:dyDescent="0.25">
      <c r="A439" s="399"/>
      <c r="B439" s="411"/>
      <c r="C439" s="411"/>
      <c r="D439" s="402"/>
      <c r="E439" s="537"/>
      <c r="F439" s="296"/>
      <c r="G439"/>
      <c r="H439"/>
    </row>
    <row r="440" spans="1:8" s="401" customFormat="1" ht="18.75" hidden="1" x14ac:dyDescent="0.25">
      <c r="A440" s="399"/>
      <c r="B440" s="411"/>
      <c r="C440" s="411"/>
      <c r="D440" s="402"/>
      <c r="E440" s="537"/>
      <c r="F440" s="296"/>
      <c r="G440"/>
      <c r="H440"/>
    </row>
    <row r="441" spans="1:8" s="401" customFormat="1" ht="18.75" hidden="1" x14ac:dyDescent="0.25">
      <c r="A441" s="399"/>
      <c r="B441" s="411" t="s">
        <v>929</v>
      </c>
      <c r="C441" s="411"/>
      <c r="D441" s="402"/>
      <c r="E441" s="537"/>
      <c r="F441" s="296">
        <f>F434/F438</f>
        <v>56639.709543568468</v>
      </c>
      <c r="G441"/>
      <c r="H441"/>
    </row>
    <row r="442" spans="1:8" s="401" customFormat="1" ht="18.75" hidden="1" x14ac:dyDescent="0.25">
      <c r="A442" s="399"/>
      <c r="B442" s="411" t="s">
        <v>874</v>
      </c>
      <c r="C442" s="411"/>
      <c r="D442" s="402"/>
      <c r="E442" s="537"/>
      <c r="F442" s="296">
        <f>F434/2</f>
        <v>6825085</v>
      </c>
      <c r="G442"/>
      <c r="H442"/>
    </row>
    <row r="443" spans="1:8" s="401" customFormat="1" ht="18.75" hidden="1" x14ac:dyDescent="0.25">
      <c r="A443" s="399"/>
      <c r="B443" s="411"/>
      <c r="C443" s="411"/>
      <c r="D443" s="402"/>
      <c r="E443" s="537"/>
      <c r="F443" s="296"/>
      <c r="G443"/>
      <c r="H443"/>
    </row>
    <row r="444" spans="1:8" s="401" customFormat="1" ht="18.75" hidden="1" x14ac:dyDescent="0.25">
      <c r="A444" s="399"/>
      <c r="B444" s="411"/>
      <c r="C444" s="411"/>
      <c r="D444" s="402"/>
      <c r="E444" s="537"/>
      <c r="F444" s="296"/>
      <c r="G444"/>
      <c r="H444"/>
    </row>
    <row r="445" spans="1:8" s="401" customFormat="1" ht="18.75" x14ac:dyDescent="0.25">
      <c r="A445" s="399"/>
      <c r="B445" s="411"/>
      <c r="C445" s="411"/>
      <c r="D445" s="402"/>
      <c r="E445" s="537"/>
      <c r="F445" s="296"/>
      <c r="G445"/>
      <c r="H445"/>
    </row>
    <row r="446" spans="1:8" s="401" customFormat="1" ht="18.75" x14ac:dyDescent="0.25">
      <c r="A446" s="399"/>
      <c r="B446" s="411"/>
      <c r="C446" s="411"/>
      <c r="D446" s="402"/>
      <c r="E446" s="537"/>
      <c r="F446" s="296"/>
      <c r="G446"/>
      <c r="H446"/>
    </row>
    <row r="447" spans="1:8" s="401" customFormat="1" ht="18.75" x14ac:dyDescent="0.25">
      <c r="A447" s="399"/>
      <c r="B447" s="411"/>
      <c r="C447" s="411"/>
      <c r="D447" s="402"/>
      <c r="E447" s="537"/>
      <c r="F447" s="296"/>
      <c r="G447"/>
      <c r="H447"/>
    </row>
    <row r="448" spans="1:8" s="401" customFormat="1" ht="18.75" x14ac:dyDescent="0.25">
      <c r="A448" s="399"/>
      <c r="B448" s="411" t="s">
        <v>473</v>
      </c>
      <c r="C448" s="432"/>
      <c r="D448" s="402"/>
      <c r="E448" s="537">
        <f>F434</f>
        <v>13650170</v>
      </c>
      <c r="F448" s="296"/>
      <c r="G448"/>
      <c r="H448"/>
    </row>
    <row r="449" spans="1:8" s="401" customFormat="1" ht="18.75" x14ac:dyDescent="0.25">
      <c r="A449" s="399"/>
      <c r="B449" s="403" t="s">
        <v>474</v>
      </c>
      <c r="C449" s="411"/>
      <c r="D449" s="402"/>
      <c r="E449" s="537"/>
      <c r="F449" s="296"/>
      <c r="G449"/>
      <c r="H449"/>
    </row>
    <row r="450" spans="1:8" s="401" customFormat="1" ht="18.75" x14ac:dyDescent="0.25">
      <c r="A450" s="399"/>
      <c r="B450" s="411" t="s">
        <v>692</v>
      </c>
      <c r="C450" s="411"/>
      <c r="D450" s="402"/>
      <c r="E450" s="537">
        <f>E448*5%</f>
        <v>682508.5</v>
      </c>
      <c r="F450" s="296"/>
      <c r="G450"/>
      <c r="H450"/>
    </row>
    <row r="451" spans="1:8" s="401" customFormat="1" ht="18.75" x14ac:dyDescent="0.25">
      <c r="A451" s="399"/>
      <c r="B451" s="411"/>
      <c r="C451" s="411"/>
      <c r="D451" s="402"/>
      <c r="E451" s="537"/>
      <c r="F451" s="296"/>
      <c r="G451"/>
      <c r="H451"/>
    </row>
    <row r="452" spans="1:8" s="401" customFormat="1" ht="18.75" x14ac:dyDescent="0.25">
      <c r="A452" s="399"/>
      <c r="B452" s="433" t="s">
        <v>476</v>
      </c>
      <c r="C452" s="433"/>
      <c r="D452" s="434" t="s">
        <v>15</v>
      </c>
      <c r="E452" s="559">
        <f>SUM(E448:E451)</f>
        <v>14332678.5</v>
      </c>
      <c r="F452" s="296"/>
      <c r="G452"/>
      <c r="H452"/>
    </row>
    <row r="453" spans="1:8" s="401" customFormat="1" ht="18.75" x14ac:dyDescent="0.25">
      <c r="A453" s="399"/>
      <c r="B453" s="403" t="s">
        <v>474</v>
      </c>
      <c r="C453" s="433"/>
      <c r="D453" s="434"/>
      <c r="E453" s="560"/>
      <c r="F453" s="296"/>
      <c r="G453"/>
      <c r="H453"/>
    </row>
    <row r="454" spans="1:8" s="401" customFormat="1" ht="18.75" x14ac:dyDescent="0.25">
      <c r="A454" s="399"/>
      <c r="B454" s="411" t="s">
        <v>477</v>
      </c>
      <c r="C454" s="411"/>
      <c r="D454" s="402"/>
      <c r="E454" s="537">
        <f>E452*7.5%</f>
        <v>1074950.8875</v>
      </c>
      <c r="F454" s="296"/>
      <c r="G454"/>
      <c r="H454"/>
    </row>
    <row r="455" spans="1:8" s="401" customFormat="1" ht="19.5" thickBot="1" x14ac:dyDescent="0.3">
      <c r="A455" s="399"/>
      <c r="B455" s="411"/>
      <c r="C455" s="411"/>
      <c r="D455" s="402"/>
      <c r="E455" s="561">
        <f>SUM(E452:E454)</f>
        <v>15407629.387499999</v>
      </c>
      <c r="F455" s="296"/>
      <c r="G455"/>
      <c r="H455"/>
    </row>
    <row r="456" spans="1:8" s="401" customFormat="1" ht="19.5" thickTop="1" x14ac:dyDescent="0.25">
      <c r="A456" s="399"/>
      <c r="B456" s="411"/>
      <c r="C456" s="411"/>
      <c r="D456" s="402"/>
      <c r="E456" s="537"/>
      <c r="F456" s="296"/>
      <c r="G456"/>
      <c r="H456"/>
    </row>
    <row r="457" spans="1:8" s="401" customFormat="1" ht="18.75" hidden="1" x14ac:dyDescent="0.25">
      <c r="A457" s="399"/>
      <c r="B457" s="411" t="s">
        <v>478</v>
      </c>
      <c r="C457" s="411"/>
      <c r="D457" s="402"/>
      <c r="E457" s="537">
        <f>E455/2</f>
        <v>7703814.6937499996</v>
      </c>
      <c r="F457" s="296"/>
      <c r="G457"/>
      <c r="H457"/>
    </row>
    <row r="458" spans="1:8" s="401" customFormat="1" ht="18.75" hidden="1" x14ac:dyDescent="0.25">
      <c r="A458" s="399"/>
      <c r="B458" s="411"/>
      <c r="C458" s="411"/>
      <c r="D458" s="402"/>
      <c r="E458" s="537"/>
      <c r="F458" s="296"/>
      <c r="G458"/>
      <c r="H458"/>
    </row>
    <row r="459" spans="1:8" s="401" customFormat="1" ht="18.75" hidden="1" x14ac:dyDescent="0.25">
      <c r="A459" s="399"/>
      <c r="B459" s="411" t="s">
        <v>479</v>
      </c>
      <c r="C459" s="411"/>
      <c r="D459" s="402"/>
      <c r="E459" s="537">
        <f>E455/F438</f>
        <v>63932.072147302904</v>
      </c>
      <c r="F459" s="296"/>
      <c r="G459"/>
      <c r="H459"/>
    </row>
    <row r="460" spans="1:8" s="401" customFormat="1" ht="18.75" x14ac:dyDescent="0.25">
      <c r="A460" s="399"/>
      <c r="B460" s="411"/>
      <c r="C460" s="398"/>
      <c r="D460" s="399"/>
      <c r="E460" s="528"/>
      <c r="F460" s="400"/>
      <c r="G460"/>
      <c r="H460"/>
    </row>
    <row r="461" spans="1:8" s="401" customFormat="1" x14ac:dyDescent="0.25">
      <c r="G461"/>
      <c r="H461"/>
    </row>
  </sheetData>
  <pageMargins left="0.69930555555555596" right="0.69930555555555596" top="0.75" bottom="0.75" header="0.3" footer="0.3"/>
  <pageSetup paperSize="9" scale="65" orientation="portrait" r:id="rId1"/>
  <headerFooter>
    <oddFooter>Page &amp;P</oddFooter>
  </headerFooter>
  <rowBreaks count="14" manualBreakCount="14">
    <brk id="28" max="16383" man="1"/>
    <brk id="44" max="16383" man="1"/>
    <brk id="71" max="16383" man="1"/>
    <brk id="114" max="16383" man="1"/>
    <brk id="133" max="16383" man="1"/>
    <brk id="171" max="16383" man="1"/>
    <brk id="223" max="16383" man="1"/>
    <brk id="251" max="16383" man="1"/>
    <brk id="296" max="16383" man="1"/>
    <brk id="314" max="16383" man="1"/>
    <brk id="348" max="16383" man="1"/>
    <brk id="371" max="16383" man="1"/>
    <brk id="397" max="16383" man="1"/>
    <brk id="434"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77E60-13D7-4581-A3B5-AFA15F9476FB}">
  <dimension ref="A1:J29"/>
  <sheetViews>
    <sheetView view="pageBreakPreview" zoomScaleNormal="96" zoomScaleSheetLayoutView="100" workbookViewId="0">
      <selection activeCell="F15" sqref="F15"/>
    </sheetView>
  </sheetViews>
  <sheetFormatPr defaultColWidth="11.42578125" defaultRowHeight="26.25" x14ac:dyDescent="0.4"/>
  <cols>
    <col min="1" max="1" width="8.5703125" style="388" customWidth="1"/>
    <col min="2" max="2" width="14.42578125" style="388" customWidth="1"/>
    <col min="3" max="7" width="11.42578125" style="388"/>
    <col min="8" max="8" width="14.85546875" style="388" customWidth="1"/>
    <col min="9" max="16384" width="11.42578125" style="388"/>
  </cols>
  <sheetData>
    <row r="1" spans="1:10" ht="31.5" x14ac:dyDescent="0.4">
      <c r="A1" s="582"/>
      <c r="B1" s="582"/>
      <c r="C1" s="582"/>
      <c r="D1" s="582"/>
      <c r="E1" s="582"/>
      <c r="F1" s="582"/>
      <c r="G1" s="582"/>
      <c r="H1" s="582"/>
      <c r="I1" s="582"/>
      <c r="J1" s="582"/>
    </row>
    <row r="2" spans="1:10" ht="17.25" customHeight="1" x14ac:dyDescent="0.5">
      <c r="A2" s="389"/>
      <c r="B2" s="389"/>
      <c r="C2" s="389"/>
      <c r="D2" s="389"/>
      <c r="E2" s="389"/>
      <c r="F2" s="389"/>
      <c r="G2" s="389"/>
      <c r="H2" s="389"/>
      <c r="I2" s="390"/>
      <c r="J2" s="390"/>
    </row>
    <row r="3" spans="1:10" ht="31.5" x14ac:dyDescent="0.4">
      <c r="A3" s="582"/>
      <c r="B3" s="582"/>
      <c r="C3" s="582"/>
      <c r="D3" s="582"/>
      <c r="E3" s="582"/>
      <c r="F3" s="582"/>
      <c r="G3" s="582"/>
      <c r="H3" s="582"/>
      <c r="I3" s="582"/>
      <c r="J3" s="582"/>
    </row>
    <row r="4" spans="1:10" ht="13.5" customHeight="1" x14ac:dyDescent="0.5">
      <c r="A4" s="389"/>
      <c r="B4" s="389"/>
      <c r="C4" s="389"/>
      <c r="D4" s="389"/>
      <c r="E4" s="389"/>
      <c r="F4" s="389"/>
      <c r="G4" s="389"/>
      <c r="H4" s="389"/>
      <c r="I4" s="390"/>
      <c r="J4" s="390"/>
    </row>
    <row r="5" spans="1:10" ht="21" customHeight="1" x14ac:dyDescent="0.4">
      <c r="A5" s="583" t="s">
        <v>1120</v>
      </c>
      <c r="B5" s="583"/>
      <c r="C5" s="583"/>
      <c r="D5" s="583"/>
      <c r="E5" s="583"/>
      <c r="F5" s="583"/>
      <c r="G5" s="583"/>
      <c r="H5" s="583"/>
      <c r="I5" s="583"/>
      <c r="J5" s="583"/>
    </row>
    <row r="6" spans="1:10" ht="17.25" customHeight="1" x14ac:dyDescent="0.4">
      <c r="A6" s="583"/>
      <c r="B6" s="583"/>
      <c r="C6" s="583"/>
      <c r="D6" s="583"/>
      <c r="E6" s="583"/>
      <c r="F6" s="583"/>
      <c r="G6" s="583"/>
      <c r="H6" s="583"/>
      <c r="I6" s="583"/>
      <c r="J6" s="583"/>
    </row>
    <row r="7" spans="1:10" ht="26.25" customHeight="1" x14ac:dyDescent="0.4">
      <c r="A7" s="583"/>
      <c r="B7" s="583"/>
      <c r="C7" s="583"/>
      <c r="D7" s="583"/>
      <c r="E7" s="583"/>
      <c r="F7" s="583"/>
      <c r="G7" s="583"/>
      <c r="H7" s="583"/>
      <c r="I7" s="583"/>
      <c r="J7" s="583"/>
    </row>
    <row r="8" spans="1:10" ht="8.25" customHeight="1" x14ac:dyDescent="0.4">
      <c r="A8" s="583"/>
      <c r="B8" s="583"/>
      <c r="C8" s="583"/>
      <c r="D8" s="583"/>
      <c r="E8" s="583"/>
      <c r="F8" s="583"/>
      <c r="G8" s="583"/>
      <c r="H8" s="583"/>
      <c r="I8" s="583"/>
      <c r="J8" s="583"/>
    </row>
    <row r="9" spans="1:10" ht="26.25" hidden="1" customHeight="1" x14ac:dyDescent="0.4">
      <c r="A9" s="583"/>
      <c r="B9" s="583"/>
      <c r="C9" s="583"/>
      <c r="D9" s="583"/>
      <c r="E9" s="583"/>
      <c r="F9" s="583"/>
      <c r="G9" s="583"/>
      <c r="H9" s="583"/>
      <c r="I9" s="583"/>
      <c r="J9" s="583"/>
    </row>
    <row r="10" spans="1:10" ht="5.25" hidden="1" customHeight="1" x14ac:dyDescent="0.4">
      <c r="A10" s="583"/>
      <c r="B10" s="583"/>
      <c r="C10" s="583"/>
      <c r="D10" s="583"/>
      <c r="E10" s="583"/>
      <c r="F10" s="583"/>
      <c r="G10" s="583"/>
      <c r="H10" s="583"/>
      <c r="I10" s="583"/>
      <c r="J10" s="583"/>
    </row>
    <row r="12" spans="1:10" ht="17.25" customHeight="1" x14ac:dyDescent="0.4"/>
    <row r="24" spans="1:10" s="392" customFormat="1" ht="18.75" x14ac:dyDescent="0.3">
      <c r="A24" s="391"/>
      <c r="G24" s="391"/>
    </row>
    <row r="25" spans="1:10" s="394" customFormat="1" ht="16.5" x14ac:dyDescent="0.3">
      <c r="A25" s="393"/>
      <c r="G25" s="395"/>
    </row>
    <row r="26" spans="1:10" s="394" customFormat="1" ht="15.75" x14ac:dyDescent="0.25"/>
    <row r="27" spans="1:10" s="394" customFormat="1" ht="15.75" x14ac:dyDescent="0.25"/>
    <row r="28" spans="1:10" s="392" customFormat="1" ht="15.75" x14ac:dyDescent="0.25"/>
    <row r="29" spans="1:10" s="392" customFormat="1" ht="15.75" x14ac:dyDescent="0.25">
      <c r="A29" s="584"/>
      <c r="B29" s="584"/>
      <c r="C29" s="584"/>
      <c r="D29" s="584"/>
      <c r="E29" s="584"/>
      <c r="F29" s="584"/>
      <c r="G29" s="584"/>
      <c r="H29" s="584"/>
      <c r="I29" s="584"/>
      <c r="J29" s="584"/>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0F631-C61A-4A68-A05A-4F98EBDFFA28}">
  <dimension ref="A1:H499"/>
  <sheetViews>
    <sheetView view="pageBreakPreview" topLeftCell="A470" zoomScale="98" zoomScaleNormal="100" zoomScaleSheetLayoutView="98" workbookViewId="0">
      <selection activeCell="D485" sqref="D485"/>
    </sheetView>
  </sheetViews>
  <sheetFormatPr defaultColWidth="9.5703125" defaultRowHeight="15" x14ac:dyDescent="0.25"/>
  <cols>
    <col min="1" max="1" width="6.5703125" customWidth="1"/>
    <col min="2" max="2" width="45.42578125" customWidth="1"/>
    <col min="4" max="4" width="12.140625" customWidth="1"/>
    <col min="5" max="5" width="19.28515625" customWidth="1"/>
    <col min="6" max="6" width="17.85546875" customWidth="1"/>
    <col min="257" max="257" width="6.5703125" customWidth="1"/>
    <col min="258" max="258" width="38.5703125" customWidth="1"/>
    <col min="260" max="260" width="12.140625" customWidth="1"/>
    <col min="261" max="261" width="19.28515625" customWidth="1"/>
    <col min="262" max="262" width="17.85546875" customWidth="1"/>
    <col min="513" max="513" width="6.5703125" customWidth="1"/>
    <col min="514" max="514" width="38.5703125" customWidth="1"/>
    <col min="516" max="516" width="12.140625" customWidth="1"/>
    <col min="517" max="517" width="19.28515625" customWidth="1"/>
    <col min="518" max="518" width="17.85546875" customWidth="1"/>
    <col min="769" max="769" width="6.5703125" customWidth="1"/>
    <col min="770" max="770" width="38.5703125" customWidth="1"/>
    <col min="772" max="772" width="12.140625" customWidth="1"/>
    <col min="773" max="773" width="19.28515625" customWidth="1"/>
    <col min="774" max="774" width="17.85546875" customWidth="1"/>
    <col min="1025" max="1025" width="6.5703125" customWidth="1"/>
    <col min="1026" max="1026" width="38.5703125" customWidth="1"/>
    <col min="1028" max="1028" width="12.140625" customWidth="1"/>
    <col min="1029" max="1029" width="19.28515625" customWidth="1"/>
    <col min="1030" max="1030" width="17.85546875" customWidth="1"/>
    <col min="1281" max="1281" width="6.5703125" customWidth="1"/>
    <col min="1282" max="1282" width="38.5703125" customWidth="1"/>
    <col min="1284" max="1284" width="12.140625" customWidth="1"/>
    <col min="1285" max="1285" width="19.28515625" customWidth="1"/>
    <col min="1286" max="1286" width="17.85546875" customWidth="1"/>
    <col min="1537" max="1537" width="6.5703125" customWidth="1"/>
    <col min="1538" max="1538" width="38.5703125" customWidth="1"/>
    <col min="1540" max="1540" width="12.140625" customWidth="1"/>
    <col min="1541" max="1541" width="19.28515625" customWidth="1"/>
    <col min="1542" max="1542" width="17.85546875" customWidth="1"/>
    <col min="1793" max="1793" width="6.5703125" customWidth="1"/>
    <col min="1794" max="1794" width="38.5703125" customWidth="1"/>
    <col min="1796" max="1796" width="12.140625" customWidth="1"/>
    <col min="1797" max="1797" width="19.28515625" customWidth="1"/>
    <col min="1798" max="1798" width="17.85546875" customWidth="1"/>
    <col min="2049" max="2049" width="6.5703125" customWidth="1"/>
    <col min="2050" max="2050" width="38.5703125" customWidth="1"/>
    <col min="2052" max="2052" width="12.140625" customWidth="1"/>
    <col min="2053" max="2053" width="19.28515625" customWidth="1"/>
    <col min="2054" max="2054" width="17.85546875" customWidth="1"/>
    <col min="2305" max="2305" width="6.5703125" customWidth="1"/>
    <col min="2306" max="2306" width="38.5703125" customWidth="1"/>
    <col min="2308" max="2308" width="12.140625" customWidth="1"/>
    <col min="2309" max="2309" width="19.28515625" customWidth="1"/>
    <col min="2310" max="2310" width="17.85546875" customWidth="1"/>
    <col min="2561" max="2561" width="6.5703125" customWidth="1"/>
    <col min="2562" max="2562" width="38.5703125" customWidth="1"/>
    <col min="2564" max="2564" width="12.140625" customWidth="1"/>
    <col min="2565" max="2565" width="19.28515625" customWidth="1"/>
    <col min="2566" max="2566" width="17.85546875" customWidth="1"/>
    <col min="2817" max="2817" width="6.5703125" customWidth="1"/>
    <col min="2818" max="2818" width="38.5703125" customWidth="1"/>
    <col min="2820" max="2820" width="12.140625" customWidth="1"/>
    <col min="2821" max="2821" width="19.28515625" customWidth="1"/>
    <col min="2822" max="2822" width="17.85546875" customWidth="1"/>
    <col min="3073" max="3073" width="6.5703125" customWidth="1"/>
    <col min="3074" max="3074" width="38.5703125" customWidth="1"/>
    <col min="3076" max="3076" width="12.140625" customWidth="1"/>
    <col min="3077" max="3077" width="19.28515625" customWidth="1"/>
    <col min="3078" max="3078" width="17.85546875" customWidth="1"/>
    <col min="3329" max="3329" width="6.5703125" customWidth="1"/>
    <col min="3330" max="3330" width="38.5703125" customWidth="1"/>
    <col min="3332" max="3332" width="12.140625" customWidth="1"/>
    <col min="3333" max="3333" width="19.28515625" customWidth="1"/>
    <col min="3334" max="3334" width="17.85546875" customWidth="1"/>
    <col min="3585" max="3585" width="6.5703125" customWidth="1"/>
    <col min="3586" max="3586" width="38.5703125" customWidth="1"/>
    <col min="3588" max="3588" width="12.140625" customWidth="1"/>
    <col min="3589" max="3589" width="19.28515625" customWidth="1"/>
    <col min="3590" max="3590" width="17.85546875" customWidth="1"/>
    <col min="3841" max="3841" width="6.5703125" customWidth="1"/>
    <col min="3842" max="3842" width="38.5703125" customWidth="1"/>
    <col min="3844" max="3844" width="12.140625" customWidth="1"/>
    <col min="3845" max="3845" width="19.28515625" customWidth="1"/>
    <col min="3846" max="3846" width="17.85546875" customWidth="1"/>
    <col min="4097" max="4097" width="6.5703125" customWidth="1"/>
    <col min="4098" max="4098" width="38.5703125" customWidth="1"/>
    <col min="4100" max="4100" width="12.140625" customWidth="1"/>
    <col min="4101" max="4101" width="19.28515625" customWidth="1"/>
    <col min="4102" max="4102" width="17.85546875" customWidth="1"/>
    <col min="4353" max="4353" width="6.5703125" customWidth="1"/>
    <col min="4354" max="4354" width="38.5703125" customWidth="1"/>
    <col min="4356" max="4356" width="12.140625" customWidth="1"/>
    <col min="4357" max="4357" width="19.28515625" customWidth="1"/>
    <col min="4358" max="4358" width="17.85546875" customWidth="1"/>
    <col min="4609" max="4609" width="6.5703125" customWidth="1"/>
    <col min="4610" max="4610" width="38.5703125" customWidth="1"/>
    <col min="4612" max="4612" width="12.140625" customWidth="1"/>
    <col min="4613" max="4613" width="19.28515625" customWidth="1"/>
    <col min="4614" max="4614" width="17.85546875" customWidth="1"/>
    <col min="4865" max="4865" width="6.5703125" customWidth="1"/>
    <col min="4866" max="4866" width="38.5703125" customWidth="1"/>
    <col min="4868" max="4868" width="12.140625" customWidth="1"/>
    <col min="4869" max="4869" width="19.28515625" customWidth="1"/>
    <col min="4870" max="4870" width="17.85546875" customWidth="1"/>
    <col min="5121" max="5121" width="6.5703125" customWidth="1"/>
    <col min="5122" max="5122" width="38.5703125" customWidth="1"/>
    <col min="5124" max="5124" width="12.140625" customWidth="1"/>
    <col min="5125" max="5125" width="19.28515625" customWidth="1"/>
    <col min="5126" max="5126" width="17.85546875" customWidth="1"/>
    <col min="5377" max="5377" width="6.5703125" customWidth="1"/>
    <col min="5378" max="5378" width="38.5703125" customWidth="1"/>
    <col min="5380" max="5380" width="12.140625" customWidth="1"/>
    <col min="5381" max="5381" width="19.28515625" customWidth="1"/>
    <col min="5382" max="5382" width="17.85546875" customWidth="1"/>
    <col min="5633" max="5633" width="6.5703125" customWidth="1"/>
    <col min="5634" max="5634" width="38.5703125" customWidth="1"/>
    <col min="5636" max="5636" width="12.140625" customWidth="1"/>
    <col min="5637" max="5637" width="19.28515625" customWidth="1"/>
    <col min="5638" max="5638" width="17.85546875" customWidth="1"/>
    <col min="5889" max="5889" width="6.5703125" customWidth="1"/>
    <col min="5890" max="5890" width="38.5703125" customWidth="1"/>
    <col min="5892" max="5892" width="12.140625" customWidth="1"/>
    <col min="5893" max="5893" width="19.28515625" customWidth="1"/>
    <col min="5894" max="5894" width="17.85546875" customWidth="1"/>
    <col min="6145" max="6145" width="6.5703125" customWidth="1"/>
    <col min="6146" max="6146" width="38.5703125" customWidth="1"/>
    <col min="6148" max="6148" width="12.140625" customWidth="1"/>
    <col min="6149" max="6149" width="19.28515625" customWidth="1"/>
    <col min="6150" max="6150" width="17.85546875" customWidth="1"/>
    <col min="6401" max="6401" width="6.5703125" customWidth="1"/>
    <col min="6402" max="6402" width="38.5703125" customWidth="1"/>
    <col min="6404" max="6404" width="12.140625" customWidth="1"/>
    <col min="6405" max="6405" width="19.28515625" customWidth="1"/>
    <col min="6406" max="6406" width="17.85546875" customWidth="1"/>
    <col min="6657" max="6657" width="6.5703125" customWidth="1"/>
    <col min="6658" max="6658" width="38.5703125" customWidth="1"/>
    <col min="6660" max="6660" width="12.140625" customWidth="1"/>
    <col min="6661" max="6661" width="19.28515625" customWidth="1"/>
    <col min="6662" max="6662" width="17.85546875" customWidth="1"/>
    <col min="6913" max="6913" width="6.5703125" customWidth="1"/>
    <col min="6914" max="6914" width="38.5703125" customWidth="1"/>
    <col min="6916" max="6916" width="12.140625" customWidth="1"/>
    <col min="6917" max="6917" width="19.28515625" customWidth="1"/>
    <col min="6918" max="6918" width="17.85546875" customWidth="1"/>
    <col min="7169" max="7169" width="6.5703125" customWidth="1"/>
    <col min="7170" max="7170" width="38.5703125" customWidth="1"/>
    <col min="7172" max="7172" width="12.140625" customWidth="1"/>
    <col min="7173" max="7173" width="19.28515625" customWidth="1"/>
    <col min="7174" max="7174" width="17.85546875" customWidth="1"/>
    <col min="7425" max="7425" width="6.5703125" customWidth="1"/>
    <col min="7426" max="7426" width="38.5703125" customWidth="1"/>
    <col min="7428" max="7428" width="12.140625" customWidth="1"/>
    <col min="7429" max="7429" width="19.28515625" customWidth="1"/>
    <col min="7430" max="7430" width="17.85546875" customWidth="1"/>
    <col min="7681" max="7681" width="6.5703125" customWidth="1"/>
    <col min="7682" max="7682" width="38.5703125" customWidth="1"/>
    <col min="7684" max="7684" width="12.140625" customWidth="1"/>
    <col min="7685" max="7685" width="19.28515625" customWidth="1"/>
    <col min="7686" max="7686" width="17.85546875" customWidth="1"/>
    <col min="7937" max="7937" width="6.5703125" customWidth="1"/>
    <col min="7938" max="7938" width="38.5703125" customWidth="1"/>
    <col min="7940" max="7940" width="12.140625" customWidth="1"/>
    <col min="7941" max="7941" width="19.28515625" customWidth="1"/>
    <col min="7942" max="7942" width="17.85546875" customWidth="1"/>
    <col min="8193" max="8193" width="6.5703125" customWidth="1"/>
    <col min="8194" max="8194" width="38.5703125" customWidth="1"/>
    <col min="8196" max="8196" width="12.140625" customWidth="1"/>
    <col min="8197" max="8197" width="19.28515625" customWidth="1"/>
    <col min="8198" max="8198" width="17.85546875" customWidth="1"/>
    <col min="8449" max="8449" width="6.5703125" customWidth="1"/>
    <col min="8450" max="8450" width="38.5703125" customWidth="1"/>
    <col min="8452" max="8452" width="12.140625" customWidth="1"/>
    <col min="8453" max="8453" width="19.28515625" customWidth="1"/>
    <col min="8454" max="8454" width="17.85546875" customWidth="1"/>
    <col min="8705" max="8705" width="6.5703125" customWidth="1"/>
    <col min="8706" max="8706" width="38.5703125" customWidth="1"/>
    <col min="8708" max="8708" width="12.140625" customWidth="1"/>
    <col min="8709" max="8709" width="19.28515625" customWidth="1"/>
    <col min="8710" max="8710" width="17.85546875" customWidth="1"/>
    <col min="8961" max="8961" width="6.5703125" customWidth="1"/>
    <col min="8962" max="8962" width="38.5703125" customWidth="1"/>
    <col min="8964" max="8964" width="12.140625" customWidth="1"/>
    <col min="8965" max="8965" width="19.28515625" customWidth="1"/>
    <col min="8966" max="8966" width="17.85546875" customWidth="1"/>
    <col min="9217" max="9217" width="6.5703125" customWidth="1"/>
    <col min="9218" max="9218" width="38.5703125" customWidth="1"/>
    <col min="9220" max="9220" width="12.140625" customWidth="1"/>
    <col min="9221" max="9221" width="19.28515625" customWidth="1"/>
    <col min="9222" max="9222" width="17.85546875" customWidth="1"/>
    <col min="9473" max="9473" width="6.5703125" customWidth="1"/>
    <col min="9474" max="9474" width="38.5703125" customWidth="1"/>
    <col min="9476" max="9476" width="12.140625" customWidth="1"/>
    <col min="9477" max="9477" width="19.28515625" customWidth="1"/>
    <col min="9478" max="9478" width="17.85546875" customWidth="1"/>
    <col min="9729" max="9729" width="6.5703125" customWidth="1"/>
    <col min="9730" max="9730" width="38.5703125" customWidth="1"/>
    <col min="9732" max="9732" width="12.140625" customWidth="1"/>
    <col min="9733" max="9733" width="19.28515625" customWidth="1"/>
    <col min="9734" max="9734" width="17.85546875" customWidth="1"/>
    <col min="9985" max="9985" width="6.5703125" customWidth="1"/>
    <col min="9986" max="9986" width="38.5703125" customWidth="1"/>
    <col min="9988" max="9988" width="12.140625" customWidth="1"/>
    <col min="9989" max="9989" width="19.28515625" customWidth="1"/>
    <col min="9990" max="9990" width="17.85546875" customWidth="1"/>
    <col min="10241" max="10241" width="6.5703125" customWidth="1"/>
    <col min="10242" max="10242" width="38.5703125" customWidth="1"/>
    <col min="10244" max="10244" width="12.140625" customWidth="1"/>
    <col min="10245" max="10245" width="19.28515625" customWidth="1"/>
    <col min="10246" max="10246" width="17.85546875" customWidth="1"/>
    <col min="10497" max="10497" width="6.5703125" customWidth="1"/>
    <col min="10498" max="10498" width="38.5703125" customWidth="1"/>
    <col min="10500" max="10500" width="12.140625" customWidth="1"/>
    <col min="10501" max="10501" width="19.28515625" customWidth="1"/>
    <col min="10502" max="10502" width="17.85546875" customWidth="1"/>
    <col min="10753" max="10753" width="6.5703125" customWidth="1"/>
    <col min="10754" max="10754" width="38.5703125" customWidth="1"/>
    <col min="10756" max="10756" width="12.140625" customWidth="1"/>
    <col min="10757" max="10757" width="19.28515625" customWidth="1"/>
    <col min="10758" max="10758" width="17.85546875" customWidth="1"/>
    <col min="11009" max="11009" width="6.5703125" customWidth="1"/>
    <col min="11010" max="11010" width="38.5703125" customWidth="1"/>
    <col min="11012" max="11012" width="12.140625" customWidth="1"/>
    <col min="11013" max="11013" width="19.28515625" customWidth="1"/>
    <col min="11014" max="11014" width="17.85546875" customWidth="1"/>
    <col min="11265" max="11265" width="6.5703125" customWidth="1"/>
    <col min="11266" max="11266" width="38.5703125" customWidth="1"/>
    <col min="11268" max="11268" width="12.140625" customWidth="1"/>
    <col min="11269" max="11269" width="19.28515625" customWidth="1"/>
    <col min="11270" max="11270" width="17.85546875" customWidth="1"/>
    <col min="11521" max="11521" width="6.5703125" customWidth="1"/>
    <col min="11522" max="11522" width="38.5703125" customWidth="1"/>
    <col min="11524" max="11524" width="12.140625" customWidth="1"/>
    <col min="11525" max="11525" width="19.28515625" customWidth="1"/>
    <col min="11526" max="11526" width="17.85546875" customWidth="1"/>
    <col min="11777" max="11777" width="6.5703125" customWidth="1"/>
    <col min="11778" max="11778" width="38.5703125" customWidth="1"/>
    <col min="11780" max="11780" width="12.140625" customWidth="1"/>
    <col min="11781" max="11781" width="19.28515625" customWidth="1"/>
    <col min="11782" max="11782" width="17.85546875" customWidth="1"/>
    <col min="12033" max="12033" width="6.5703125" customWidth="1"/>
    <col min="12034" max="12034" width="38.5703125" customWidth="1"/>
    <col min="12036" max="12036" width="12.140625" customWidth="1"/>
    <col min="12037" max="12037" width="19.28515625" customWidth="1"/>
    <col min="12038" max="12038" width="17.85546875" customWidth="1"/>
    <col min="12289" max="12289" width="6.5703125" customWidth="1"/>
    <col min="12290" max="12290" width="38.5703125" customWidth="1"/>
    <col min="12292" max="12292" width="12.140625" customWidth="1"/>
    <col min="12293" max="12293" width="19.28515625" customWidth="1"/>
    <col min="12294" max="12294" width="17.85546875" customWidth="1"/>
    <col min="12545" max="12545" width="6.5703125" customWidth="1"/>
    <col min="12546" max="12546" width="38.5703125" customWidth="1"/>
    <col min="12548" max="12548" width="12.140625" customWidth="1"/>
    <col min="12549" max="12549" width="19.28515625" customWidth="1"/>
    <col min="12550" max="12550" width="17.85546875" customWidth="1"/>
    <col min="12801" max="12801" width="6.5703125" customWidth="1"/>
    <col min="12802" max="12802" width="38.5703125" customWidth="1"/>
    <col min="12804" max="12804" width="12.140625" customWidth="1"/>
    <col min="12805" max="12805" width="19.28515625" customWidth="1"/>
    <col min="12806" max="12806" width="17.85546875" customWidth="1"/>
    <col min="13057" max="13057" width="6.5703125" customWidth="1"/>
    <col min="13058" max="13058" width="38.5703125" customWidth="1"/>
    <col min="13060" max="13060" width="12.140625" customWidth="1"/>
    <col min="13061" max="13061" width="19.28515625" customWidth="1"/>
    <col min="13062" max="13062" width="17.85546875" customWidth="1"/>
    <col min="13313" max="13313" width="6.5703125" customWidth="1"/>
    <col min="13314" max="13314" width="38.5703125" customWidth="1"/>
    <col min="13316" max="13316" width="12.140625" customWidth="1"/>
    <col min="13317" max="13317" width="19.28515625" customWidth="1"/>
    <col min="13318" max="13318" width="17.85546875" customWidth="1"/>
    <col min="13569" max="13569" width="6.5703125" customWidth="1"/>
    <col min="13570" max="13570" width="38.5703125" customWidth="1"/>
    <col min="13572" max="13572" width="12.140625" customWidth="1"/>
    <col min="13573" max="13573" width="19.28515625" customWidth="1"/>
    <col min="13574" max="13574" width="17.85546875" customWidth="1"/>
    <col min="13825" max="13825" width="6.5703125" customWidth="1"/>
    <col min="13826" max="13826" width="38.5703125" customWidth="1"/>
    <col min="13828" max="13828" width="12.140625" customWidth="1"/>
    <col min="13829" max="13829" width="19.28515625" customWidth="1"/>
    <col min="13830" max="13830" width="17.85546875" customWidth="1"/>
    <col min="14081" max="14081" width="6.5703125" customWidth="1"/>
    <col min="14082" max="14082" width="38.5703125" customWidth="1"/>
    <col min="14084" max="14084" width="12.140625" customWidth="1"/>
    <col min="14085" max="14085" width="19.28515625" customWidth="1"/>
    <col min="14086" max="14086" width="17.85546875" customWidth="1"/>
    <col min="14337" max="14337" width="6.5703125" customWidth="1"/>
    <col min="14338" max="14338" width="38.5703125" customWidth="1"/>
    <col min="14340" max="14340" width="12.140625" customWidth="1"/>
    <col min="14341" max="14341" width="19.28515625" customWidth="1"/>
    <col min="14342" max="14342" width="17.85546875" customWidth="1"/>
    <col min="14593" max="14593" width="6.5703125" customWidth="1"/>
    <col min="14594" max="14594" width="38.5703125" customWidth="1"/>
    <col min="14596" max="14596" width="12.140625" customWidth="1"/>
    <col min="14597" max="14597" width="19.28515625" customWidth="1"/>
    <col min="14598" max="14598" width="17.85546875" customWidth="1"/>
    <col min="14849" max="14849" width="6.5703125" customWidth="1"/>
    <col min="14850" max="14850" width="38.5703125" customWidth="1"/>
    <col min="14852" max="14852" width="12.140625" customWidth="1"/>
    <col min="14853" max="14853" width="19.28515625" customWidth="1"/>
    <col min="14854" max="14854" width="17.85546875" customWidth="1"/>
    <col min="15105" max="15105" width="6.5703125" customWidth="1"/>
    <col min="15106" max="15106" width="38.5703125" customWidth="1"/>
    <col min="15108" max="15108" width="12.140625" customWidth="1"/>
    <col min="15109" max="15109" width="19.28515625" customWidth="1"/>
    <col min="15110" max="15110" width="17.85546875" customWidth="1"/>
    <col min="15361" max="15361" width="6.5703125" customWidth="1"/>
    <col min="15362" max="15362" width="38.5703125" customWidth="1"/>
    <col min="15364" max="15364" width="12.140625" customWidth="1"/>
    <col min="15365" max="15365" width="19.28515625" customWidth="1"/>
    <col min="15366" max="15366" width="17.85546875" customWidth="1"/>
    <col min="15617" max="15617" width="6.5703125" customWidth="1"/>
    <col min="15618" max="15618" width="38.5703125" customWidth="1"/>
    <col min="15620" max="15620" width="12.140625" customWidth="1"/>
    <col min="15621" max="15621" width="19.28515625" customWidth="1"/>
    <col min="15622" max="15622" width="17.85546875" customWidth="1"/>
    <col min="15873" max="15873" width="6.5703125" customWidth="1"/>
    <col min="15874" max="15874" width="38.5703125" customWidth="1"/>
    <col min="15876" max="15876" width="12.140625" customWidth="1"/>
    <col min="15877" max="15877" width="19.28515625" customWidth="1"/>
    <col min="15878" max="15878" width="17.85546875" customWidth="1"/>
    <col min="16129" max="16129" width="6.5703125" customWidth="1"/>
    <col min="16130" max="16130" width="38.5703125" customWidth="1"/>
    <col min="16132" max="16132" width="12.140625" customWidth="1"/>
    <col min="16133" max="16133" width="19.28515625" customWidth="1"/>
    <col min="16134" max="16134" width="17.85546875" customWidth="1"/>
  </cols>
  <sheetData>
    <row r="1" spans="1:6" ht="18.75" x14ac:dyDescent="0.25">
      <c r="A1" s="396"/>
      <c r="B1" s="397" t="s">
        <v>508</v>
      </c>
      <c r="C1" s="398"/>
      <c r="D1" s="399"/>
      <c r="E1" s="528"/>
      <c r="F1" s="400"/>
    </row>
    <row r="2" spans="1:6" ht="18.75" x14ac:dyDescent="0.25">
      <c r="A2" s="399"/>
      <c r="B2" s="402"/>
      <c r="C2" s="398"/>
      <c r="D2" s="399"/>
      <c r="E2" s="528"/>
      <c r="F2" s="400"/>
    </row>
    <row r="3" spans="1:6" ht="18.75" x14ac:dyDescent="0.25">
      <c r="A3" s="399"/>
      <c r="B3" s="403" t="s">
        <v>509</v>
      </c>
      <c r="C3" s="398"/>
      <c r="D3" s="399"/>
      <c r="E3" s="528"/>
      <c r="F3" s="400"/>
    </row>
    <row r="4" spans="1:6" ht="18.75" x14ac:dyDescent="0.25">
      <c r="A4" s="399"/>
      <c r="B4" s="403"/>
      <c r="C4" s="398"/>
      <c r="D4" s="399"/>
      <c r="E4" s="528"/>
      <c r="F4" s="400"/>
    </row>
    <row r="5" spans="1:6" ht="18" x14ac:dyDescent="0.25">
      <c r="A5" s="399"/>
      <c r="B5" s="404" t="s">
        <v>44</v>
      </c>
      <c r="C5" s="398"/>
      <c r="D5" s="399"/>
      <c r="E5" s="528"/>
      <c r="F5" s="405"/>
    </row>
    <row r="6" spans="1:6" ht="18" x14ac:dyDescent="0.25">
      <c r="A6" s="399"/>
      <c r="B6" s="404"/>
      <c r="C6" s="398"/>
      <c r="D6" s="399"/>
      <c r="E6" s="528"/>
      <c r="F6" s="405"/>
    </row>
    <row r="7" spans="1:6" ht="18" x14ac:dyDescent="0.25">
      <c r="A7" s="399"/>
      <c r="B7" s="404" t="s">
        <v>510</v>
      </c>
      <c r="C7" s="398"/>
      <c r="D7" s="399"/>
      <c r="E7" s="528"/>
      <c r="F7" s="405"/>
    </row>
    <row r="8" spans="1:6" ht="18.75" x14ac:dyDescent="0.25">
      <c r="A8" s="399"/>
      <c r="B8" s="398"/>
      <c r="C8" s="398"/>
      <c r="D8" s="399"/>
      <c r="E8" s="528"/>
      <c r="F8" s="400"/>
    </row>
    <row r="9" spans="1:6" ht="33" x14ac:dyDescent="0.25">
      <c r="A9" s="399" t="s">
        <v>2</v>
      </c>
      <c r="B9" s="406" t="s">
        <v>45</v>
      </c>
      <c r="C9" s="407">
        <v>98</v>
      </c>
      <c r="D9" s="399" t="s">
        <v>922</v>
      </c>
      <c r="E9" s="528">
        <v>100</v>
      </c>
      <c r="F9" s="400">
        <f t="shared" ref="F9:F16" si="0">C9*E9</f>
        <v>9800</v>
      </c>
    </row>
    <row r="10" spans="1:6" ht="49.5" x14ac:dyDescent="0.25">
      <c r="A10" s="399" t="s">
        <v>4</v>
      </c>
      <c r="B10" s="406" t="s">
        <v>923</v>
      </c>
      <c r="C10" s="408">
        <v>32</v>
      </c>
      <c r="D10" s="399" t="s">
        <v>939</v>
      </c>
      <c r="E10" s="528">
        <v>1500</v>
      </c>
      <c r="F10" s="400">
        <f t="shared" si="0"/>
        <v>48000</v>
      </c>
    </row>
    <row r="11" spans="1:6" ht="49.5" x14ac:dyDescent="0.25">
      <c r="A11" s="399" t="s">
        <v>5</v>
      </c>
      <c r="B11" s="406" t="s">
        <v>49</v>
      </c>
      <c r="C11" s="398"/>
      <c r="D11" s="399" t="s">
        <v>924</v>
      </c>
      <c r="E11" s="528">
        <f>E10</f>
        <v>1500</v>
      </c>
      <c r="F11" s="400">
        <f t="shared" si="0"/>
        <v>0</v>
      </c>
    </row>
    <row r="12" spans="1:6" ht="33" x14ac:dyDescent="0.25">
      <c r="A12" s="399" t="s">
        <v>7</v>
      </c>
      <c r="B12" s="406" t="s">
        <v>19</v>
      </c>
      <c r="C12" s="409">
        <v>42</v>
      </c>
      <c r="D12" s="399" t="s">
        <v>922</v>
      </c>
      <c r="E12" s="528">
        <v>350</v>
      </c>
      <c r="F12" s="400">
        <f t="shared" si="0"/>
        <v>14700</v>
      </c>
    </row>
    <row r="13" spans="1:6" ht="33" x14ac:dyDescent="0.25">
      <c r="A13" s="399" t="s">
        <v>8</v>
      </c>
      <c r="B13" s="406" t="s">
        <v>515</v>
      </c>
      <c r="C13" s="409">
        <v>12</v>
      </c>
      <c r="D13" s="399" t="s">
        <v>924</v>
      </c>
      <c r="E13" s="528">
        <v>450</v>
      </c>
      <c r="F13" s="400">
        <f t="shared" si="0"/>
        <v>5400</v>
      </c>
    </row>
    <row r="14" spans="1:6" ht="33" x14ac:dyDescent="0.25">
      <c r="A14" s="399" t="s">
        <v>9</v>
      </c>
      <c r="B14" s="406" t="s">
        <v>516</v>
      </c>
      <c r="C14" s="408">
        <v>20</v>
      </c>
      <c r="D14" s="399" t="s">
        <v>924</v>
      </c>
      <c r="E14" s="528">
        <f>E13</f>
        <v>450</v>
      </c>
      <c r="F14" s="400">
        <f t="shared" si="0"/>
        <v>9000</v>
      </c>
    </row>
    <row r="15" spans="1:6" ht="49.5" x14ac:dyDescent="0.25">
      <c r="A15" s="399" t="s">
        <v>10</v>
      </c>
      <c r="B15" s="415" t="s">
        <v>941</v>
      </c>
      <c r="C15" s="407">
        <v>17</v>
      </c>
      <c r="D15" s="399" t="s">
        <v>924</v>
      </c>
      <c r="E15" s="528">
        <v>6500</v>
      </c>
      <c r="F15" s="400">
        <f t="shared" si="0"/>
        <v>110500</v>
      </c>
    </row>
    <row r="16" spans="1:6" ht="33" x14ac:dyDescent="0.25">
      <c r="A16" s="399" t="s">
        <v>11</v>
      </c>
      <c r="B16" s="406" t="s">
        <v>663</v>
      </c>
      <c r="C16" s="407">
        <v>55</v>
      </c>
      <c r="D16" s="399" t="s">
        <v>922</v>
      </c>
      <c r="E16" s="528">
        <v>4500</v>
      </c>
      <c r="F16" s="400">
        <f t="shared" si="0"/>
        <v>247500</v>
      </c>
    </row>
    <row r="17" spans="1:8" ht="18.75" x14ac:dyDescent="0.25">
      <c r="A17" s="399"/>
      <c r="B17" s="406"/>
      <c r="C17" s="407"/>
      <c r="D17" s="399"/>
      <c r="E17" s="528"/>
      <c r="F17" s="400"/>
      <c r="G17" s="401"/>
      <c r="H17" s="401"/>
    </row>
    <row r="18" spans="1:8" ht="18.75" x14ac:dyDescent="0.25">
      <c r="A18" s="399"/>
      <c r="B18" s="404" t="s">
        <v>98</v>
      </c>
      <c r="C18" s="398"/>
      <c r="D18" s="399"/>
      <c r="E18" s="528"/>
      <c r="F18" s="400"/>
      <c r="G18" s="401"/>
      <c r="H18" s="401"/>
    </row>
    <row r="19" spans="1:8" s="535" customFormat="1" ht="17.25" customHeight="1" x14ac:dyDescent="0.25">
      <c r="A19" s="530"/>
      <c r="B19" s="531" t="s">
        <v>942</v>
      </c>
      <c r="C19" s="530"/>
      <c r="D19" s="530"/>
      <c r="E19" s="532"/>
      <c r="F19" s="533"/>
      <c r="G19" s="534"/>
    </row>
    <row r="20" spans="1:8" s="535" customFormat="1" ht="17.25" customHeight="1" x14ac:dyDescent="0.25">
      <c r="A20" s="530" t="s">
        <v>12</v>
      </c>
      <c r="B20" s="536" t="s">
        <v>943</v>
      </c>
      <c r="C20" s="539">
        <v>2</v>
      </c>
      <c r="D20" s="530" t="s">
        <v>511</v>
      </c>
      <c r="E20" s="532">
        <v>3000</v>
      </c>
      <c r="F20" s="533">
        <f>C20*E20</f>
        <v>6000</v>
      </c>
      <c r="G20" s="534"/>
      <c r="H20" s="284"/>
    </row>
    <row r="21" spans="1:8" ht="18.75" x14ac:dyDescent="0.25">
      <c r="A21" s="399"/>
      <c r="B21" s="410" t="s">
        <v>925</v>
      </c>
      <c r="C21" s="398"/>
      <c r="D21" s="399"/>
      <c r="E21" s="528"/>
      <c r="F21" s="400"/>
      <c r="G21" s="401"/>
      <c r="H21" s="401"/>
    </row>
    <row r="22" spans="1:8" ht="18.75" x14ac:dyDescent="0.25">
      <c r="A22" s="399" t="s">
        <v>13</v>
      </c>
      <c r="B22" s="398" t="s">
        <v>926</v>
      </c>
      <c r="C22" s="398">
        <v>10</v>
      </c>
      <c r="D22" s="399" t="s">
        <v>924</v>
      </c>
      <c r="E22" s="528">
        <v>85000</v>
      </c>
      <c r="F22" s="400">
        <f t="shared" ref="F22:F24" si="1">C22*E22</f>
        <v>850000</v>
      </c>
      <c r="G22" s="401"/>
      <c r="H22" s="401"/>
    </row>
    <row r="23" spans="1:8" ht="18.75" x14ac:dyDescent="0.25">
      <c r="A23" s="399" t="s">
        <v>14</v>
      </c>
      <c r="B23" s="398" t="s">
        <v>519</v>
      </c>
      <c r="C23" s="398">
        <v>11</v>
      </c>
      <c r="D23" s="399" t="s">
        <v>924</v>
      </c>
      <c r="E23" s="528">
        <f>E22</f>
        <v>85000</v>
      </c>
      <c r="F23" s="400">
        <f t="shared" si="1"/>
        <v>935000</v>
      </c>
      <c r="G23" s="401"/>
      <c r="H23" s="401"/>
    </row>
    <row r="24" spans="1:8" ht="18.75" x14ac:dyDescent="0.25">
      <c r="A24" s="399" t="s">
        <v>15</v>
      </c>
      <c r="B24" s="398" t="s">
        <v>668</v>
      </c>
      <c r="C24" s="398">
        <v>2</v>
      </c>
      <c r="D24" s="399" t="s">
        <v>939</v>
      </c>
      <c r="E24" s="528">
        <f>E23</f>
        <v>85000</v>
      </c>
      <c r="F24" s="400">
        <f t="shared" si="1"/>
        <v>170000</v>
      </c>
      <c r="G24" s="401"/>
      <c r="H24" s="401"/>
    </row>
    <row r="25" spans="1:8" ht="18.75" x14ac:dyDescent="0.25">
      <c r="A25" s="399"/>
      <c r="B25" s="398"/>
      <c r="C25" s="398"/>
      <c r="D25" s="399"/>
      <c r="E25" s="528"/>
      <c r="F25" s="400"/>
      <c r="G25" s="401"/>
      <c r="H25" s="401"/>
    </row>
    <row r="26" spans="1:8" ht="18.75" x14ac:dyDescent="0.25">
      <c r="A26" s="399"/>
      <c r="B26" s="411"/>
      <c r="C26" s="411"/>
      <c r="D26" s="402"/>
      <c r="E26" s="537"/>
      <c r="F26" s="296"/>
      <c r="G26" s="401"/>
      <c r="H26" s="401"/>
    </row>
    <row r="27" spans="1:8" ht="18.75" x14ac:dyDescent="0.25">
      <c r="A27" s="399"/>
      <c r="B27" s="411"/>
      <c r="C27" s="411"/>
      <c r="D27" s="402"/>
      <c r="E27" s="537"/>
      <c r="F27" s="296"/>
      <c r="G27" s="401"/>
      <c r="H27" s="401"/>
    </row>
    <row r="28" spans="1:8" ht="18.75" x14ac:dyDescent="0.25">
      <c r="A28" s="399"/>
      <c r="B28" s="411" t="s">
        <v>520</v>
      </c>
      <c r="C28" s="411"/>
      <c r="D28" s="402"/>
      <c r="E28" s="537" t="s">
        <v>15</v>
      </c>
      <c r="F28" s="296">
        <f>SUM(F5:F24)</f>
        <v>2405900</v>
      </c>
      <c r="G28" s="401"/>
      <c r="H28" s="401"/>
    </row>
    <row r="29" spans="1:8" ht="18.75" x14ac:dyDescent="0.25">
      <c r="A29" s="402"/>
      <c r="B29" s="403" t="s">
        <v>521</v>
      </c>
      <c r="C29" s="411"/>
      <c r="D29" s="402"/>
      <c r="E29" s="537"/>
      <c r="F29" s="429"/>
      <c r="G29" s="401"/>
      <c r="H29" s="401"/>
    </row>
    <row r="30" spans="1:8" ht="18.75" x14ac:dyDescent="0.25">
      <c r="A30" s="399"/>
      <c r="B30" s="398"/>
      <c r="C30" s="407"/>
      <c r="D30" s="399"/>
      <c r="E30" s="528"/>
      <c r="F30" s="400"/>
      <c r="G30" s="401"/>
      <c r="H30" s="401"/>
    </row>
    <row r="31" spans="1:8" s="535" customFormat="1" ht="17.25" customHeight="1" x14ac:dyDescent="0.25">
      <c r="A31" s="530"/>
      <c r="B31" s="531" t="s">
        <v>944</v>
      </c>
      <c r="C31" s="530"/>
      <c r="D31" s="530"/>
      <c r="E31" s="538"/>
      <c r="F31" s="533"/>
      <c r="G31" s="534"/>
    </row>
    <row r="32" spans="1:8" s="535" customFormat="1" ht="23.25" customHeight="1" x14ac:dyDescent="0.25">
      <c r="A32" s="530" t="s">
        <v>2</v>
      </c>
      <c r="B32" s="536" t="s">
        <v>945</v>
      </c>
      <c r="C32" s="539">
        <v>0</v>
      </c>
      <c r="D32" s="530" t="s">
        <v>513</v>
      </c>
      <c r="E32" s="532">
        <v>85000</v>
      </c>
      <c r="F32" s="533">
        <f>C32*E32</f>
        <v>0</v>
      </c>
      <c r="G32" s="534"/>
      <c r="H32" s="284"/>
    </row>
    <row r="33" spans="1:8" s="535" customFormat="1" ht="21.75" customHeight="1" x14ac:dyDescent="0.25">
      <c r="A33" s="530" t="s">
        <v>4</v>
      </c>
      <c r="B33" s="536" t="s">
        <v>65</v>
      </c>
      <c r="C33" s="539">
        <v>1</v>
      </c>
      <c r="D33" s="530" t="s">
        <v>513</v>
      </c>
      <c r="E33" s="532">
        <f>E32</f>
        <v>85000</v>
      </c>
      <c r="F33" s="533">
        <f>C33*E33</f>
        <v>85000</v>
      </c>
      <c r="G33" s="534"/>
      <c r="H33" s="284"/>
    </row>
    <row r="34" spans="1:8" s="535" customFormat="1" ht="21" customHeight="1" x14ac:dyDescent="0.25">
      <c r="A34" s="530"/>
      <c r="B34" s="540" t="s">
        <v>102</v>
      </c>
      <c r="C34" s="530"/>
      <c r="D34" s="530"/>
      <c r="E34" s="538"/>
      <c r="F34" s="533"/>
      <c r="G34" s="534"/>
    </row>
    <row r="35" spans="1:8" s="535" customFormat="1" ht="38.25" customHeight="1" x14ac:dyDescent="0.25">
      <c r="A35" s="530"/>
      <c r="B35" s="541" t="s">
        <v>946</v>
      </c>
      <c r="C35" s="530"/>
      <c r="D35" s="530"/>
      <c r="E35" s="538"/>
      <c r="F35" s="533"/>
      <c r="G35" s="534"/>
    </row>
    <row r="36" spans="1:8" s="535" customFormat="1" ht="18" customHeight="1" x14ac:dyDescent="0.25">
      <c r="A36" s="530" t="s">
        <v>5</v>
      </c>
      <c r="B36" s="536" t="s">
        <v>672</v>
      </c>
      <c r="C36" s="542">
        <v>114</v>
      </c>
      <c r="D36" s="530" t="s">
        <v>75</v>
      </c>
      <c r="E36" s="532">
        <v>1250</v>
      </c>
      <c r="F36" s="533">
        <f>C36*E36</f>
        <v>142500</v>
      </c>
      <c r="G36" s="534"/>
      <c r="H36" s="284"/>
    </row>
    <row r="37" spans="1:8" s="535" customFormat="1" ht="19.5" customHeight="1" x14ac:dyDescent="0.25">
      <c r="A37" s="530" t="s">
        <v>6</v>
      </c>
      <c r="B37" s="536" t="s">
        <v>523</v>
      </c>
      <c r="C37" s="539">
        <v>85</v>
      </c>
      <c r="D37" s="530" t="s">
        <v>75</v>
      </c>
      <c r="E37" s="532">
        <f>E36</f>
        <v>1250</v>
      </c>
      <c r="F37" s="533">
        <f>C37*E37</f>
        <v>106250</v>
      </c>
      <c r="G37" s="534"/>
      <c r="H37" s="284"/>
    </row>
    <row r="38" spans="1:8" s="535" customFormat="1" ht="21" customHeight="1" x14ac:dyDescent="0.25">
      <c r="A38" s="530"/>
      <c r="B38" s="540" t="s">
        <v>67</v>
      </c>
      <c r="C38" s="530"/>
      <c r="D38" s="530"/>
      <c r="E38" s="538"/>
      <c r="F38" s="533"/>
      <c r="G38" s="534"/>
    </row>
    <row r="39" spans="1:8" s="535" customFormat="1" ht="24.75" customHeight="1" x14ac:dyDescent="0.25">
      <c r="A39" s="530"/>
      <c r="B39" s="531" t="s">
        <v>120</v>
      </c>
      <c r="C39" s="530"/>
      <c r="D39" s="530"/>
      <c r="E39" s="538"/>
      <c r="F39" s="533"/>
      <c r="G39" s="534"/>
    </row>
    <row r="40" spans="1:8" s="535" customFormat="1" ht="21.75" customHeight="1" x14ac:dyDescent="0.25">
      <c r="A40" s="530" t="s">
        <v>7</v>
      </c>
      <c r="B40" s="536" t="s">
        <v>947</v>
      </c>
      <c r="C40" s="539">
        <v>15</v>
      </c>
      <c r="D40" s="530" t="s">
        <v>511</v>
      </c>
      <c r="E40" s="532">
        <v>6500</v>
      </c>
      <c r="F40" s="533">
        <f>C40*E40</f>
        <v>97500</v>
      </c>
      <c r="G40" s="534"/>
      <c r="H40" s="284"/>
    </row>
    <row r="41" spans="1:8" ht="18.75" x14ac:dyDescent="0.25">
      <c r="A41" s="399" t="s">
        <v>8</v>
      </c>
      <c r="B41" s="398" t="s">
        <v>1</v>
      </c>
      <c r="C41" s="398">
        <v>66</v>
      </c>
      <c r="D41" s="399" t="s">
        <v>22</v>
      </c>
      <c r="E41" s="528">
        <v>975</v>
      </c>
      <c r="F41" s="400">
        <f>C41*E41</f>
        <v>64350</v>
      </c>
      <c r="G41" s="401"/>
      <c r="H41" s="401"/>
    </row>
    <row r="42" spans="1:8" ht="49.5" x14ac:dyDescent="0.25">
      <c r="A42" s="399"/>
      <c r="B42" s="414" t="s">
        <v>524</v>
      </c>
      <c r="C42" s="398"/>
      <c r="D42" s="399"/>
      <c r="E42" s="528"/>
      <c r="F42" s="400"/>
      <c r="G42" s="401"/>
      <c r="H42" s="401"/>
    </row>
    <row r="43" spans="1:8" ht="18.75" x14ac:dyDescent="0.25">
      <c r="A43" s="399" t="s">
        <v>9</v>
      </c>
      <c r="B43" s="415" t="s">
        <v>39</v>
      </c>
      <c r="C43" s="398">
        <v>70</v>
      </c>
      <c r="D43" s="399" t="s">
        <v>922</v>
      </c>
      <c r="E43" s="528">
        <v>800</v>
      </c>
      <c r="F43" s="400">
        <f t="shared" ref="F43" si="2">C43*E43</f>
        <v>56000</v>
      </c>
      <c r="G43" s="401"/>
      <c r="H43" s="401"/>
    </row>
    <row r="44" spans="1:8" ht="18.75" x14ac:dyDescent="0.25">
      <c r="A44" s="399"/>
      <c r="B44" s="398"/>
      <c r="C44" s="398"/>
      <c r="D44" s="399"/>
      <c r="E44" s="528"/>
      <c r="F44" s="400"/>
      <c r="G44" s="401"/>
      <c r="H44" s="401"/>
    </row>
    <row r="45" spans="1:8" ht="18.75" x14ac:dyDescent="0.25">
      <c r="A45" s="399"/>
      <c r="B45" s="404" t="s">
        <v>84</v>
      </c>
      <c r="C45" s="411"/>
      <c r="D45" s="402"/>
      <c r="E45" s="537"/>
      <c r="F45" s="412"/>
      <c r="G45" s="401"/>
      <c r="H45" s="401"/>
    </row>
    <row r="46" spans="1:8" ht="18.75" x14ac:dyDescent="0.25">
      <c r="A46" s="399"/>
      <c r="B46" s="413"/>
      <c r="C46" s="411"/>
      <c r="D46" s="402"/>
      <c r="E46" s="537"/>
      <c r="F46" s="412"/>
      <c r="G46" s="401"/>
      <c r="H46" s="401"/>
    </row>
    <row r="47" spans="1:8" ht="49.5" x14ac:dyDescent="0.25">
      <c r="A47" s="399"/>
      <c r="B47" s="414" t="s">
        <v>526</v>
      </c>
      <c r="C47" s="411"/>
      <c r="D47" s="402"/>
      <c r="E47" s="537"/>
      <c r="F47" s="412"/>
      <c r="G47" s="401"/>
      <c r="H47" s="401"/>
    </row>
    <row r="48" spans="1:8" ht="18.75" x14ac:dyDescent="0.25">
      <c r="A48" s="399"/>
      <c r="B48" s="414"/>
      <c r="C48" s="411"/>
      <c r="D48" s="402"/>
      <c r="E48" s="537"/>
      <c r="F48" s="412"/>
      <c r="G48" s="401"/>
      <c r="H48" s="401"/>
    </row>
    <row r="49" spans="1:6" ht="18.75" x14ac:dyDescent="0.25">
      <c r="A49" s="399" t="s">
        <v>2</v>
      </c>
      <c r="B49" s="415" t="s">
        <v>527</v>
      </c>
      <c r="C49" s="398">
        <v>75</v>
      </c>
      <c r="D49" s="399" t="s">
        <v>922</v>
      </c>
      <c r="E49" s="528">
        <v>11000</v>
      </c>
      <c r="F49" s="400">
        <f>C49*E49</f>
        <v>825000</v>
      </c>
    </row>
    <row r="50" spans="1:6" ht="18.75" x14ac:dyDescent="0.25">
      <c r="A50" s="399"/>
      <c r="B50" s="398"/>
      <c r="C50" s="401"/>
      <c r="D50" s="399"/>
      <c r="E50" s="528"/>
      <c r="F50" s="400"/>
    </row>
    <row r="51" spans="1:6" ht="18.75" x14ac:dyDescent="0.25">
      <c r="A51" s="399"/>
      <c r="B51" s="410" t="s">
        <v>528</v>
      </c>
      <c r="C51" s="398"/>
      <c r="D51" s="399"/>
      <c r="E51" s="528"/>
      <c r="F51" s="416"/>
    </row>
    <row r="52" spans="1:6" ht="18.75" x14ac:dyDescent="0.25">
      <c r="A52" s="399"/>
      <c r="B52" s="398"/>
      <c r="C52" s="398"/>
      <c r="D52" s="399"/>
      <c r="E52" s="528"/>
      <c r="F52" s="416"/>
    </row>
    <row r="53" spans="1:6" ht="18.75" x14ac:dyDescent="0.25">
      <c r="A53" s="399"/>
      <c r="B53" s="410" t="s">
        <v>529</v>
      </c>
      <c r="C53" s="398"/>
      <c r="D53" s="399"/>
      <c r="E53" s="528"/>
      <c r="F53" s="416"/>
    </row>
    <row r="54" spans="1:6" ht="18.75" x14ac:dyDescent="0.25">
      <c r="A54" s="399"/>
      <c r="B54" s="398"/>
      <c r="C54" s="398"/>
      <c r="D54" s="399"/>
      <c r="E54" s="528"/>
      <c r="F54" s="416"/>
    </row>
    <row r="55" spans="1:6" ht="49.5" x14ac:dyDescent="0.25">
      <c r="A55" s="399" t="s">
        <v>4</v>
      </c>
      <c r="B55" s="406" t="s">
        <v>530</v>
      </c>
      <c r="C55" s="398">
        <v>70</v>
      </c>
      <c r="D55" s="399" t="s">
        <v>922</v>
      </c>
      <c r="E55" s="528">
        <v>700</v>
      </c>
      <c r="F55" s="400">
        <f>C55*E55</f>
        <v>49000</v>
      </c>
    </row>
    <row r="56" spans="1:6" ht="18.75" x14ac:dyDescent="0.25">
      <c r="A56" s="399"/>
      <c r="B56" s="406"/>
      <c r="C56" s="398"/>
      <c r="D56" s="399"/>
      <c r="E56" s="528"/>
      <c r="F56" s="416"/>
    </row>
    <row r="57" spans="1:6" ht="18.75" x14ac:dyDescent="0.25">
      <c r="A57" s="399"/>
      <c r="B57" s="406"/>
      <c r="C57" s="398"/>
      <c r="D57" s="399"/>
      <c r="E57" s="528"/>
      <c r="F57" s="416"/>
    </row>
    <row r="58" spans="1:6" ht="18.75" x14ac:dyDescent="0.25">
      <c r="A58" s="399"/>
      <c r="B58" s="483" t="s">
        <v>525</v>
      </c>
      <c r="C58" s="398"/>
      <c r="D58" s="399"/>
      <c r="E58" s="537" t="s">
        <v>15</v>
      </c>
      <c r="F58" s="429">
        <f>SUM(F30:F57)</f>
        <v>1425600</v>
      </c>
    </row>
    <row r="59" spans="1:6" ht="18.75" x14ac:dyDescent="0.25">
      <c r="A59" s="399"/>
      <c r="B59" s="406"/>
      <c r="C59" s="398"/>
      <c r="D59" s="399"/>
      <c r="E59" s="528"/>
      <c r="F59" s="416"/>
    </row>
    <row r="60" spans="1:6" ht="18.75" x14ac:dyDescent="0.25">
      <c r="A60" s="399"/>
      <c r="B60" s="483"/>
      <c r="C60" s="398"/>
      <c r="D60" s="399"/>
      <c r="E60" s="537"/>
      <c r="F60" s="296"/>
    </row>
    <row r="61" spans="1:6" ht="18.75" x14ac:dyDescent="0.25">
      <c r="A61" s="399"/>
      <c r="B61" s="404" t="s">
        <v>531</v>
      </c>
      <c r="C61" s="398"/>
      <c r="D61" s="399"/>
      <c r="E61" s="537"/>
      <c r="F61" s="296"/>
    </row>
    <row r="62" spans="1:6" ht="18.75" x14ac:dyDescent="0.25">
      <c r="A62" s="399"/>
      <c r="B62" s="398"/>
      <c r="C62" s="398"/>
      <c r="D62" s="399"/>
      <c r="E62" s="528"/>
      <c r="F62" s="418"/>
    </row>
    <row r="63" spans="1:6" ht="18.75" x14ac:dyDescent="0.25">
      <c r="A63" s="399"/>
      <c r="B63" s="484" t="s">
        <v>532</v>
      </c>
      <c r="C63" s="398"/>
      <c r="D63" s="399"/>
      <c r="E63" s="528">
        <f>F28</f>
        <v>2405900</v>
      </c>
      <c r="F63" s="418"/>
    </row>
    <row r="64" spans="1:6" ht="18.75" x14ac:dyDescent="0.25">
      <c r="A64" s="399"/>
      <c r="B64" s="485"/>
      <c r="C64" s="398"/>
      <c r="D64" s="399"/>
      <c r="E64" s="528"/>
      <c r="F64" s="418"/>
    </row>
    <row r="65" spans="1:6" ht="18.75" x14ac:dyDescent="0.25">
      <c r="A65" s="399"/>
      <c r="B65" s="484" t="s">
        <v>451</v>
      </c>
      <c r="C65" s="398"/>
      <c r="D65" s="399"/>
      <c r="E65" s="528">
        <f>F58</f>
        <v>1425600</v>
      </c>
      <c r="F65" s="418"/>
    </row>
    <row r="66" spans="1:6" ht="18.75" x14ac:dyDescent="0.25">
      <c r="A66" s="399"/>
      <c r="B66" s="417"/>
      <c r="C66" s="398"/>
      <c r="D66" s="399"/>
      <c r="E66" s="528"/>
      <c r="F66" s="418"/>
    </row>
    <row r="67" spans="1:6" ht="18.75" x14ac:dyDescent="0.25">
      <c r="A67" s="399"/>
      <c r="B67" s="417"/>
      <c r="C67" s="398"/>
      <c r="D67" s="399"/>
      <c r="E67" s="528"/>
      <c r="F67" s="418"/>
    </row>
    <row r="68" spans="1:6" ht="18.75" x14ac:dyDescent="0.25">
      <c r="A68" s="399"/>
      <c r="B68" s="417"/>
      <c r="C68" s="398"/>
      <c r="D68" s="399"/>
      <c r="E68" s="528"/>
      <c r="F68" s="418"/>
    </row>
    <row r="69" spans="1:6" ht="18.75" x14ac:dyDescent="0.25">
      <c r="A69" s="399"/>
      <c r="B69" s="417"/>
      <c r="C69" s="398"/>
      <c r="D69" s="399"/>
      <c r="E69" s="528"/>
      <c r="F69" s="418"/>
    </row>
    <row r="70" spans="1:6" ht="18.75" x14ac:dyDescent="0.25">
      <c r="A70" s="399"/>
      <c r="B70" s="419" t="s">
        <v>533</v>
      </c>
      <c r="C70" s="411"/>
      <c r="D70" s="402"/>
      <c r="E70" s="528"/>
      <c r="F70" s="420"/>
    </row>
    <row r="71" spans="1:6" ht="18.75" x14ac:dyDescent="0.25">
      <c r="A71" s="399"/>
      <c r="B71" s="411" t="s">
        <v>534</v>
      </c>
      <c r="C71" s="411"/>
      <c r="D71" s="402"/>
      <c r="E71" s="537" t="s">
        <v>15</v>
      </c>
      <c r="F71" s="412">
        <f>SUM(E63:E66)</f>
        <v>3831500</v>
      </c>
    </row>
    <row r="72" spans="1:6" ht="18.75" x14ac:dyDescent="0.25">
      <c r="A72" s="399"/>
      <c r="B72" s="397" t="s">
        <v>535</v>
      </c>
      <c r="C72" s="398"/>
      <c r="D72" s="399"/>
      <c r="E72" s="528"/>
      <c r="F72" s="400"/>
    </row>
    <row r="73" spans="1:6" ht="18.75" x14ac:dyDescent="0.25">
      <c r="A73" s="399"/>
      <c r="B73" s="398"/>
      <c r="C73" s="398"/>
      <c r="D73" s="399"/>
      <c r="E73" s="528"/>
      <c r="F73" s="400"/>
    </row>
    <row r="74" spans="1:6" ht="18.75" x14ac:dyDescent="0.25">
      <c r="A74" s="399"/>
      <c r="B74" s="403" t="s">
        <v>948</v>
      </c>
      <c r="C74" s="398"/>
      <c r="D74" s="399"/>
      <c r="E74" s="528"/>
      <c r="F74" s="418"/>
    </row>
    <row r="75" spans="1:6" ht="18.75" x14ac:dyDescent="0.25">
      <c r="A75" s="399"/>
      <c r="B75" s="403"/>
      <c r="C75" s="398"/>
      <c r="D75" s="399"/>
      <c r="E75" s="528"/>
      <c r="F75" s="418"/>
    </row>
    <row r="76" spans="1:6" ht="18.75" x14ac:dyDescent="0.25">
      <c r="A76" s="399"/>
      <c r="B76" s="404" t="s">
        <v>84</v>
      </c>
      <c r="C76" s="411"/>
      <c r="D76" s="402"/>
      <c r="E76" s="537"/>
      <c r="F76" s="412"/>
    </row>
    <row r="77" spans="1:6" ht="18.75" x14ac:dyDescent="0.25">
      <c r="A77" s="399"/>
      <c r="B77" s="413"/>
      <c r="C77" s="411"/>
      <c r="D77" s="402"/>
      <c r="E77" s="537"/>
      <c r="F77" s="412"/>
    </row>
    <row r="78" spans="1:6" ht="33" x14ac:dyDescent="0.25">
      <c r="A78" s="399"/>
      <c r="B78" s="414" t="s">
        <v>594</v>
      </c>
      <c r="C78" s="411"/>
      <c r="D78" s="402"/>
      <c r="E78" s="537"/>
      <c r="F78" s="412"/>
    </row>
    <row r="79" spans="1:6" ht="18.75" x14ac:dyDescent="0.25">
      <c r="A79" s="399"/>
      <c r="B79" s="414"/>
      <c r="C79" s="411"/>
      <c r="D79" s="402"/>
      <c r="E79" s="537"/>
      <c r="F79" s="412"/>
    </row>
    <row r="80" spans="1:6" ht="18.75" x14ac:dyDescent="0.25">
      <c r="A80" s="399" t="s">
        <v>2</v>
      </c>
      <c r="B80" s="398" t="s">
        <v>595</v>
      </c>
      <c r="C80" s="407">
        <v>152</v>
      </c>
      <c r="D80" s="399" t="s">
        <v>922</v>
      </c>
      <c r="E80" s="528">
        <v>10300</v>
      </c>
      <c r="F80" s="486">
        <f>C80*E80</f>
        <v>1565600</v>
      </c>
    </row>
    <row r="81" spans="1:8" ht="18.75" x14ac:dyDescent="0.25">
      <c r="A81" s="399"/>
      <c r="B81" s="403"/>
      <c r="C81" s="398"/>
      <c r="D81" s="399"/>
      <c r="E81" s="528"/>
      <c r="F81" s="487"/>
      <c r="G81" s="401"/>
      <c r="H81" s="401"/>
    </row>
    <row r="82" spans="1:8" ht="18.75" x14ac:dyDescent="0.25">
      <c r="A82" s="399" t="s">
        <v>4</v>
      </c>
      <c r="B82" s="398" t="s">
        <v>596</v>
      </c>
      <c r="C82" s="407">
        <v>43</v>
      </c>
      <c r="D82" s="399" t="s">
        <v>922</v>
      </c>
      <c r="E82" s="528">
        <v>9500</v>
      </c>
      <c r="F82" s="486">
        <f>C82*E82</f>
        <v>408500</v>
      </c>
      <c r="G82" s="401"/>
      <c r="H82" s="401"/>
    </row>
    <row r="83" spans="1:8" ht="18.75" x14ac:dyDescent="0.25">
      <c r="A83" s="399"/>
      <c r="B83" s="398"/>
      <c r="C83" s="410"/>
      <c r="D83" s="399"/>
      <c r="E83" s="528"/>
      <c r="F83" s="421"/>
      <c r="G83" s="401"/>
      <c r="H83" s="401"/>
    </row>
    <row r="84" spans="1:8" ht="18.75" x14ac:dyDescent="0.25">
      <c r="A84" s="399"/>
      <c r="B84" s="404" t="s">
        <v>98</v>
      </c>
      <c r="C84" s="398"/>
      <c r="D84" s="399"/>
      <c r="E84" s="528"/>
      <c r="F84" s="418"/>
      <c r="G84" s="401"/>
      <c r="H84" s="401"/>
    </row>
    <row r="85" spans="1:8" ht="18.75" x14ac:dyDescent="0.25">
      <c r="A85" s="399"/>
      <c r="B85" s="398"/>
      <c r="C85" s="398"/>
      <c r="D85" s="399"/>
      <c r="E85" s="528"/>
      <c r="F85" s="418"/>
      <c r="G85" s="401"/>
      <c r="H85" s="401"/>
    </row>
    <row r="86" spans="1:8" ht="18.75" x14ac:dyDescent="0.25">
      <c r="A86" s="399"/>
      <c r="B86" s="410" t="s">
        <v>927</v>
      </c>
      <c r="C86" s="398"/>
      <c r="D86" s="399"/>
      <c r="E86" s="528"/>
      <c r="F86" s="418"/>
      <c r="G86" s="401"/>
      <c r="H86" s="401"/>
    </row>
    <row r="87" spans="1:8" ht="18.75" x14ac:dyDescent="0.25">
      <c r="A87" s="399"/>
      <c r="B87" s="410"/>
      <c r="C87" s="398"/>
      <c r="D87" s="399"/>
      <c r="E87" s="528"/>
      <c r="F87" s="418"/>
      <c r="G87" s="401"/>
      <c r="H87" s="401"/>
    </row>
    <row r="88" spans="1:8" ht="18.75" x14ac:dyDescent="0.25">
      <c r="A88" s="399" t="s">
        <v>5</v>
      </c>
      <c r="B88" s="398" t="s">
        <v>597</v>
      </c>
      <c r="C88" s="398">
        <v>2</v>
      </c>
      <c r="D88" s="399" t="s">
        <v>924</v>
      </c>
      <c r="E88" s="528">
        <v>85000</v>
      </c>
      <c r="F88" s="418">
        <f>C88*E88</f>
        <v>170000</v>
      </c>
      <c r="G88" s="401"/>
      <c r="H88" s="401"/>
    </row>
    <row r="89" spans="1:8" ht="18.75" x14ac:dyDescent="0.25">
      <c r="A89" s="399"/>
      <c r="B89" s="398"/>
      <c r="C89" s="398"/>
      <c r="D89" s="399"/>
      <c r="E89" s="528"/>
      <c r="F89" s="418"/>
      <c r="G89" s="401"/>
      <c r="H89" s="401"/>
    </row>
    <row r="90" spans="1:8" s="535" customFormat="1" ht="21.75" customHeight="1" x14ac:dyDescent="0.25">
      <c r="A90" s="530" t="s">
        <v>6</v>
      </c>
      <c r="B90" s="536" t="s">
        <v>65</v>
      </c>
      <c r="C90" s="539">
        <v>3</v>
      </c>
      <c r="D90" s="530" t="s">
        <v>513</v>
      </c>
      <c r="E90" s="532">
        <f>E88</f>
        <v>85000</v>
      </c>
      <c r="F90" s="533">
        <f>C90*E90</f>
        <v>255000</v>
      </c>
      <c r="G90" s="534"/>
      <c r="H90" s="284"/>
    </row>
    <row r="91" spans="1:8" ht="18.75" x14ac:dyDescent="0.25">
      <c r="A91" s="399"/>
      <c r="B91" s="398"/>
      <c r="C91" s="398"/>
      <c r="D91" s="399"/>
      <c r="E91" s="528"/>
      <c r="F91" s="418"/>
      <c r="G91" s="401"/>
      <c r="H91" s="401"/>
    </row>
    <row r="92" spans="1:8" s="535" customFormat="1" ht="16.5" x14ac:dyDescent="0.25">
      <c r="A92" s="530" t="s">
        <v>7</v>
      </c>
      <c r="B92" s="536" t="s">
        <v>537</v>
      </c>
      <c r="C92" s="539">
        <v>0</v>
      </c>
      <c r="D92" s="530" t="s">
        <v>513</v>
      </c>
      <c r="E92" s="532">
        <f>E90</f>
        <v>85000</v>
      </c>
      <c r="F92" s="533">
        <f>C92*E92</f>
        <v>0</v>
      </c>
      <c r="G92" s="533"/>
      <c r="H92" s="284"/>
    </row>
    <row r="93" spans="1:8" s="535" customFormat="1" ht="16.5" x14ac:dyDescent="0.25">
      <c r="A93" s="530"/>
      <c r="B93" s="536"/>
      <c r="C93" s="539"/>
      <c r="D93" s="530"/>
      <c r="E93" s="532"/>
      <c r="F93" s="533"/>
      <c r="G93" s="533"/>
      <c r="H93" s="284"/>
    </row>
    <row r="94" spans="1:8" ht="18.75" x14ac:dyDescent="0.25">
      <c r="A94" s="399"/>
      <c r="B94" s="404" t="s">
        <v>102</v>
      </c>
      <c r="C94" s="398"/>
      <c r="D94" s="399"/>
      <c r="E94" s="528"/>
      <c r="F94" s="418"/>
      <c r="G94" s="401"/>
      <c r="H94" s="401"/>
    </row>
    <row r="95" spans="1:8" ht="18.75" x14ac:dyDescent="0.25">
      <c r="A95" s="399"/>
      <c r="B95" s="410"/>
      <c r="C95" s="398"/>
      <c r="D95" s="399"/>
      <c r="E95" s="528"/>
      <c r="F95" s="418"/>
      <c r="G95" s="401"/>
      <c r="H95" s="401"/>
    </row>
    <row r="96" spans="1:8" ht="33" x14ac:dyDescent="0.25">
      <c r="A96" s="399"/>
      <c r="B96" s="414" t="s">
        <v>598</v>
      </c>
      <c r="C96" s="398"/>
      <c r="D96" s="399"/>
      <c r="E96" s="528"/>
      <c r="F96" s="418"/>
      <c r="G96" s="401"/>
      <c r="H96" s="401"/>
    </row>
    <row r="97" spans="1:6" ht="18.75" x14ac:dyDescent="0.25">
      <c r="A97" s="399"/>
      <c r="B97" s="398"/>
      <c r="C97" s="398"/>
      <c r="D97" s="399"/>
      <c r="E97" s="528"/>
      <c r="F97" s="418"/>
    </row>
    <row r="98" spans="1:6" ht="18.75" x14ac:dyDescent="0.25">
      <c r="A98" s="399" t="s">
        <v>8</v>
      </c>
      <c r="B98" s="398" t="s">
        <v>970</v>
      </c>
      <c r="C98" s="398">
        <v>540</v>
      </c>
      <c r="D98" s="399" t="s">
        <v>75</v>
      </c>
      <c r="E98" s="528">
        <v>1250</v>
      </c>
      <c r="F98" s="418">
        <f>C98*E98</f>
        <v>675000</v>
      </c>
    </row>
    <row r="99" spans="1:6" ht="18.75" x14ac:dyDescent="0.25">
      <c r="A99" s="399"/>
      <c r="B99" s="398"/>
      <c r="C99" s="398"/>
      <c r="D99" s="399"/>
      <c r="E99" s="528"/>
      <c r="F99" s="418"/>
    </row>
    <row r="100" spans="1:6" ht="18.75" x14ac:dyDescent="0.25">
      <c r="A100" s="399"/>
      <c r="B100" s="398"/>
      <c r="C100" s="398"/>
      <c r="D100" s="399"/>
      <c r="E100" s="528"/>
      <c r="F100" s="418"/>
    </row>
    <row r="101" spans="1:6" ht="18.75" x14ac:dyDescent="0.25">
      <c r="A101" s="399"/>
      <c r="B101" s="404" t="s">
        <v>67</v>
      </c>
      <c r="C101" s="398"/>
      <c r="D101" s="399"/>
      <c r="E101" s="528"/>
      <c r="F101" s="418"/>
    </row>
    <row r="102" spans="1:6" ht="18.75" x14ac:dyDescent="0.25">
      <c r="A102" s="399"/>
      <c r="B102" s="398"/>
      <c r="C102" s="398"/>
      <c r="D102" s="399"/>
      <c r="E102" s="528"/>
      <c r="F102" s="418"/>
    </row>
    <row r="103" spans="1:6" ht="18.75" x14ac:dyDescent="0.25">
      <c r="A103" s="399"/>
      <c r="B103" s="410" t="s">
        <v>120</v>
      </c>
      <c r="C103" s="398"/>
      <c r="D103" s="399"/>
      <c r="E103" s="528"/>
      <c r="F103" s="418"/>
    </row>
    <row r="104" spans="1:6" ht="18.75" x14ac:dyDescent="0.25">
      <c r="A104" s="399"/>
      <c r="B104" s="398"/>
      <c r="C104" s="398"/>
      <c r="D104" s="399"/>
      <c r="E104" s="528"/>
      <c r="F104" s="418"/>
    </row>
    <row r="105" spans="1:6" ht="18.75" x14ac:dyDescent="0.25">
      <c r="A105" s="399" t="s">
        <v>9</v>
      </c>
      <c r="B105" s="398" t="s">
        <v>949</v>
      </c>
      <c r="C105" s="398">
        <v>67</v>
      </c>
      <c r="D105" s="399" t="s">
        <v>922</v>
      </c>
      <c r="E105" s="528">
        <v>6500</v>
      </c>
      <c r="F105" s="418">
        <f>C105*E105</f>
        <v>435500</v>
      </c>
    </row>
    <row r="106" spans="1:6" ht="18.75" x14ac:dyDescent="0.25">
      <c r="A106" s="399"/>
      <c r="B106" s="410"/>
      <c r="C106" s="398"/>
      <c r="D106" s="399"/>
      <c r="E106" s="528"/>
      <c r="F106" s="416"/>
    </row>
    <row r="107" spans="1:6" ht="18.75" x14ac:dyDescent="0.25">
      <c r="A107" s="399"/>
      <c r="B107" s="398"/>
      <c r="C107" s="398"/>
      <c r="D107" s="399"/>
      <c r="E107" s="528"/>
      <c r="F107" s="416"/>
    </row>
    <row r="108" spans="1:6" ht="18.75" x14ac:dyDescent="0.25">
      <c r="A108" s="399"/>
      <c r="B108" s="398"/>
      <c r="C108" s="410"/>
      <c r="D108" s="399"/>
      <c r="E108" s="528"/>
      <c r="F108" s="421"/>
    </row>
    <row r="109" spans="1:6" ht="18.75" x14ac:dyDescent="0.25">
      <c r="A109" s="399"/>
      <c r="B109" s="398"/>
      <c r="C109" s="410"/>
      <c r="D109" s="399"/>
      <c r="E109" s="528"/>
      <c r="F109" s="421"/>
    </row>
    <row r="110" spans="1:6" ht="18.75" x14ac:dyDescent="0.25">
      <c r="A110" s="399"/>
      <c r="B110" s="398"/>
      <c r="C110" s="410"/>
      <c r="D110" s="399"/>
      <c r="E110" s="528"/>
      <c r="F110" s="421"/>
    </row>
    <row r="111" spans="1:6" ht="18.75" x14ac:dyDescent="0.25">
      <c r="A111" s="399"/>
      <c r="B111" s="398"/>
      <c r="C111" s="411"/>
      <c r="D111" s="402"/>
      <c r="E111" s="537"/>
      <c r="F111" s="420"/>
    </row>
    <row r="112" spans="1:6" ht="18.75" x14ac:dyDescent="0.25">
      <c r="A112" s="399"/>
      <c r="B112" s="398"/>
      <c r="C112" s="398"/>
      <c r="D112" s="399"/>
      <c r="E112" s="528"/>
      <c r="F112" s="400"/>
    </row>
    <row r="113" spans="1:8" ht="18.75" x14ac:dyDescent="0.25">
      <c r="A113" s="399"/>
      <c r="B113" s="403" t="s">
        <v>948</v>
      </c>
      <c r="C113" s="398"/>
      <c r="D113" s="399"/>
      <c r="E113" s="528"/>
      <c r="F113" s="400"/>
    </row>
    <row r="114" spans="1:8" ht="18.75" x14ac:dyDescent="0.25">
      <c r="A114" s="399"/>
      <c r="B114" s="411" t="s">
        <v>534</v>
      </c>
      <c r="C114" s="398"/>
      <c r="D114" s="399"/>
      <c r="E114" s="537" t="s">
        <v>15</v>
      </c>
      <c r="F114" s="296">
        <f>F80+F82+F88+F98+F105+F90+F92</f>
        <v>3509600</v>
      </c>
    </row>
    <row r="115" spans="1:8" ht="18.75" x14ac:dyDescent="0.25">
      <c r="A115" s="399"/>
      <c r="B115" s="397" t="s">
        <v>543</v>
      </c>
      <c r="C115" s="398"/>
      <c r="D115" s="399"/>
      <c r="E115" s="528"/>
      <c r="F115" s="400"/>
    </row>
    <row r="116" spans="1:8" ht="18.75" x14ac:dyDescent="0.25">
      <c r="A116" s="399"/>
      <c r="B116" s="398"/>
      <c r="C116" s="398"/>
      <c r="D116" s="399"/>
      <c r="E116" s="528"/>
      <c r="F116" s="400"/>
    </row>
    <row r="117" spans="1:8" ht="18.75" x14ac:dyDescent="0.25">
      <c r="A117" s="399"/>
      <c r="B117" s="403" t="s">
        <v>602</v>
      </c>
      <c r="C117" s="398"/>
      <c r="D117" s="399"/>
      <c r="E117" s="528"/>
      <c r="F117" s="418"/>
    </row>
    <row r="118" spans="1:8" ht="36" x14ac:dyDescent="0.25">
      <c r="A118" s="399"/>
      <c r="B118" s="490" t="s">
        <v>203</v>
      </c>
      <c r="C118" s="411"/>
      <c r="D118" s="402"/>
      <c r="E118" s="537"/>
      <c r="F118" s="412"/>
    </row>
    <row r="119" spans="1:8" ht="18.75" x14ac:dyDescent="0.25">
      <c r="A119" s="399"/>
      <c r="B119" s="411"/>
      <c r="C119" s="411"/>
      <c r="D119" s="402"/>
      <c r="E119" s="537"/>
      <c r="F119" s="412"/>
    </row>
    <row r="120" spans="1:8" s="401" customFormat="1" ht="56.25" customHeight="1" x14ac:dyDescent="0.3">
      <c r="A120" s="399"/>
      <c r="B120" s="543" t="s">
        <v>971</v>
      </c>
      <c r="C120" s="398"/>
      <c r="D120" s="399"/>
      <c r="E120" s="528"/>
      <c r="F120" s="400"/>
      <c r="G120"/>
      <c r="H120"/>
    </row>
    <row r="121" spans="1:8" s="401" customFormat="1" ht="18.75" x14ac:dyDescent="0.25">
      <c r="A121" s="399"/>
      <c r="B121" s="398"/>
      <c r="C121" s="398"/>
      <c r="D121" s="399"/>
      <c r="E121" s="528"/>
      <c r="F121" s="418"/>
      <c r="G121"/>
      <c r="H121"/>
    </row>
    <row r="122" spans="1:8" s="401" customFormat="1" ht="15.75" customHeight="1" x14ac:dyDescent="0.25">
      <c r="A122" s="399" t="s">
        <v>2</v>
      </c>
      <c r="B122" s="415" t="s">
        <v>1107</v>
      </c>
      <c r="C122" s="398">
        <v>0</v>
      </c>
      <c r="D122" s="399" t="s">
        <v>3</v>
      </c>
      <c r="E122" s="528">
        <v>40500</v>
      </c>
      <c r="F122" s="418">
        <f>C122*E122</f>
        <v>0</v>
      </c>
      <c r="G122"/>
      <c r="H122"/>
    </row>
    <row r="123" spans="1:8" s="401" customFormat="1" ht="18.75" x14ac:dyDescent="0.25">
      <c r="A123" s="399"/>
      <c r="B123" s="415"/>
      <c r="C123" s="398"/>
      <c r="D123" s="399"/>
      <c r="E123" s="528"/>
      <c r="F123" s="418"/>
      <c r="G123"/>
      <c r="H123"/>
    </row>
    <row r="124" spans="1:8" s="401" customFormat="1" ht="18.75" x14ac:dyDescent="0.25">
      <c r="A124" s="399" t="s">
        <v>4</v>
      </c>
      <c r="B124" s="415" t="s">
        <v>983</v>
      </c>
      <c r="C124" s="398">
        <v>9</v>
      </c>
      <c r="D124" s="399" t="s">
        <v>3</v>
      </c>
      <c r="E124" s="528">
        <f>0.6*0.6*65000</f>
        <v>23400</v>
      </c>
      <c r="F124" s="418">
        <f>C124*E124</f>
        <v>210600</v>
      </c>
      <c r="G124"/>
      <c r="H124"/>
    </row>
    <row r="125" spans="1:8" s="401" customFormat="1" ht="18.75" x14ac:dyDescent="0.25">
      <c r="A125" s="399"/>
      <c r="B125" s="415"/>
      <c r="C125" s="398"/>
      <c r="D125" s="399"/>
      <c r="E125" s="528"/>
      <c r="F125" s="418"/>
      <c r="G125"/>
      <c r="H125"/>
    </row>
    <row r="126" spans="1:8" s="401" customFormat="1" ht="33" customHeight="1" x14ac:dyDescent="0.3">
      <c r="A126" s="399"/>
      <c r="B126" s="543" t="s">
        <v>1108</v>
      </c>
      <c r="C126" s="398"/>
      <c r="D126" s="399"/>
      <c r="E126" s="528"/>
      <c r="F126" s="418"/>
      <c r="G126"/>
      <c r="H126"/>
    </row>
    <row r="127" spans="1:8" s="401" customFormat="1" ht="18.75" x14ac:dyDescent="0.25">
      <c r="A127" s="399"/>
      <c r="B127" s="403"/>
      <c r="C127" s="398"/>
      <c r="D127" s="399"/>
      <c r="E127" s="528"/>
      <c r="F127" s="416"/>
      <c r="G127"/>
      <c r="H127"/>
    </row>
    <row r="128" spans="1:8" s="401" customFormat="1" ht="18.75" x14ac:dyDescent="0.25">
      <c r="A128" s="399" t="s">
        <v>5</v>
      </c>
      <c r="B128" s="398" t="s">
        <v>1116</v>
      </c>
      <c r="C128" s="398">
        <v>2</v>
      </c>
      <c r="D128" s="399" t="s">
        <v>3</v>
      </c>
      <c r="E128" s="528">
        <f>1.2*2.1*95000</f>
        <v>239400</v>
      </c>
      <c r="F128" s="486">
        <f>C128*E128</f>
        <v>478800</v>
      </c>
      <c r="G128"/>
      <c r="H128"/>
    </row>
    <row r="129" spans="1:8" s="401" customFormat="1" ht="18.75" x14ac:dyDescent="0.25">
      <c r="A129" s="399"/>
      <c r="B129" s="404"/>
      <c r="C129" s="398"/>
      <c r="D129" s="399"/>
      <c r="E129" s="528"/>
      <c r="F129" s="400"/>
      <c r="G129"/>
      <c r="H129"/>
    </row>
    <row r="130" spans="1:8" s="401" customFormat="1" ht="18.75" x14ac:dyDescent="0.25">
      <c r="A130" s="399"/>
      <c r="B130" s="410"/>
      <c r="C130" s="398"/>
      <c r="D130" s="399"/>
      <c r="E130" s="528"/>
      <c r="F130" s="400"/>
      <c r="G130"/>
      <c r="H130"/>
    </row>
    <row r="131" spans="1:8" s="401" customFormat="1" ht="18.75" x14ac:dyDescent="0.25">
      <c r="A131" s="399"/>
      <c r="B131" s="410"/>
      <c r="C131" s="398"/>
      <c r="D131" s="399"/>
      <c r="E131" s="528"/>
      <c r="F131" s="400"/>
      <c r="G131"/>
      <c r="H131"/>
    </row>
    <row r="132" spans="1:8" s="401" customFormat="1" ht="18.75" x14ac:dyDescent="0.25">
      <c r="A132" s="399"/>
      <c r="B132" s="410"/>
      <c r="C132" s="398"/>
      <c r="D132" s="399"/>
      <c r="E132" s="528"/>
      <c r="F132" s="400"/>
      <c r="G132"/>
      <c r="H132"/>
    </row>
    <row r="133" spans="1:8" s="401" customFormat="1" ht="18.75" x14ac:dyDescent="0.25">
      <c r="A133" s="399"/>
      <c r="B133" s="410"/>
      <c r="C133" s="398"/>
      <c r="D133" s="399"/>
      <c r="E133" s="528"/>
      <c r="F133" s="400"/>
      <c r="G133"/>
      <c r="H133"/>
    </row>
    <row r="134" spans="1:8" s="401" customFormat="1" ht="18.75" x14ac:dyDescent="0.25">
      <c r="A134" s="399"/>
      <c r="B134" s="398"/>
      <c r="C134" s="398"/>
      <c r="D134" s="399"/>
      <c r="E134" s="528"/>
      <c r="F134" s="400"/>
      <c r="G134"/>
      <c r="H134"/>
    </row>
    <row r="135" spans="1:8" s="401" customFormat="1" ht="18.75" x14ac:dyDescent="0.25">
      <c r="A135" s="399"/>
      <c r="B135" s="398"/>
      <c r="C135" s="398"/>
      <c r="D135" s="399"/>
      <c r="E135" s="528"/>
      <c r="F135" s="400"/>
      <c r="G135"/>
      <c r="H135"/>
    </row>
    <row r="136" spans="1:8" s="401" customFormat="1" ht="18.75" x14ac:dyDescent="0.25">
      <c r="A136" s="399"/>
      <c r="B136" s="403" t="s">
        <v>200</v>
      </c>
      <c r="C136" s="398"/>
      <c r="D136" s="399"/>
      <c r="E136" s="528"/>
      <c r="F136" s="400"/>
      <c r="G136"/>
      <c r="H136"/>
    </row>
    <row r="137" spans="1:8" s="401" customFormat="1" ht="18.75" x14ac:dyDescent="0.25">
      <c r="A137" s="399"/>
      <c r="B137" s="411" t="s">
        <v>534</v>
      </c>
      <c r="C137" s="398"/>
      <c r="D137" s="399"/>
      <c r="E137" s="537" t="s">
        <v>15</v>
      </c>
      <c r="F137" s="296">
        <f>SUM(F120:F132)</f>
        <v>689400</v>
      </c>
      <c r="G137"/>
      <c r="H137"/>
    </row>
    <row r="138" spans="1:8" s="401" customFormat="1" ht="18.75" x14ac:dyDescent="0.25">
      <c r="A138" s="399"/>
      <c r="B138" s="403" t="s">
        <v>548</v>
      </c>
      <c r="C138" s="398"/>
      <c r="D138" s="399"/>
      <c r="E138" s="528"/>
      <c r="F138" s="418"/>
      <c r="G138"/>
      <c r="H138"/>
    </row>
    <row r="139" spans="1:8" s="401" customFormat="1" ht="18.75" x14ac:dyDescent="0.25">
      <c r="A139" s="399"/>
      <c r="B139" s="411"/>
      <c r="C139" s="398"/>
      <c r="D139" s="399"/>
      <c r="E139" s="528"/>
      <c r="F139" s="418"/>
      <c r="G139"/>
      <c r="H139"/>
    </row>
    <row r="140" spans="1:8" s="401" customFormat="1" ht="18.75" x14ac:dyDescent="0.25">
      <c r="A140" s="399"/>
      <c r="B140" s="403" t="s">
        <v>213</v>
      </c>
      <c r="C140" s="398"/>
      <c r="D140" s="399"/>
      <c r="E140" s="528"/>
      <c r="F140" s="418"/>
      <c r="G140"/>
      <c r="H140"/>
    </row>
    <row r="141" spans="1:8" s="401" customFormat="1" ht="18.75" x14ac:dyDescent="0.25">
      <c r="A141" s="399"/>
      <c r="B141" s="398"/>
      <c r="C141" s="398"/>
      <c r="D141" s="399"/>
      <c r="E141" s="528"/>
      <c r="F141" s="418"/>
      <c r="G141"/>
      <c r="H141"/>
    </row>
    <row r="142" spans="1:8" s="401" customFormat="1" ht="18.75" x14ac:dyDescent="0.25">
      <c r="A142" s="399"/>
      <c r="B142" s="403" t="s">
        <v>606</v>
      </c>
      <c r="C142" s="398"/>
      <c r="D142" s="399"/>
      <c r="E142" s="528"/>
      <c r="F142" s="418"/>
      <c r="G142"/>
      <c r="H142"/>
    </row>
    <row r="143" spans="1:8" s="401" customFormat="1" ht="18.75" x14ac:dyDescent="0.25">
      <c r="A143" s="399"/>
      <c r="B143" s="398"/>
      <c r="C143" s="398"/>
      <c r="D143" s="399"/>
      <c r="E143" s="528"/>
      <c r="F143" s="418"/>
      <c r="G143"/>
      <c r="H143"/>
    </row>
    <row r="144" spans="1:8" s="401" customFormat="1" ht="26.25" x14ac:dyDescent="0.25">
      <c r="A144" s="399"/>
      <c r="B144" s="544" t="s">
        <v>1108</v>
      </c>
      <c r="C144" s="398"/>
      <c r="D144" s="399"/>
      <c r="E144" s="528"/>
      <c r="F144" s="418"/>
      <c r="G144"/>
      <c r="H144"/>
    </row>
    <row r="145" spans="1:8" s="401" customFormat="1" ht="18.75" x14ac:dyDescent="0.25">
      <c r="A145" s="399"/>
      <c r="B145" s="398"/>
      <c r="C145" s="398"/>
      <c r="D145" s="399"/>
      <c r="E145" s="528"/>
      <c r="F145" s="418"/>
      <c r="G145"/>
      <c r="H145"/>
    </row>
    <row r="146" spans="1:8" s="401" customFormat="1" ht="18.75" x14ac:dyDescent="0.25">
      <c r="A146" s="399" t="s">
        <v>2</v>
      </c>
      <c r="B146" s="398" t="s">
        <v>892</v>
      </c>
      <c r="C146" s="398">
        <v>2</v>
      </c>
      <c r="D146" s="399" t="s">
        <v>3</v>
      </c>
      <c r="E146" s="528">
        <v>110000</v>
      </c>
      <c r="F146" s="486">
        <f>C146*E146</f>
        <v>220000</v>
      </c>
      <c r="G146"/>
      <c r="H146"/>
    </row>
    <row r="147" spans="1:8" s="401" customFormat="1" ht="18.75" x14ac:dyDescent="0.25">
      <c r="A147" s="399"/>
      <c r="B147" s="403"/>
      <c r="C147" s="398"/>
      <c r="D147" s="399"/>
      <c r="E147" s="528"/>
      <c r="F147" s="486"/>
      <c r="G147"/>
      <c r="H147"/>
    </row>
    <row r="148" spans="1:8" s="401" customFormat="1" ht="26.25" x14ac:dyDescent="0.25">
      <c r="A148" s="399"/>
      <c r="B148" s="544" t="s">
        <v>984</v>
      </c>
      <c r="C148" s="398"/>
      <c r="D148" s="399"/>
      <c r="E148" s="528"/>
      <c r="F148" s="418"/>
      <c r="G148"/>
      <c r="H148"/>
    </row>
    <row r="149" spans="1:8" s="401" customFormat="1" ht="18.75" x14ac:dyDescent="0.25">
      <c r="A149" s="399"/>
      <c r="B149" s="403"/>
      <c r="C149" s="398"/>
      <c r="D149" s="399"/>
      <c r="E149" s="528"/>
      <c r="F149" s="486"/>
      <c r="G149"/>
      <c r="H149"/>
    </row>
    <row r="150" spans="1:8" s="401" customFormat="1" ht="18.75" x14ac:dyDescent="0.25">
      <c r="A150" s="399" t="s">
        <v>4</v>
      </c>
      <c r="B150" s="398" t="s">
        <v>892</v>
      </c>
      <c r="C150" s="398">
        <v>0</v>
      </c>
      <c r="D150" s="399" t="s">
        <v>3</v>
      </c>
      <c r="E150" s="528">
        <v>100000</v>
      </c>
      <c r="F150" s="486">
        <f>C150*E150</f>
        <v>0</v>
      </c>
      <c r="G150"/>
      <c r="H150"/>
    </row>
    <row r="151" spans="1:8" s="401" customFormat="1" ht="18.75" x14ac:dyDescent="0.25">
      <c r="A151" s="399"/>
      <c r="B151" s="398"/>
      <c r="C151" s="398"/>
      <c r="D151" s="399"/>
      <c r="E151" s="528"/>
      <c r="F151" s="486"/>
      <c r="G151"/>
      <c r="H151"/>
    </row>
    <row r="152" spans="1:8" s="401" customFormat="1" ht="18.75" x14ac:dyDescent="0.25">
      <c r="A152" s="399" t="s">
        <v>5</v>
      </c>
      <c r="B152" s="398" t="s">
        <v>891</v>
      </c>
      <c r="C152" s="398">
        <v>9</v>
      </c>
      <c r="D152" s="399" t="s">
        <v>3</v>
      </c>
      <c r="E152" s="528">
        <v>100000</v>
      </c>
      <c r="F152" s="486">
        <f>C152*E152</f>
        <v>900000</v>
      </c>
      <c r="G152"/>
      <c r="H152"/>
    </row>
    <row r="153" spans="1:8" s="401" customFormat="1" ht="18.75" x14ac:dyDescent="0.25">
      <c r="A153" s="399"/>
      <c r="B153" s="403"/>
      <c r="C153" s="398"/>
      <c r="D153" s="399"/>
      <c r="E153" s="528"/>
      <c r="F153" s="486"/>
      <c r="G153"/>
      <c r="H153"/>
    </row>
    <row r="154" spans="1:8" s="401" customFormat="1" ht="18.75" x14ac:dyDescent="0.25">
      <c r="A154" s="399"/>
      <c r="B154" s="403"/>
      <c r="C154" s="398"/>
      <c r="D154" s="399"/>
      <c r="E154" s="528"/>
      <c r="F154" s="486"/>
      <c r="G154"/>
      <c r="H154"/>
    </row>
    <row r="155" spans="1:8" s="401" customFormat="1" ht="18.75" x14ac:dyDescent="0.25">
      <c r="A155" s="399"/>
      <c r="B155" s="410"/>
      <c r="C155" s="398"/>
      <c r="D155" s="399"/>
      <c r="E155" s="528"/>
      <c r="F155" s="418"/>
      <c r="G155"/>
      <c r="H155"/>
    </row>
    <row r="156" spans="1:8" s="401" customFormat="1" ht="18.75" x14ac:dyDescent="0.25">
      <c r="A156" s="399"/>
      <c r="B156" s="410"/>
      <c r="C156" s="398"/>
      <c r="D156" s="399"/>
      <c r="E156" s="528"/>
      <c r="F156" s="418"/>
      <c r="G156"/>
      <c r="H156"/>
    </row>
    <row r="157" spans="1:8" s="401" customFormat="1" ht="18.75" x14ac:dyDescent="0.25">
      <c r="A157" s="399"/>
      <c r="B157" s="410"/>
      <c r="C157" s="398"/>
      <c r="D157" s="399"/>
      <c r="E157" s="528"/>
      <c r="F157" s="418"/>
      <c r="G157"/>
      <c r="H157"/>
    </row>
    <row r="158" spans="1:8" s="401" customFormat="1" ht="18.75" x14ac:dyDescent="0.25">
      <c r="A158" s="399"/>
      <c r="B158" s="410"/>
      <c r="C158" s="398"/>
      <c r="D158" s="399"/>
      <c r="E158" s="528"/>
      <c r="F158" s="418"/>
      <c r="G158"/>
      <c r="H158"/>
    </row>
    <row r="159" spans="1:8" s="401" customFormat="1" ht="18.75" x14ac:dyDescent="0.25">
      <c r="A159" s="399"/>
      <c r="B159" s="410"/>
      <c r="C159" s="398"/>
      <c r="D159" s="399"/>
      <c r="E159" s="528"/>
      <c r="F159" s="418"/>
      <c r="G159"/>
      <c r="H159"/>
    </row>
    <row r="160" spans="1:8" s="401" customFormat="1" ht="18.75" x14ac:dyDescent="0.25">
      <c r="A160" s="399"/>
      <c r="B160" s="410"/>
      <c r="C160" s="398"/>
      <c r="D160" s="399"/>
      <c r="E160" s="528"/>
      <c r="F160" s="418"/>
      <c r="G160"/>
      <c r="H160"/>
    </row>
    <row r="161" spans="1:8" s="401" customFormat="1" ht="18.75" x14ac:dyDescent="0.25">
      <c r="A161" s="399"/>
      <c r="B161" s="410"/>
      <c r="C161" s="398"/>
      <c r="D161" s="399"/>
      <c r="E161" s="528"/>
      <c r="F161" s="418"/>
      <c r="G161"/>
      <c r="H161"/>
    </row>
    <row r="162" spans="1:8" s="401" customFormat="1" ht="18.75" x14ac:dyDescent="0.25">
      <c r="A162" s="399"/>
      <c r="B162" s="410"/>
      <c r="C162" s="398"/>
      <c r="D162" s="399"/>
      <c r="E162" s="528"/>
      <c r="F162" s="418"/>
      <c r="G162"/>
      <c r="H162"/>
    </row>
    <row r="163" spans="1:8" s="401" customFormat="1" ht="18.75" x14ac:dyDescent="0.25">
      <c r="A163" s="399"/>
      <c r="B163" s="410"/>
      <c r="C163" s="398"/>
      <c r="D163" s="399"/>
      <c r="E163" s="528"/>
      <c r="F163" s="418"/>
      <c r="G163"/>
      <c r="H163"/>
    </row>
    <row r="164" spans="1:8" s="401" customFormat="1" ht="18.75" x14ac:dyDescent="0.25">
      <c r="A164" s="399"/>
      <c r="B164" s="403" t="s">
        <v>607</v>
      </c>
      <c r="C164" s="411"/>
      <c r="D164" s="402"/>
      <c r="E164" s="537"/>
      <c r="F164" s="420"/>
      <c r="G164"/>
      <c r="H164"/>
    </row>
    <row r="165" spans="1:8" s="401" customFormat="1" ht="18.75" x14ac:dyDescent="0.25">
      <c r="A165" s="399"/>
      <c r="B165" s="411" t="s">
        <v>534</v>
      </c>
      <c r="C165" s="411"/>
      <c r="D165" s="402"/>
      <c r="E165" s="537" t="s">
        <v>15</v>
      </c>
      <c r="F165" s="412">
        <f>SUM(F142:F164)</f>
        <v>1120000</v>
      </c>
      <c r="G165"/>
      <c r="H165"/>
    </row>
    <row r="166" spans="1:8" s="401" customFormat="1" ht="18.75" x14ac:dyDescent="0.25">
      <c r="A166" s="488"/>
      <c r="B166" s="397" t="s">
        <v>569</v>
      </c>
      <c r="C166" s="398"/>
      <c r="D166" s="399"/>
      <c r="E166" s="528"/>
      <c r="F166" s="418"/>
      <c r="G166"/>
      <c r="H166"/>
    </row>
    <row r="167" spans="1:8" s="401" customFormat="1" ht="18.75" x14ac:dyDescent="0.25">
      <c r="A167" s="399"/>
      <c r="B167" s="398"/>
      <c r="C167" s="398"/>
      <c r="D167" s="399"/>
      <c r="E167" s="528"/>
      <c r="F167" s="418"/>
      <c r="G167"/>
      <c r="H167"/>
    </row>
    <row r="168" spans="1:8" s="401" customFormat="1" ht="18.75" x14ac:dyDescent="0.25">
      <c r="A168" s="399"/>
      <c r="B168" s="403" t="s">
        <v>163</v>
      </c>
      <c r="C168" s="398"/>
      <c r="D168" s="399"/>
      <c r="E168" s="528"/>
      <c r="F168" s="418"/>
      <c r="G168"/>
      <c r="H168"/>
    </row>
    <row r="169" spans="1:8" s="401" customFormat="1" ht="18.75" x14ac:dyDescent="0.25">
      <c r="A169" s="399"/>
      <c r="B169" s="398"/>
      <c r="C169" s="398"/>
      <c r="D169" s="399"/>
      <c r="E169" s="528"/>
      <c r="F169" s="418"/>
      <c r="G169"/>
      <c r="H169"/>
    </row>
    <row r="170" spans="1:8" s="401" customFormat="1" ht="18.75" x14ac:dyDescent="0.25">
      <c r="A170" s="399"/>
      <c r="B170" s="404" t="s">
        <v>98</v>
      </c>
      <c r="C170" s="398"/>
      <c r="D170" s="399"/>
      <c r="E170" s="528"/>
      <c r="F170" s="418"/>
      <c r="G170"/>
      <c r="H170"/>
    </row>
    <row r="171" spans="1:8" s="401" customFormat="1" ht="18.75" x14ac:dyDescent="0.25">
      <c r="A171" s="399"/>
      <c r="B171" s="398"/>
      <c r="C171" s="398"/>
      <c r="D171" s="399"/>
      <c r="E171" s="528"/>
      <c r="F171" s="418"/>
      <c r="G171"/>
      <c r="H171"/>
    </row>
    <row r="172" spans="1:8" s="401" customFormat="1" ht="18.75" x14ac:dyDescent="0.25">
      <c r="A172" s="399"/>
      <c r="B172" s="410" t="s">
        <v>536</v>
      </c>
      <c r="C172" s="398"/>
      <c r="D172" s="399"/>
      <c r="E172" s="528"/>
      <c r="F172" s="418"/>
      <c r="G172"/>
      <c r="H172"/>
    </row>
    <row r="173" spans="1:8" s="401" customFormat="1" ht="18.75" x14ac:dyDescent="0.25">
      <c r="A173" s="399"/>
      <c r="B173" s="410"/>
      <c r="C173" s="398"/>
      <c r="D173" s="399"/>
      <c r="E173" s="528"/>
      <c r="F173" s="418"/>
      <c r="G173"/>
      <c r="H173"/>
    </row>
    <row r="174" spans="1:8" s="401" customFormat="1" ht="18.75" x14ac:dyDescent="0.25">
      <c r="A174" s="399"/>
      <c r="B174" s="410" t="s">
        <v>927</v>
      </c>
      <c r="C174" s="398"/>
      <c r="D174" s="399"/>
      <c r="E174" s="528"/>
      <c r="F174" s="418"/>
      <c r="G174"/>
      <c r="H174"/>
    </row>
    <row r="175" spans="1:8" s="401" customFormat="1" ht="18.75" x14ac:dyDescent="0.25">
      <c r="A175" s="399"/>
      <c r="B175" s="398"/>
      <c r="C175" s="398"/>
      <c r="D175" s="399"/>
      <c r="E175" s="528"/>
      <c r="F175" s="418"/>
      <c r="G175"/>
      <c r="H175"/>
    </row>
    <row r="176" spans="1:8" s="401" customFormat="1" ht="18.75" x14ac:dyDescent="0.25">
      <c r="A176" s="399" t="s">
        <v>2</v>
      </c>
      <c r="B176" s="398" t="s">
        <v>972</v>
      </c>
      <c r="C176" s="398">
        <v>3</v>
      </c>
      <c r="D176" s="399" t="s">
        <v>924</v>
      </c>
      <c r="E176" s="528">
        <v>85000</v>
      </c>
      <c r="F176" s="418">
        <f>C176*E176</f>
        <v>255000</v>
      </c>
      <c r="G176"/>
      <c r="H176"/>
    </row>
    <row r="177" spans="1:8" s="401" customFormat="1" ht="18.75" x14ac:dyDescent="0.25">
      <c r="A177" s="399"/>
      <c r="B177" s="398"/>
      <c r="C177" s="398"/>
      <c r="D177" s="399"/>
      <c r="E177" s="528"/>
      <c r="F177" s="418"/>
      <c r="G177"/>
      <c r="H177"/>
    </row>
    <row r="178" spans="1:8" s="401" customFormat="1" ht="18.75" x14ac:dyDescent="0.25">
      <c r="A178" s="488"/>
      <c r="B178" s="404" t="s">
        <v>102</v>
      </c>
      <c r="C178" s="398"/>
      <c r="D178" s="399"/>
      <c r="E178" s="528"/>
      <c r="F178" s="418"/>
      <c r="G178"/>
      <c r="H178"/>
    </row>
    <row r="179" spans="1:8" s="401" customFormat="1" ht="18.75" x14ac:dyDescent="0.25">
      <c r="A179" s="399"/>
      <c r="B179" s="410"/>
      <c r="C179" s="398"/>
      <c r="D179" s="399"/>
      <c r="E179" s="528"/>
      <c r="F179" s="418"/>
      <c r="G179"/>
      <c r="H179"/>
    </row>
    <row r="180" spans="1:8" s="401" customFormat="1" ht="33" x14ac:dyDescent="0.25">
      <c r="A180" s="399"/>
      <c r="B180" s="414" t="s">
        <v>570</v>
      </c>
      <c r="C180" s="398"/>
      <c r="D180" s="399"/>
      <c r="E180" s="528"/>
      <c r="F180" s="418"/>
      <c r="G180"/>
      <c r="H180"/>
    </row>
    <row r="181" spans="1:8" s="401" customFormat="1" ht="18.75" x14ac:dyDescent="0.25">
      <c r="A181" s="399"/>
      <c r="B181" s="415"/>
      <c r="C181" s="415"/>
      <c r="D181" s="545"/>
      <c r="E181" s="546"/>
      <c r="F181" s="547"/>
      <c r="G181"/>
      <c r="H181"/>
    </row>
    <row r="182" spans="1:8" s="401" customFormat="1" ht="18.75" x14ac:dyDescent="0.25">
      <c r="A182" s="399" t="s">
        <v>4</v>
      </c>
      <c r="B182" s="398" t="s">
        <v>571</v>
      </c>
      <c r="C182" s="407">
        <v>134</v>
      </c>
      <c r="D182" s="399" t="s">
        <v>75</v>
      </c>
      <c r="E182" s="528">
        <v>1250</v>
      </c>
      <c r="F182" s="489">
        <f t="shared" ref="F182:F186" si="3">C182*E182</f>
        <v>167500</v>
      </c>
      <c r="G182"/>
      <c r="H182"/>
    </row>
    <row r="183" spans="1:8" s="401" customFormat="1" ht="18.75" x14ac:dyDescent="0.25">
      <c r="A183" s="399"/>
      <c r="B183" s="398"/>
      <c r="C183" s="407"/>
      <c r="D183" s="399"/>
      <c r="E183" s="528"/>
      <c r="F183" s="489"/>
      <c r="G183"/>
      <c r="H183"/>
    </row>
    <row r="184" spans="1:8" s="401" customFormat="1" ht="12" customHeight="1" x14ac:dyDescent="0.25">
      <c r="A184" s="399" t="s">
        <v>5</v>
      </c>
      <c r="B184" s="398" t="s">
        <v>803</v>
      </c>
      <c r="C184" s="407">
        <v>89</v>
      </c>
      <c r="D184" s="399" t="s">
        <v>75</v>
      </c>
      <c r="E184" s="528">
        <f>E182</f>
        <v>1250</v>
      </c>
      <c r="F184" s="489">
        <f t="shared" si="3"/>
        <v>111250</v>
      </c>
      <c r="G184"/>
      <c r="H184"/>
    </row>
    <row r="185" spans="1:8" s="401" customFormat="1" ht="18.75" x14ac:dyDescent="0.25">
      <c r="A185" s="548"/>
      <c r="B185" s="398"/>
      <c r="C185" s="398"/>
      <c r="D185" s="399"/>
      <c r="E185" s="528"/>
      <c r="F185" s="489"/>
      <c r="G185"/>
      <c r="H185"/>
    </row>
    <row r="186" spans="1:8" s="401" customFormat="1" ht="18.75" x14ac:dyDescent="0.25">
      <c r="A186" s="399" t="s">
        <v>6</v>
      </c>
      <c r="B186" s="398" t="s">
        <v>973</v>
      </c>
      <c r="C186" s="407">
        <v>50</v>
      </c>
      <c r="D186" s="399" t="s">
        <v>75</v>
      </c>
      <c r="E186" s="528">
        <f>E184</f>
        <v>1250</v>
      </c>
      <c r="F186" s="489">
        <f t="shared" si="3"/>
        <v>62500</v>
      </c>
      <c r="G186"/>
      <c r="H186"/>
    </row>
    <row r="187" spans="1:8" s="401" customFormat="1" ht="18.75" x14ac:dyDescent="0.25">
      <c r="A187" s="548"/>
      <c r="B187" s="398"/>
      <c r="C187" s="398"/>
      <c r="D187" s="399"/>
      <c r="E187" s="528"/>
      <c r="F187" s="489"/>
      <c r="G187"/>
      <c r="H187"/>
    </row>
    <row r="188" spans="1:8" s="401" customFormat="1" ht="18.75" x14ac:dyDescent="0.25">
      <c r="A188" s="399"/>
      <c r="B188" s="404" t="s">
        <v>67</v>
      </c>
      <c r="C188" s="398"/>
      <c r="D188" s="399"/>
      <c r="E188" s="528"/>
      <c r="F188" s="418"/>
      <c r="G188"/>
      <c r="H188"/>
    </row>
    <row r="189" spans="1:8" s="401" customFormat="1" ht="18.75" x14ac:dyDescent="0.25">
      <c r="A189" s="399"/>
      <c r="B189" s="398"/>
      <c r="C189" s="398"/>
      <c r="D189" s="399"/>
      <c r="E189" s="528"/>
      <c r="F189" s="418"/>
      <c r="G189"/>
      <c r="H189"/>
    </row>
    <row r="190" spans="1:8" s="401" customFormat="1" ht="18.75" x14ac:dyDescent="0.25">
      <c r="A190" s="399"/>
      <c r="B190" s="410" t="s">
        <v>120</v>
      </c>
      <c r="C190" s="398"/>
      <c r="D190" s="399"/>
      <c r="E190" s="528"/>
      <c r="F190" s="418"/>
      <c r="G190"/>
      <c r="H190"/>
    </row>
    <row r="191" spans="1:8" s="401" customFormat="1" ht="18.75" x14ac:dyDescent="0.25">
      <c r="A191" s="399"/>
      <c r="B191" s="398"/>
      <c r="C191" s="398"/>
      <c r="D191" s="399"/>
      <c r="E191" s="528"/>
      <c r="F191" s="418"/>
      <c r="G191"/>
      <c r="H191"/>
    </row>
    <row r="192" spans="1:8" s="401" customFormat="1" ht="18.75" x14ac:dyDescent="0.25">
      <c r="A192" s="399" t="s">
        <v>7</v>
      </c>
      <c r="B192" s="415" t="s">
        <v>1117</v>
      </c>
      <c r="C192" s="398">
        <v>28</v>
      </c>
      <c r="D192" s="399" t="s">
        <v>922</v>
      </c>
      <c r="E192" s="528">
        <v>6500</v>
      </c>
      <c r="F192" s="418">
        <f>C192*E192</f>
        <v>182000</v>
      </c>
      <c r="G192"/>
      <c r="H192"/>
    </row>
    <row r="193" spans="1:8" s="401" customFormat="1" ht="18.75" x14ac:dyDescent="0.25">
      <c r="A193" s="399"/>
      <c r="B193" s="398"/>
      <c r="C193" s="398"/>
      <c r="D193" s="399"/>
      <c r="E193" s="528"/>
      <c r="F193" s="418"/>
      <c r="G193"/>
      <c r="H193"/>
    </row>
    <row r="194" spans="1:8" s="401" customFormat="1" ht="18.75" x14ac:dyDescent="0.25">
      <c r="A194" s="399"/>
      <c r="B194" s="398"/>
      <c r="C194" s="398"/>
      <c r="D194" s="399"/>
      <c r="E194" s="528"/>
      <c r="F194" s="418"/>
      <c r="G194"/>
      <c r="H194"/>
    </row>
    <row r="195" spans="1:8" s="401" customFormat="1" ht="18.75" x14ac:dyDescent="0.25">
      <c r="A195" s="399"/>
      <c r="B195" s="398"/>
      <c r="C195" s="398"/>
      <c r="D195" s="399"/>
      <c r="E195" s="528"/>
      <c r="F195" s="418"/>
      <c r="G195"/>
      <c r="H195"/>
    </row>
    <row r="196" spans="1:8" s="401" customFormat="1" ht="18.75" x14ac:dyDescent="0.25">
      <c r="A196" s="399"/>
      <c r="B196" s="398"/>
      <c r="C196" s="398"/>
      <c r="D196" s="399"/>
      <c r="E196" s="528"/>
      <c r="F196" s="418"/>
      <c r="G196"/>
      <c r="H196"/>
    </row>
    <row r="197" spans="1:8" s="401" customFormat="1" ht="18.75" x14ac:dyDescent="0.25">
      <c r="A197" s="399"/>
      <c r="B197" s="398"/>
      <c r="C197" s="398"/>
      <c r="D197" s="399"/>
      <c r="E197" s="528"/>
      <c r="F197" s="418"/>
      <c r="G197"/>
      <c r="H197"/>
    </row>
    <row r="198" spans="1:8" s="401" customFormat="1" ht="18.75" x14ac:dyDescent="0.25">
      <c r="A198" s="399"/>
      <c r="B198" s="398"/>
      <c r="C198" s="398"/>
      <c r="D198" s="399"/>
      <c r="E198" s="528"/>
      <c r="F198" s="418"/>
      <c r="G198"/>
      <c r="H198"/>
    </row>
    <row r="199" spans="1:8" s="401" customFormat="1" ht="18.75" x14ac:dyDescent="0.25">
      <c r="A199" s="399"/>
      <c r="B199" s="398"/>
      <c r="C199" s="398"/>
      <c r="D199" s="399"/>
      <c r="E199" s="528"/>
      <c r="F199" s="418"/>
      <c r="G199"/>
      <c r="H199"/>
    </row>
    <row r="200" spans="1:8" s="401" customFormat="1" ht="18.75" x14ac:dyDescent="0.25">
      <c r="A200" s="399"/>
      <c r="B200" s="398"/>
      <c r="C200" s="398"/>
      <c r="D200" s="399"/>
      <c r="E200" s="528"/>
      <c r="F200" s="418"/>
      <c r="G200"/>
      <c r="H200"/>
    </row>
    <row r="201" spans="1:8" s="401" customFormat="1" ht="18.75" x14ac:dyDescent="0.25">
      <c r="A201" s="399"/>
      <c r="B201" s="398"/>
      <c r="C201" s="398"/>
      <c r="D201" s="399"/>
      <c r="E201" s="528"/>
      <c r="F201" s="418"/>
      <c r="G201"/>
      <c r="H201"/>
    </row>
    <row r="202" spans="1:8" s="401" customFormat="1" ht="18.75" x14ac:dyDescent="0.25">
      <c r="A202" s="399"/>
      <c r="B202" s="398"/>
      <c r="C202" s="398"/>
      <c r="D202" s="399"/>
      <c r="E202" s="528"/>
      <c r="F202" s="418"/>
      <c r="G202"/>
      <c r="H202"/>
    </row>
    <row r="203" spans="1:8" s="401" customFormat="1" ht="18.75" x14ac:dyDescent="0.25">
      <c r="A203" s="399"/>
      <c r="B203" s="411" t="s">
        <v>520</v>
      </c>
      <c r="C203" s="411"/>
      <c r="D203" s="402"/>
      <c r="E203" s="537" t="s">
        <v>15</v>
      </c>
      <c r="F203" s="420">
        <f>SUM(F169:F201)</f>
        <v>778250</v>
      </c>
      <c r="G203"/>
      <c r="H203"/>
    </row>
    <row r="204" spans="1:8" s="401" customFormat="1" ht="18.75" x14ac:dyDescent="0.25">
      <c r="A204" s="399"/>
      <c r="B204" s="403" t="s">
        <v>573</v>
      </c>
      <c r="C204" s="398"/>
      <c r="D204" s="399"/>
      <c r="E204" s="528"/>
      <c r="F204" s="418"/>
      <c r="G204"/>
      <c r="H204"/>
    </row>
    <row r="205" spans="1:8" s="401" customFormat="1" ht="18.75" x14ac:dyDescent="0.25">
      <c r="A205" s="399"/>
      <c r="B205" s="398"/>
      <c r="C205" s="398"/>
      <c r="D205" s="399"/>
      <c r="E205" s="528"/>
      <c r="F205" s="418"/>
      <c r="G205"/>
      <c r="H205"/>
    </row>
    <row r="206" spans="1:8" s="401" customFormat="1" ht="49.5" x14ac:dyDescent="0.25">
      <c r="A206" s="399"/>
      <c r="B206" s="549" t="s">
        <v>574</v>
      </c>
      <c r="C206" s="398"/>
      <c r="D206" s="399"/>
      <c r="E206" s="528"/>
      <c r="F206" s="400"/>
      <c r="G206"/>
      <c r="H206"/>
    </row>
    <row r="207" spans="1:8" s="401" customFormat="1" ht="18.75" x14ac:dyDescent="0.25">
      <c r="A207" s="399"/>
      <c r="B207" s="417"/>
      <c r="C207" s="398"/>
      <c r="D207" s="399"/>
      <c r="E207" s="528"/>
      <c r="F207" s="400"/>
      <c r="G207"/>
      <c r="H207"/>
    </row>
    <row r="208" spans="1:8" s="401" customFormat="1" ht="18.75" x14ac:dyDescent="0.25">
      <c r="A208" s="399" t="s">
        <v>2</v>
      </c>
      <c r="B208" s="422" t="s">
        <v>974</v>
      </c>
      <c r="C208" s="407">
        <v>72</v>
      </c>
      <c r="D208" s="399" t="s">
        <v>922</v>
      </c>
      <c r="E208" s="528">
        <v>10100</v>
      </c>
      <c r="F208" s="486">
        <f>C208*E208</f>
        <v>727200</v>
      </c>
      <c r="G208"/>
      <c r="H208"/>
    </row>
    <row r="209" spans="1:8" s="401" customFormat="1" ht="18.75" x14ac:dyDescent="0.25">
      <c r="A209" s="399"/>
      <c r="B209" s="406"/>
      <c r="C209" s="398"/>
      <c r="D209" s="399"/>
      <c r="E209" s="528"/>
      <c r="F209" s="486"/>
      <c r="G209"/>
      <c r="H209"/>
    </row>
    <row r="210" spans="1:8" s="401" customFormat="1" ht="18.75" x14ac:dyDescent="0.25">
      <c r="A210" s="399" t="s">
        <v>4</v>
      </c>
      <c r="B210" s="398" t="s">
        <v>975</v>
      </c>
      <c r="C210" s="398">
        <v>0</v>
      </c>
      <c r="D210" s="399" t="s">
        <v>22</v>
      </c>
      <c r="E210" s="528">
        <f>E208*0.3</f>
        <v>3030</v>
      </c>
      <c r="F210" s="486">
        <f>C210*E210</f>
        <v>0</v>
      </c>
      <c r="G210"/>
      <c r="H210"/>
    </row>
    <row r="211" spans="1:8" s="401" customFormat="1" ht="18.75" x14ac:dyDescent="0.25">
      <c r="A211" s="399"/>
      <c r="B211" s="398"/>
      <c r="C211" s="398"/>
      <c r="D211" s="399"/>
      <c r="E211" s="528"/>
      <c r="F211" s="486"/>
      <c r="G211"/>
      <c r="H211"/>
    </row>
    <row r="212" spans="1:8" s="401" customFormat="1" ht="18.75" x14ac:dyDescent="0.25">
      <c r="A212" s="399"/>
      <c r="B212" s="398"/>
      <c r="C212" s="398"/>
      <c r="D212" s="399"/>
      <c r="E212" s="528"/>
      <c r="F212" s="486"/>
      <c r="G212"/>
      <c r="H212"/>
    </row>
    <row r="213" spans="1:8" s="401" customFormat="1" ht="36" x14ac:dyDescent="0.25">
      <c r="A213" s="399"/>
      <c r="B213" s="490" t="s">
        <v>577</v>
      </c>
      <c r="C213" s="398"/>
      <c r="D213" s="399"/>
      <c r="E213" s="528"/>
      <c r="F213" s="486"/>
      <c r="G213"/>
      <c r="H213"/>
    </row>
    <row r="214" spans="1:8" s="401" customFormat="1" ht="18.75" x14ac:dyDescent="0.25">
      <c r="A214" s="399"/>
      <c r="B214" s="398"/>
      <c r="C214" s="398"/>
      <c r="D214" s="399"/>
      <c r="E214" s="528"/>
      <c r="F214" s="400"/>
      <c r="G214"/>
      <c r="H214"/>
    </row>
    <row r="215" spans="1:8" s="401" customFormat="1" ht="33" x14ac:dyDescent="0.25">
      <c r="A215" s="399"/>
      <c r="B215" s="414" t="s">
        <v>187</v>
      </c>
      <c r="C215" s="398"/>
      <c r="D215" s="399"/>
      <c r="E215" s="528"/>
      <c r="F215" s="400"/>
      <c r="G215"/>
      <c r="H215"/>
    </row>
    <row r="216" spans="1:8" s="401" customFormat="1" ht="18.75" x14ac:dyDescent="0.25">
      <c r="A216" s="399"/>
      <c r="B216" s="398"/>
      <c r="C216" s="398"/>
      <c r="D216" s="399"/>
      <c r="E216" s="528"/>
      <c r="F216" s="400"/>
      <c r="G216"/>
      <c r="H216"/>
    </row>
    <row r="217" spans="1:8" s="401" customFormat="1" ht="18.75" x14ac:dyDescent="0.25">
      <c r="A217" s="399" t="s">
        <v>5</v>
      </c>
      <c r="B217" s="398" t="s">
        <v>678</v>
      </c>
      <c r="C217" s="407">
        <v>37</v>
      </c>
      <c r="D217" s="399" t="s">
        <v>22</v>
      </c>
      <c r="E217" s="528">
        <v>800</v>
      </c>
      <c r="F217" s="486">
        <f t="shared" ref="F217" si="4">C217*E217</f>
        <v>29600</v>
      </c>
      <c r="G217"/>
      <c r="H217"/>
    </row>
    <row r="218" spans="1:8" s="401" customFormat="1" ht="18.75" x14ac:dyDescent="0.25">
      <c r="A218" s="399"/>
      <c r="B218" s="398"/>
      <c r="C218" s="398"/>
      <c r="D218" s="399"/>
      <c r="E218" s="528"/>
      <c r="F218" s="400"/>
      <c r="G218"/>
      <c r="H218"/>
    </row>
    <row r="219" spans="1:8" s="401" customFormat="1" ht="18.75" x14ac:dyDescent="0.25">
      <c r="A219" s="399" t="s">
        <v>6</v>
      </c>
      <c r="B219" s="398" t="s">
        <v>188</v>
      </c>
      <c r="C219" s="407">
        <v>67</v>
      </c>
      <c r="D219" s="399" t="s">
        <v>22</v>
      </c>
      <c r="E219" s="528">
        <f>E217</f>
        <v>800</v>
      </c>
      <c r="F219" s="486">
        <f t="shared" ref="F219" si="5">C219*E219</f>
        <v>53600</v>
      </c>
      <c r="G219"/>
      <c r="H219"/>
    </row>
    <row r="220" spans="1:8" s="401" customFormat="1" ht="18.75" x14ac:dyDescent="0.25">
      <c r="A220" s="399"/>
      <c r="B220" s="398"/>
      <c r="C220" s="398"/>
      <c r="D220" s="399"/>
      <c r="E220" s="528"/>
      <c r="F220" s="400"/>
      <c r="G220"/>
      <c r="H220"/>
    </row>
    <row r="221" spans="1:8" s="401" customFormat="1" ht="18.75" x14ac:dyDescent="0.25">
      <c r="A221" s="399" t="s">
        <v>7</v>
      </c>
      <c r="B221" s="398" t="s">
        <v>976</v>
      </c>
      <c r="C221" s="407">
        <v>59</v>
      </c>
      <c r="D221" s="399" t="s">
        <v>22</v>
      </c>
      <c r="E221" s="528">
        <f>E219</f>
        <v>800</v>
      </c>
      <c r="F221" s="486">
        <f t="shared" ref="F221" si="6">C221*E221</f>
        <v>47200</v>
      </c>
      <c r="G221"/>
      <c r="H221"/>
    </row>
    <row r="222" spans="1:8" s="401" customFormat="1" ht="18.75" x14ac:dyDescent="0.25">
      <c r="A222" s="399"/>
      <c r="B222" s="398"/>
      <c r="C222" s="398"/>
      <c r="D222" s="399"/>
      <c r="E222" s="528"/>
      <c r="F222" s="400"/>
      <c r="G222"/>
      <c r="H222"/>
    </row>
    <row r="223" spans="1:8" s="401" customFormat="1" ht="18.75" x14ac:dyDescent="0.25">
      <c r="A223" s="399" t="s">
        <v>8</v>
      </c>
      <c r="B223" s="398" t="s">
        <v>580</v>
      </c>
      <c r="C223" s="407">
        <v>65</v>
      </c>
      <c r="D223" s="399" t="s">
        <v>22</v>
      </c>
      <c r="E223" s="528">
        <f>E221</f>
        <v>800</v>
      </c>
      <c r="F223" s="486">
        <f t="shared" ref="F223" si="7">C223*E223</f>
        <v>52000</v>
      </c>
      <c r="G223"/>
      <c r="H223"/>
    </row>
    <row r="224" spans="1:8" s="401" customFormat="1" ht="18.75" x14ac:dyDescent="0.25">
      <c r="A224" s="399"/>
      <c r="B224" s="398"/>
      <c r="C224" s="398"/>
      <c r="D224" s="399"/>
      <c r="E224" s="528"/>
      <c r="F224" s="486"/>
      <c r="G224"/>
      <c r="H224"/>
    </row>
    <row r="225" spans="1:8" s="401" customFormat="1" ht="18.75" x14ac:dyDescent="0.25">
      <c r="A225" s="399" t="s">
        <v>9</v>
      </c>
      <c r="B225" s="398" t="s">
        <v>191</v>
      </c>
      <c r="C225" s="407">
        <v>107</v>
      </c>
      <c r="D225" s="399" t="s">
        <v>22</v>
      </c>
      <c r="E225" s="528">
        <v>650</v>
      </c>
      <c r="F225" s="486">
        <f>C225*E225</f>
        <v>69550</v>
      </c>
      <c r="G225"/>
      <c r="H225"/>
    </row>
    <row r="226" spans="1:8" s="401" customFormat="1" ht="18.75" x14ac:dyDescent="0.25">
      <c r="A226" s="399"/>
      <c r="B226" s="398"/>
      <c r="C226" s="407"/>
      <c r="D226" s="399"/>
      <c r="E226" s="528"/>
      <c r="F226" s="486"/>
      <c r="G226"/>
      <c r="H226"/>
    </row>
    <row r="227" spans="1:8" s="401" customFormat="1" ht="18.75" x14ac:dyDescent="0.25">
      <c r="A227" s="399"/>
      <c r="B227" s="398"/>
      <c r="C227" s="407"/>
      <c r="D227" s="399"/>
      <c r="E227" s="528"/>
      <c r="F227" s="486"/>
      <c r="G227"/>
      <c r="H227"/>
    </row>
    <row r="228" spans="1:8" s="401" customFormat="1" ht="18.75" x14ac:dyDescent="0.25">
      <c r="A228" s="399"/>
      <c r="B228" s="404" t="s">
        <v>84</v>
      </c>
      <c r="C228" s="411"/>
      <c r="D228" s="402"/>
      <c r="E228" s="537"/>
      <c r="F228" s="412"/>
      <c r="G228"/>
      <c r="H228"/>
    </row>
    <row r="229" spans="1:8" s="401" customFormat="1" ht="18.75" x14ac:dyDescent="0.25">
      <c r="A229" s="399"/>
      <c r="B229" s="413"/>
      <c r="C229" s="411"/>
      <c r="D229" s="402"/>
      <c r="E229" s="537"/>
      <c r="F229" s="412"/>
      <c r="G229"/>
      <c r="H229"/>
    </row>
    <row r="230" spans="1:8" s="401" customFormat="1" ht="33" x14ac:dyDescent="0.25">
      <c r="A230" s="399"/>
      <c r="B230" s="414" t="s">
        <v>582</v>
      </c>
      <c r="C230" s="411"/>
      <c r="D230" s="402"/>
      <c r="E230" s="537"/>
      <c r="F230" s="412"/>
      <c r="G230"/>
      <c r="H230"/>
    </row>
    <row r="231" spans="1:8" s="401" customFormat="1" ht="18.75" x14ac:dyDescent="0.25">
      <c r="A231" s="399"/>
      <c r="B231" s="414"/>
      <c r="C231" s="411"/>
      <c r="D231" s="402"/>
      <c r="E231" s="537"/>
      <c r="F231" s="412"/>
      <c r="G231"/>
      <c r="H231"/>
    </row>
    <row r="232" spans="1:8" s="401" customFormat="1" ht="18.75" x14ac:dyDescent="0.25">
      <c r="A232" s="399" t="s">
        <v>10</v>
      </c>
      <c r="B232" s="415" t="s">
        <v>977</v>
      </c>
      <c r="C232" s="398">
        <v>22</v>
      </c>
      <c r="D232" s="399" t="s">
        <v>922</v>
      </c>
      <c r="E232" s="528">
        <v>10300</v>
      </c>
      <c r="F232" s="400">
        <f>C232*E232</f>
        <v>226600</v>
      </c>
      <c r="G232"/>
      <c r="H232"/>
    </row>
    <row r="233" spans="1:8" s="401" customFormat="1" ht="18.75" x14ac:dyDescent="0.25">
      <c r="A233" s="399"/>
      <c r="B233" s="398"/>
      <c r="C233" s="398"/>
      <c r="D233" s="399"/>
      <c r="E233" s="528"/>
      <c r="F233" s="400"/>
      <c r="G233"/>
      <c r="H233"/>
    </row>
    <row r="234" spans="1:8" s="401" customFormat="1" ht="18.75" x14ac:dyDescent="0.25">
      <c r="A234" s="399"/>
      <c r="B234" s="404" t="s">
        <v>147</v>
      </c>
      <c r="C234" s="398"/>
      <c r="D234" s="399"/>
      <c r="E234" s="528"/>
      <c r="F234" s="418"/>
      <c r="G234"/>
      <c r="H234"/>
    </row>
    <row r="235" spans="1:8" s="401" customFormat="1" ht="18.75" x14ac:dyDescent="0.25">
      <c r="A235" s="399"/>
      <c r="B235" s="398"/>
      <c r="C235" s="398"/>
      <c r="D235" s="399"/>
      <c r="E235" s="528"/>
      <c r="F235" s="418"/>
      <c r="G235"/>
      <c r="H235"/>
    </row>
    <row r="236" spans="1:8" s="401" customFormat="1" ht="33" x14ac:dyDescent="0.25">
      <c r="A236" s="399"/>
      <c r="B236" s="414" t="s">
        <v>583</v>
      </c>
      <c r="C236" s="398"/>
      <c r="D236" s="399"/>
      <c r="E236" s="528"/>
      <c r="F236" s="418"/>
      <c r="G236"/>
      <c r="H236"/>
    </row>
    <row r="237" spans="1:8" s="401" customFormat="1" ht="18.75" x14ac:dyDescent="0.25">
      <c r="A237" s="399"/>
      <c r="B237" s="414"/>
      <c r="C237" s="398"/>
      <c r="D237" s="399"/>
      <c r="E237" s="528"/>
      <c r="F237" s="418"/>
      <c r="G237"/>
      <c r="H237"/>
    </row>
    <row r="238" spans="1:8" s="401" customFormat="1" ht="18.75" x14ac:dyDescent="0.25">
      <c r="A238" s="399" t="s">
        <v>11</v>
      </c>
      <c r="B238" s="417" t="s">
        <v>1113</v>
      </c>
      <c r="C238" s="398">
        <f>C232*2</f>
        <v>44</v>
      </c>
      <c r="D238" s="399" t="s">
        <v>922</v>
      </c>
      <c r="E238" s="528">
        <v>3200</v>
      </c>
      <c r="F238" s="400">
        <f>C238*E238</f>
        <v>140800</v>
      </c>
      <c r="G238"/>
      <c r="H238"/>
    </row>
    <row r="239" spans="1:8" s="401" customFormat="1" ht="18.75" x14ac:dyDescent="0.25">
      <c r="A239" s="399"/>
      <c r="B239" s="417"/>
      <c r="C239" s="398"/>
      <c r="D239" s="399"/>
      <c r="E239" s="528"/>
      <c r="F239" s="400"/>
      <c r="G239"/>
      <c r="H239"/>
    </row>
    <row r="240" spans="1:8" s="401" customFormat="1" ht="18.75" x14ac:dyDescent="0.25">
      <c r="A240" s="399" t="s">
        <v>12</v>
      </c>
      <c r="B240" s="398" t="s">
        <v>978</v>
      </c>
      <c r="C240" s="409">
        <v>0</v>
      </c>
      <c r="D240" s="399" t="s">
        <v>922</v>
      </c>
      <c r="E240" s="528">
        <f>E238</f>
        <v>3200</v>
      </c>
      <c r="F240" s="400">
        <f>C240*E240</f>
        <v>0</v>
      </c>
      <c r="G240"/>
      <c r="H240"/>
    </row>
    <row r="241" spans="1:8" s="401" customFormat="1" ht="18.75" x14ac:dyDescent="0.25">
      <c r="A241" s="399"/>
      <c r="B241" s="398"/>
      <c r="C241" s="398"/>
      <c r="D241" s="399"/>
      <c r="E241" s="528"/>
      <c r="F241" s="400"/>
      <c r="G241"/>
      <c r="H241"/>
    </row>
    <row r="242" spans="1:8" s="401" customFormat="1" ht="18.75" x14ac:dyDescent="0.25">
      <c r="A242" s="399"/>
      <c r="B242" s="404" t="s">
        <v>585</v>
      </c>
      <c r="C242" s="398"/>
      <c r="D242" s="399"/>
      <c r="E242" s="528"/>
      <c r="F242" s="400"/>
      <c r="G242"/>
      <c r="H242"/>
    </row>
    <row r="243" spans="1:8" s="401" customFormat="1" ht="18.75" x14ac:dyDescent="0.25">
      <c r="A243" s="399"/>
      <c r="B243" s="398"/>
      <c r="C243" s="398"/>
      <c r="D243" s="399"/>
      <c r="E243" s="528"/>
      <c r="F243" s="400"/>
      <c r="G243"/>
      <c r="H243"/>
    </row>
    <row r="244" spans="1:8" s="401" customFormat="1" ht="18.75" x14ac:dyDescent="0.25">
      <c r="A244" s="399"/>
      <c r="B244" s="410" t="s">
        <v>560</v>
      </c>
      <c r="C244" s="398"/>
      <c r="D244" s="399"/>
      <c r="E244" s="528"/>
      <c r="F244" s="418"/>
      <c r="G244"/>
      <c r="H244"/>
    </row>
    <row r="245" spans="1:8" s="401" customFormat="1" ht="18.75" x14ac:dyDescent="0.25">
      <c r="A245" s="399"/>
      <c r="B245" s="410"/>
      <c r="C245" s="398"/>
      <c r="D245" s="399"/>
      <c r="E245" s="528"/>
      <c r="F245" s="418"/>
      <c r="G245"/>
      <c r="H245"/>
    </row>
    <row r="246" spans="1:8" s="401" customFormat="1" ht="18.75" x14ac:dyDescent="0.25">
      <c r="A246" s="399" t="s">
        <v>13</v>
      </c>
      <c r="B246" s="417" t="s">
        <v>979</v>
      </c>
      <c r="C246" s="398"/>
      <c r="D246" s="399" t="s">
        <v>922</v>
      </c>
      <c r="E246" s="528">
        <v>4200</v>
      </c>
      <c r="F246" s="400">
        <f>C246*E246</f>
        <v>0</v>
      </c>
      <c r="G246"/>
      <c r="H246"/>
    </row>
    <row r="247" spans="1:8" s="401" customFormat="1" ht="18.75" x14ac:dyDescent="0.25">
      <c r="A247" s="399"/>
      <c r="B247" s="417"/>
      <c r="C247" s="398"/>
      <c r="D247" s="399"/>
      <c r="E247" s="528"/>
      <c r="F247" s="400"/>
      <c r="G247"/>
      <c r="H247"/>
    </row>
    <row r="248" spans="1:8" s="401" customFormat="1" ht="18.75" x14ac:dyDescent="0.25">
      <c r="A248" s="399"/>
      <c r="B248" s="398"/>
      <c r="C248" s="398"/>
      <c r="D248" s="399"/>
      <c r="E248" s="528"/>
      <c r="F248" s="400"/>
      <c r="G248"/>
      <c r="H248"/>
    </row>
    <row r="249" spans="1:8" s="401" customFormat="1" ht="18.75" x14ac:dyDescent="0.25">
      <c r="A249" s="399"/>
      <c r="B249" s="411"/>
      <c r="C249" s="411"/>
      <c r="D249" s="402"/>
      <c r="E249" s="537"/>
      <c r="F249" s="429"/>
      <c r="G249"/>
      <c r="H249"/>
    </row>
    <row r="250" spans="1:8" s="401" customFormat="1" ht="18.75" x14ac:dyDescent="0.25">
      <c r="A250" s="399"/>
      <c r="B250" s="411"/>
      <c r="C250" s="411"/>
      <c r="D250" s="402"/>
      <c r="E250" s="537"/>
      <c r="F250" s="429"/>
      <c r="G250"/>
      <c r="H250"/>
    </row>
    <row r="251" spans="1:8" s="401" customFormat="1" ht="18.75" x14ac:dyDescent="0.25">
      <c r="A251" s="399"/>
      <c r="B251" s="411"/>
      <c r="C251" s="411"/>
      <c r="D251" s="402"/>
      <c r="E251" s="537"/>
      <c r="F251" s="429"/>
      <c r="G251"/>
      <c r="H251"/>
    </row>
    <row r="252" spans="1:8" s="401" customFormat="1" ht="18.75" x14ac:dyDescent="0.25">
      <c r="A252" s="399"/>
      <c r="B252" s="411"/>
      <c r="C252" s="411"/>
      <c r="D252" s="402"/>
      <c r="E252" s="537"/>
      <c r="F252" s="429"/>
      <c r="G252"/>
      <c r="H252"/>
    </row>
    <row r="253" spans="1:8" s="401" customFormat="1" ht="18.75" x14ac:dyDescent="0.25">
      <c r="A253" s="399"/>
      <c r="B253" s="411"/>
      <c r="C253" s="411"/>
      <c r="D253" s="402"/>
      <c r="E253" s="537"/>
      <c r="F253" s="429"/>
      <c r="G253"/>
      <c r="H253"/>
    </row>
    <row r="254" spans="1:8" s="401" customFormat="1" ht="18.75" x14ac:dyDescent="0.25">
      <c r="A254" s="399"/>
      <c r="B254" s="411"/>
      <c r="C254" s="411"/>
      <c r="D254" s="402"/>
      <c r="E254" s="537"/>
      <c r="F254" s="429"/>
      <c r="G254"/>
      <c r="H254"/>
    </row>
    <row r="255" spans="1:8" s="401" customFormat="1" ht="18.75" x14ac:dyDescent="0.25">
      <c r="A255" s="399"/>
      <c r="B255" s="411" t="s">
        <v>520</v>
      </c>
      <c r="C255" s="411"/>
      <c r="D255" s="402"/>
      <c r="E255" s="537" t="s">
        <v>15</v>
      </c>
      <c r="F255" s="429">
        <f>SUM(F207:F246)</f>
        <v>1346550</v>
      </c>
      <c r="G255"/>
      <c r="H255"/>
    </row>
    <row r="256" spans="1:8" s="401" customFormat="1" ht="18.75" x14ac:dyDescent="0.25">
      <c r="A256" s="399"/>
      <c r="B256" s="403" t="s">
        <v>573</v>
      </c>
      <c r="C256" s="398"/>
      <c r="D256" s="399"/>
      <c r="E256" s="528"/>
      <c r="F256" s="400"/>
      <c r="G256"/>
      <c r="H256"/>
    </row>
    <row r="257" spans="1:8" s="401" customFormat="1" ht="18.75" x14ac:dyDescent="0.25">
      <c r="A257" s="399"/>
      <c r="B257" s="417"/>
      <c r="C257" s="398"/>
      <c r="D257" s="399"/>
      <c r="E257" s="528"/>
      <c r="F257" s="400"/>
      <c r="G257"/>
      <c r="H257"/>
    </row>
    <row r="258" spans="1:8" s="401" customFormat="1" ht="18.75" x14ac:dyDescent="0.25">
      <c r="A258" s="399"/>
      <c r="B258" s="404" t="s">
        <v>592</v>
      </c>
      <c r="C258" s="398"/>
      <c r="D258" s="399"/>
      <c r="E258" s="528"/>
      <c r="F258" s="400"/>
      <c r="G258"/>
      <c r="H258"/>
    </row>
    <row r="259" spans="1:8" s="401" customFormat="1" ht="18.75" x14ac:dyDescent="0.25">
      <c r="A259" s="399"/>
      <c r="B259" s="398"/>
      <c r="C259" s="398"/>
      <c r="D259" s="399"/>
      <c r="E259" s="528"/>
      <c r="F259" s="400"/>
      <c r="G259"/>
      <c r="H259"/>
    </row>
    <row r="260" spans="1:8" s="401" customFormat="1" ht="33" x14ac:dyDescent="0.25">
      <c r="A260" s="399"/>
      <c r="B260" s="414" t="s">
        <v>950</v>
      </c>
      <c r="C260" s="398"/>
      <c r="D260" s="399"/>
      <c r="E260" s="528"/>
      <c r="F260" s="400"/>
      <c r="G260"/>
      <c r="H260"/>
    </row>
    <row r="261" spans="1:8" s="401" customFormat="1" ht="18.75" x14ac:dyDescent="0.25">
      <c r="A261" s="399"/>
      <c r="B261" s="398"/>
      <c r="C261" s="398"/>
      <c r="D261" s="399"/>
      <c r="E261" s="528"/>
      <c r="F261" s="400"/>
      <c r="G261"/>
      <c r="H261"/>
    </row>
    <row r="262" spans="1:8" s="401" customFormat="1" ht="18.75" x14ac:dyDescent="0.25">
      <c r="A262" s="399" t="s">
        <v>2</v>
      </c>
      <c r="B262" s="417" t="s">
        <v>24</v>
      </c>
      <c r="C262" s="398">
        <f>C232</f>
        <v>22</v>
      </c>
      <c r="D262" s="399" t="s">
        <v>35</v>
      </c>
      <c r="E262" s="528">
        <v>2200</v>
      </c>
      <c r="F262" s="486">
        <f>C262*E262</f>
        <v>48400</v>
      </c>
      <c r="G262"/>
      <c r="H262"/>
    </row>
    <row r="263" spans="1:8" s="401" customFormat="1" ht="18.75" x14ac:dyDescent="0.25">
      <c r="A263" s="399"/>
      <c r="B263" s="417"/>
      <c r="C263" s="398"/>
      <c r="D263" s="399"/>
      <c r="E263" s="528"/>
      <c r="F263" s="486"/>
      <c r="G263"/>
      <c r="H263"/>
    </row>
    <row r="264" spans="1:8" s="401" customFormat="1" ht="18.75" x14ac:dyDescent="0.25">
      <c r="A264" s="399" t="s">
        <v>4</v>
      </c>
      <c r="B264" s="398" t="s">
        <v>978</v>
      </c>
      <c r="C264" s="409">
        <f>C240</f>
        <v>0</v>
      </c>
      <c r="D264" s="399" t="s">
        <v>35</v>
      </c>
      <c r="E264" s="528">
        <f>E262</f>
        <v>2200</v>
      </c>
      <c r="F264" s="486">
        <f>C264*E264</f>
        <v>0</v>
      </c>
      <c r="G264"/>
      <c r="H264"/>
    </row>
    <row r="265" spans="1:8" s="401" customFormat="1" ht="18.75" x14ac:dyDescent="0.25">
      <c r="A265" s="399"/>
      <c r="B265" s="398"/>
      <c r="C265" s="398"/>
      <c r="D265" s="399"/>
      <c r="E265" s="528"/>
      <c r="F265" s="486"/>
      <c r="G265"/>
      <c r="H265"/>
    </row>
    <row r="266" spans="1:8" s="401" customFormat="1" ht="18.75" x14ac:dyDescent="0.25">
      <c r="A266" s="399"/>
      <c r="B266" s="398"/>
      <c r="C266" s="398"/>
      <c r="D266" s="399"/>
      <c r="E266" s="528"/>
      <c r="F266" s="486"/>
      <c r="G266"/>
      <c r="H266"/>
    </row>
    <row r="267" spans="1:8" s="401" customFormat="1" ht="18.75" x14ac:dyDescent="0.25">
      <c r="A267" s="399"/>
      <c r="B267" s="411" t="s">
        <v>520</v>
      </c>
      <c r="C267" s="411"/>
      <c r="D267" s="402"/>
      <c r="E267" s="537" t="s">
        <v>15</v>
      </c>
      <c r="F267" s="412">
        <f>SUM(F257:F265)</f>
        <v>48400</v>
      </c>
      <c r="G267"/>
      <c r="H267"/>
    </row>
    <row r="268" spans="1:8" s="401" customFormat="1" ht="18.75" x14ac:dyDescent="0.25">
      <c r="A268" s="399"/>
      <c r="B268" s="411"/>
      <c r="C268" s="411"/>
      <c r="D268" s="402"/>
      <c r="E268" s="537"/>
      <c r="F268" s="412"/>
      <c r="G268"/>
      <c r="H268"/>
    </row>
    <row r="269" spans="1:8" s="401" customFormat="1" ht="18.75" x14ac:dyDescent="0.25">
      <c r="A269" s="399"/>
      <c r="B269" s="411"/>
      <c r="C269" s="411"/>
      <c r="D269" s="402"/>
      <c r="E269" s="537"/>
      <c r="F269" s="412"/>
      <c r="G269"/>
      <c r="H269"/>
    </row>
    <row r="270" spans="1:8" s="401" customFormat="1" ht="18.75" x14ac:dyDescent="0.25">
      <c r="A270" s="399"/>
      <c r="B270" s="403" t="s">
        <v>531</v>
      </c>
      <c r="C270" s="398"/>
      <c r="D270" s="399"/>
      <c r="E270" s="528"/>
      <c r="F270" s="418"/>
      <c r="G270"/>
      <c r="H270"/>
    </row>
    <row r="271" spans="1:8" s="401" customFormat="1" ht="18.75" x14ac:dyDescent="0.25">
      <c r="A271" s="399"/>
      <c r="B271" s="410"/>
      <c r="C271" s="398"/>
      <c r="D271" s="399"/>
      <c r="E271" s="528"/>
      <c r="F271" s="418"/>
      <c r="G271"/>
      <c r="H271"/>
    </row>
    <row r="272" spans="1:8" s="401" customFormat="1" ht="18.75" x14ac:dyDescent="0.25">
      <c r="A272" s="399"/>
      <c r="B272" s="484" t="s">
        <v>980</v>
      </c>
      <c r="C272" s="398"/>
      <c r="D272" s="399"/>
      <c r="E272" s="528">
        <f>F203</f>
        <v>778250</v>
      </c>
      <c r="F272" s="418"/>
      <c r="G272"/>
      <c r="H272"/>
    </row>
    <row r="273" spans="1:8" s="401" customFormat="1" ht="18.75" x14ac:dyDescent="0.25">
      <c r="A273" s="399"/>
      <c r="B273" s="484"/>
      <c r="C273" s="398"/>
      <c r="D273" s="399"/>
      <c r="E273" s="528"/>
      <c r="F273" s="418"/>
      <c r="G273"/>
      <c r="H273"/>
    </row>
    <row r="274" spans="1:8" s="401" customFormat="1" ht="18.75" x14ac:dyDescent="0.25">
      <c r="A274" s="399"/>
      <c r="B274" s="484" t="s">
        <v>566</v>
      </c>
      <c r="C274" s="398"/>
      <c r="D274" s="399"/>
      <c r="E274" s="528">
        <f>F255</f>
        <v>1346550</v>
      </c>
      <c r="F274" s="418"/>
      <c r="G274"/>
      <c r="H274"/>
    </row>
    <row r="275" spans="1:8" s="401" customFormat="1" ht="18.75" x14ac:dyDescent="0.25">
      <c r="A275" s="399"/>
      <c r="B275" s="484"/>
      <c r="C275" s="398"/>
      <c r="D275" s="399"/>
      <c r="E275" s="528"/>
      <c r="F275" s="400"/>
      <c r="G275"/>
      <c r="H275"/>
    </row>
    <row r="276" spans="1:8" s="401" customFormat="1" ht="18.75" x14ac:dyDescent="0.25">
      <c r="A276" s="399"/>
      <c r="B276" s="484" t="s">
        <v>567</v>
      </c>
      <c r="C276" s="398"/>
      <c r="D276" s="399"/>
      <c r="E276" s="528">
        <f>F267</f>
        <v>48400</v>
      </c>
      <c r="F276" s="418"/>
      <c r="G276"/>
      <c r="H276"/>
    </row>
    <row r="277" spans="1:8" s="401" customFormat="1" ht="18.75" x14ac:dyDescent="0.25">
      <c r="A277" s="399"/>
      <c r="B277" s="417"/>
      <c r="C277" s="398"/>
      <c r="D277" s="399"/>
      <c r="E277" s="528"/>
      <c r="F277" s="400"/>
      <c r="G277"/>
      <c r="H277"/>
    </row>
    <row r="278" spans="1:8" s="401" customFormat="1" ht="18.75" x14ac:dyDescent="0.25">
      <c r="A278" s="399"/>
      <c r="B278" s="417"/>
      <c r="C278" s="398"/>
      <c r="D278" s="399"/>
      <c r="E278" s="528"/>
      <c r="F278" s="400"/>
      <c r="G278"/>
      <c r="H278"/>
    </row>
    <row r="279" spans="1:8" s="401" customFormat="1" ht="18.75" x14ac:dyDescent="0.25">
      <c r="A279" s="399"/>
      <c r="B279" s="417"/>
      <c r="C279" s="398"/>
      <c r="D279" s="399"/>
      <c r="E279" s="528"/>
      <c r="F279" s="400"/>
      <c r="G279"/>
      <c r="H279"/>
    </row>
    <row r="280" spans="1:8" s="401" customFormat="1" ht="18.75" x14ac:dyDescent="0.25">
      <c r="A280" s="399"/>
      <c r="B280" s="417"/>
      <c r="C280" s="398"/>
      <c r="D280" s="399"/>
      <c r="E280" s="528"/>
      <c r="F280" s="400"/>
      <c r="G280"/>
      <c r="H280"/>
    </row>
    <row r="281" spans="1:8" s="401" customFormat="1" ht="18.75" x14ac:dyDescent="0.25">
      <c r="A281" s="399"/>
      <c r="B281" s="417"/>
      <c r="C281" s="398"/>
      <c r="D281" s="399"/>
      <c r="E281" s="528"/>
      <c r="F281" s="400"/>
      <c r="G281"/>
      <c r="H281"/>
    </row>
    <row r="282" spans="1:8" s="401" customFormat="1" ht="18.75" x14ac:dyDescent="0.25">
      <c r="A282" s="399"/>
      <c r="B282" s="403" t="s">
        <v>163</v>
      </c>
      <c r="C282" s="398"/>
      <c r="D282" s="399"/>
      <c r="E282" s="528"/>
      <c r="F282" s="418"/>
      <c r="G282"/>
      <c r="H282"/>
    </row>
    <row r="283" spans="1:8" s="401" customFormat="1" ht="18.75" x14ac:dyDescent="0.25">
      <c r="A283" s="399"/>
      <c r="B283" s="411" t="s">
        <v>534</v>
      </c>
      <c r="C283" s="411"/>
      <c r="D283" s="402"/>
      <c r="E283" s="537" t="s">
        <v>15</v>
      </c>
      <c r="F283" s="412">
        <f>SUM(E270:E277)</f>
        <v>2173200</v>
      </c>
      <c r="G283"/>
      <c r="H283"/>
    </row>
    <row r="284" spans="1:8" s="401" customFormat="1" ht="18.75" x14ac:dyDescent="0.25">
      <c r="A284" s="399"/>
      <c r="B284" s="403" t="s">
        <v>593</v>
      </c>
      <c r="C284" s="398"/>
      <c r="D284" s="399"/>
      <c r="E284" s="528"/>
      <c r="F284" s="400"/>
      <c r="G284"/>
      <c r="H284"/>
    </row>
    <row r="285" spans="1:8" s="401" customFormat="1" ht="18.75" x14ac:dyDescent="0.25">
      <c r="A285" s="399"/>
      <c r="B285" s="403"/>
      <c r="C285" s="398"/>
      <c r="D285" s="399"/>
      <c r="E285" s="528"/>
      <c r="F285" s="400"/>
      <c r="G285"/>
      <c r="H285"/>
    </row>
    <row r="286" spans="1:8" s="401" customFormat="1" ht="18.75" x14ac:dyDescent="0.25">
      <c r="A286" s="399"/>
      <c r="B286" s="403" t="s">
        <v>236</v>
      </c>
      <c r="C286" s="398"/>
      <c r="D286" s="399"/>
      <c r="E286" s="528"/>
      <c r="F286" s="400"/>
      <c r="G286"/>
      <c r="H286"/>
    </row>
    <row r="287" spans="1:8" s="401" customFormat="1" ht="18.75" x14ac:dyDescent="0.25">
      <c r="A287" s="399"/>
      <c r="B287" s="410" t="s">
        <v>610</v>
      </c>
      <c r="C287" s="398"/>
      <c r="D287" s="399"/>
      <c r="E287" s="528"/>
      <c r="F287" s="400"/>
      <c r="G287"/>
      <c r="H287"/>
    </row>
    <row r="288" spans="1:8" s="401" customFormat="1" ht="18.75" x14ac:dyDescent="0.25">
      <c r="A288" s="399"/>
      <c r="B288" s="398"/>
      <c r="C288" s="398"/>
      <c r="D288" s="399"/>
      <c r="E288" s="528"/>
      <c r="F288" s="400"/>
      <c r="G288"/>
      <c r="H288"/>
    </row>
    <row r="289" spans="1:8" s="401" customFormat="1" ht="18.75" x14ac:dyDescent="0.25">
      <c r="A289" s="399"/>
      <c r="B289" s="404" t="s">
        <v>283</v>
      </c>
      <c r="C289" s="398"/>
      <c r="D289" s="399"/>
      <c r="E289" s="528"/>
      <c r="F289" s="400"/>
      <c r="G289"/>
      <c r="H289"/>
    </row>
    <row r="290" spans="1:8" s="401" customFormat="1" ht="33" x14ac:dyDescent="0.25">
      <c r="A290" s="399"/>
      <c r="B290" s="414" t="s">
        <v>611</v>
      </c>
      <c r="C290" s="398"/>
      <c r="D290" s="399"/>
      <c r="E290" s="528"/>
      <c r="F290" s="400"/>
      <c r="G290"/>
      <c r="H290"/>
    </row>
    <row r="291" spans="1:8" s="401" customFormat="1" ht="18.75" x14ac:dyDescent="0.25">
      <c r="A291" s="399" t="s">
        <v>2</v>
      </c>
      <c r="B291" s="398" t="s">
        <v>612</v>
      </c>
      <c r="C291" s="407">
        <v>271</v>
      </c>
      <c r="D291" s="399" t="s">
        <v>35</v>
      </c>
      <c r="E291" s="528">
        <v>3500</v>
      </c>
      <c r="F291" s="400">
        <f>E291*C291</f>
        <v>948500</v>
      </c>
      <c r="G291"/>
      <c r="H291"/>
    </row>
    <row r="292" spans="1:8" s="401" customFormat="1" ht="33" x14ac:dyDescent="0.25">
      <c r="A292" s="399" t="s">
        <v>4</v>
      </c>
      <c r="B292" s="415" t="s">
        <v>613</v>
      </c>
      <c r="C292" s="398">
        <v>108</v>
      </c>
      <c r="D292" s="399" t="s">
        <v>22</v>
      </c>
      <c r="E292" s="528">
        <f>E291*0.3</f>
        <v>1050</v>
      </c>
      <c r="F292" s="400">
        <f>E292*C292</f>
        <v>113400</v>
      </c>
      <c r="G292"/>
      <c r="H292"/>
    </row>
    <row r="293" spans="1:8" s="401" customFormat="1" ht="18.75" x14ac:dyDescent="0.25">
      <c r="A293" s="399"/>
      <c r="B293" s="415"/>
      <c r="C293" s="398"/>
      <c r="D293" s="399"/>
      <c r="E293" s="528"/>
      <c r="F293" s="400"/>
      <c r="G293"/>
      <c r="H293"/>
    </row>
    <row r="294" spans="1:8" s="401" customFormat="1" ht="18.75" x14ac:dyDescent="0.25">
      <c r="A294" s="399"/>
      <c r="B294" s="411" t="s">
        <v>152</v>
      </c>
      <c r="C294" s="399"/>
      <c r="D294" s="399"/>
      <c r="E294" s="528"/>
      <c r="F294" s="400"/>
      <c r="G294"/>
      <c r="H294"/>
    </row>
    <row r="295" spans="1:8" s="401" customFormat="1" ht="33" x14ac:dyDescent="0.25">
      <c r="A295" s="399"/>
      <c r="B295" s="415" t="s">
        <v>619</v>
      </c>
      <c r="C295" s="398"/>
      <c r="E295" s="528"/>
      <c r="F295" s="400"/>
      <c r="G295"/>
      <c r="H295"/>
    </row>
    <row r="296" spans="1:8" s="401" customFormat="1" ht="18.75" x14ac:dyDescent="0.25">
      <c r="A296" s="399" t="s">
        <v>5</v>
      </c>
      <c r="B296" s="398" t="s">
        <v>612</v>
      </c>
      <c r="C296" s="424">
        <f>C291-C300-C301</f>
        <v>109</v>
      </c>
      <c r="D296" s="399" t="s">
        <v>35</v>
      </c>
      <c r="E296" s="528">
        <v>2200</v>
      </c>
      <c r="F296" s="400">
        <f>C296*E296</f>
        <v>239800</v>
      </c>
      <c r="G296"/>
      <c r="H296"/>
    </row>
    <row r="297" spans="1:8" s="401" customFormat="1" ht="18.75" x14ac:dyDescent="0.25">
      <c r="A297" s="399" t="s">
        <v>6</v>
      </c>
      <c r="B297" s="398" t="s">
        <v>620</v>
      </c>
      <c r="C297" s="398">
        <f>C292</f>
        <v>108</v>
      </c>
      <c r="D297" s="399" t="s">
        <v>22</v>
      </c>
      <c r="E297" s="528">
        <v>450</v>
      </c>
      <c r="F297" s="400">
        <f>C297*E297</f>
        <v>48600</v>
      </c>
      <c r="G297"/>
      <c r="H297"/>
    </row>
    <row r="298" spans="1:8" s="401" customFormat="1" ht="36" x14ac:dyDescent="0.25">
      <c r="A298" s="399"/>
      <c r="B298" s="425" t="s">
        <v>621</v>
      </c>
      <c r="C298" s="398"/>
      <c r="D298" s="399"/>
      <c r="E298" s="528"/>
      <c r="F298" s="400"/>
      <c r="G298"/>
      <c r="H298"/>
    </row>
    <row r="299" spans="1:8" s="401" customFormat="1" ht="66" x14ac:dyDescent="0.25">
      <c r="A299" s="399"/>
      <c r="B299" s="415" t="s">
        <v>928</v>
      </c>
      <c r="C299" s="398"/>
      <c r="D299" s="399"/>
      <c r="E299" s="528"/>
      <c r="F299" s="400"/>
      <c r="G299"/>
      <c r="H299"/>
    </row>
    <row r="300" spans="1:8" s="401" customFormat="1" ht="18.75" x14ac:dyDescent="0.25">
      <c r="A300" s="399" t="s">
        <v>7</v>
      </c>
      <c r="B300" s="398" t="s">
        <v>624</v>
      </c>
      <c r="C300" s="426">
        <v>162</v>
      </c>
      <c r="D300" s="399" t="s">
        <v>35</v>
      </c>
      <c r="E300" s="528">
        <v>6500</v>
      </c>
      <c r="F300" s="400">
        <f t="shared" ref="F300:F305" si="8">E300*C300</f>
        <v>1053000</v>
      </c>
      <c r="G300"/>
      <c r="H300"/>
    </row>
    <row r="301" spans="1:8" s="401" customFormat="1" ht="18.75" x14ac:dyDescent="0.25">
      <c r="A301" s="399" t="s">
        <v>8</v>
      </c>
      <c r="B301" s="398" t="s">
        <v>623</v>
      </c>
      <c r="C301" s="426">
        <v>0</v>
      </c>
      <c r="D301" s="399" t="s">
        <v>35</v>
      </c>
      <c r="E301" s="528">
        <v>6500</v>
      </c>
      <c r="F301" s="400">
        <f t="shared" si="8"/>
        <v>0</v>
      </c>
      <c r="G301"/>
      <c r="H301"/>
    </row>
    <row r="302" spans="1:8" s="401" customFormat="1" ht="18.75" x14ac:dyDescent="0.25">
      <c r="A302" s="399"/>
      <c r="B302" s="398"/>
      <c r="C302" s="555"/>
      <c r="D302" s="399"/>
      <c r="E302" s="528"/>
      <c r="F302" s="400"/>
      <c r="G302"/>
      <c r="H302"/>
    </row>
    <row r="303" spans="1:8" s="401" customFormat="1" ht="54" x14ac:dyDescent="0.25">
      <c r="A303" s="399"/>
      <c r="B303" s="425" t="s">
        <v>625</v>
      </c>
      <c r="C303" s="398"/>
      <c r="D303" s="399"/>
      <c r="E303" s="528"/>
      <c r="F303" s="400"/>
      <c r="G303"/>
      <c r="H303"/>
    </row>
    <row r="304" spans="1:8" s="401" customFormat="1" ht="18.75" x14ac:dyDescent="0.25">
      <c r="A304" s="399"/>
      <c r="B304" s="398" t="s">
        <v>626</v>
      </c>
      <c r="C304" s="398"/>
      <c r="D304" s="399"/>
      <c r="E304" s="528"/>
      <c r="F304" s="400"/>
      <c r="G304"/>
      <c r="H304"/>
    </row>
    <row r="305" spans="1:8" s="401" customFormat="1" ht="18.75" x14ac:dyDescent="0.25">
      <c r="A305" s="399" t="s">
        <v>9</v>
      </c>
      <c r="B305" s="398" t="s">
        <v>627</v>
      </c>
      <c r="C305" s="407">
        <f>C300+C301</f>
        <v>162</v>
      </c>
      <c r="D305" s="399" t="s">
        <v>35</v>
      </c>
      <c r="E305" s="528">
        <v>1850</v>
      </c>
      <c r="F305" s="400">
        <f t="shared" si="8"/>
        <v>299700</v>
      </c>
      <c r="G305"/>
      <c r="H305"/>
    </row>
    <row r="306" spans="1:8" s="401" customFormat="1" ht="18.75" x14ac:dyDescent="0.25">
      <c r="A306" s="399"/>
      <c r="B306" s="403" t="s">
        <v>628</v>
      </c>
      <c r="C306" s="409"/>
      <c r="D306" s="399"/>
      <c r="E306" s="528"/>
      <c r="F306" s="418"/>
      <c r="G306"/>
      <c r="H306"/>
    </row>
    <row r="307" spans="1:8" s="401" customFormat="1" ht="18.75" x14ac:dyDescent="0.25">
      <c r="A307" s="399"/>
      <c r="B307" s="398" t="s">
        <v>629</v>
      </c>
      <c r="C307" s="409"/>
      <c r="D307" s="399"/>
      <c r="E307" s="528"/>
      <c r="F307" s="418"/>
      <c r="G307"/>
      <c r="H307"/>
    </row>
    <row r="308" spans="1:8" s="401" customFormat="1" ht="33" x14ac:dyDescent="0.25">
      <c r="A308" s="399"/>
      <c r="B308" s="414" t="s">
        <v>630</v>
      </c>
      <c r="C308" s="409"/>
      <c r="D308" s="399"/>
      <c r="E308" s="528"/>
      <c r="F308" s="418"/>
      <c r="G308"/>
      <c r="H308"/>
    </row>
    <row r="309" spans="1:8" s="401" customFormat="1" ht="18.75" x14ac:dyDescent="0.25">
      <c r="A309" s="399" t="s">
        <v>10</v>
      </c>
      <c r="B309" s="398" t="s">
        <v>612</v>
      </c>
      <c r="C309" s="409">
        <v>106</v>
      </c>
      <c r="D309" s="399" t="s">
        <v>35</v>
      </c>
      <c r="E309" s="528">
        <f>E291</f>
        <v>3500</v>
      </c>
      <c r="F309" s="400">
        <f>C309*E309</f>
        <v>371000</v>
      </c>
      <c r="G309"/>
      <c r="H309"/>
    </row>
    <row r="310" spans="1:8" s="401" customFormat="1" ht="33" x14ac:dyDescent="0.25">
      <c r="A310" s="399" t="s">
        <v>11</v>
      </c>
      <c r="B310" s="422" t="s">
        <v>981</v>
      </c>
      <c r="C310" s="409">
        <v>57</v>
      </c>
      <c r="D310" s="399" t="s">
        <v>22</v>
      </c>
      <c r="E310" s="528">
        <f>E292</f>
        <v>1050</v>
      </c>
      <c r="F310" s="400">
        <f>E310*C310</f>
        <v>59850</v>
      </c>
      <c r="G310"/>
      <c r="H310"/>
    </row>
    <row r="311" spans="1:8" s="401" customFormat="1" ht="18.75" x14ac:dyDescent="0.25">
      <c r="A311" s="399"/>
      <c r="B311" s="417"/>
      <c r="C311" s="409"/>
      <c r="D311" s="399"/>
      <c r="E311" s="528"/>
      <c r="F311" s="400"/>
      <c r="G311"/>
      <c r="H311"/>
    </row>
    <row r="312" spans="1:8" s="401" customFormat="1" ht="18.75" x14ac:dyDescent="0.25">
      <c r="A312" s="399"/>
      <c r="B312" s="411" t="s">
        <v>152</v>
      </c>
      <c r="C312" s="399"/>
      <c r="D312" s="399"/>
      <c r="E312" s="528"/>
      <c r="F312" s="400"/>
      <c r="G312"/>
      <c r="H312"/>
    </row>
    <row r="313" spans="1:8" s="401" customFormat="1" ht="33" x14ac:dyDescent="0.25">
      <c r="A313" s="399"/>
      <c r="B313" s="415" t="s">
        <v>619</v>
      </c>
      <c r="C313" s="398"/>
      <c r="E313" s="528"/>
      <c r="F313" s="400"/>
      <c r="G313"/>
      <c r="H313"/>
    </row>
    <row r="314" spans="1:8" s="401" customFormat="1" ht="18.75" x14ac:dyDescent="0.25">
      <c r="A314" s="399" t="s">
        <v>12</v>
      </c>
      <c r="B314" s="398" t="s">
        <v>612</v>
      </c>
      <c r="C314" s="424">
        <f>C309</f>
        <v>106</v>
      </c>
      <c r="D314" s="399" t="s">
        <v>35</v>
      </c>
      <c r="E314" s="528">
        <v>2200</v>
      </c>
      <c r="F314" s="400">
        <f>C314*E314</f>
        <v>233200</v>
      </c>
      <c r="G314"/>
      <c r="H314"/>
    </row>
    <row r="315" spans="1:8" s="401" customFormat="1" ht="18.75" x14ac:dyDescent="0.25">
      <c r="A315" s="399" t="s">
        <v>13</v>
      </c>
      <c r="B315" s="398" t="s">
        <v>620</v>
      </c>
      <c r="C315" s="409">
        <f>C310</f>
        <v>57</v>
      </c>
      <c r="D315" s="399" t="s">
        <v>22</v>
      </c>
      <c r="E315" s="528">
        <v>400</v>
      </c>
      <c r="F315" s="400">
        <f>C315*E315</f>
        <v>22800</v>
      </c>
      <c r="G315"/>
      <c r="H315"/>
    </row>
    <row r="316" spans="1:8" s="401" customFormat="1" ht="18.75" x14ac:dyDescent="0.25">
      <c r="A316" s="399"/>
      <c r="B316" s="417"/>
      <c r="C316" s="409"/>
      <c r="D316" s="399"/>
      <c r="E316" s="528"/>
      <c r="F316" s="400"/>
      <c r="G316"/>
      <c r="H316"/>
    </row>
    <row r="317" spans="1:8" s="401" customFormat="1" ht="18.75" x14ac:dyDescent="0.25">
      <c r="A317" s="399"/>
      <c r="B317" s="417"/>
      <c r="C317" s="409"/>
      <c r="D317" s="399"/>
      <c r="E317" s="528"/>
      <c r="F317" s="400"/>
      <c r="G317"/>
      <c r="H317"/>
    </row>
    <row r="318" spans="1:8" s="401" customFormat="1" ht="18.75" x14ac:dyDescent="0.25">
      <c r="A318" s="399"/>
      <c r="B318" s="417"/>
      <c r="C318" s="409"/>
      <c r="D318" s="399"/>
      <c r="E318" s="528"/>
      <c r="F318" s="400"/>
      <c r="G318"/>
      <c r="H318"/>
    </row>
    <row r="319" spans="1:8" s="401" customFormat="1" ht="18.75" x14ac:dyDescent="0.25">
      <c r="A319" s="399"/>
      <c r="B319" s="417"/>
      <c r="C319" s="409"/>
      <c r="D319" s="399"/>
      <c r="E319" s="528"/>
      <c r="F319" s="400"/>
      <c r="G319"/>
      <c r="H319"/>
    </row>
    <row r="320" spans="1:8" s="401" customFormat="1" ht="18.75" x14ac:dyDescent="0.25">
      <c r="A320" s="399"/>
      <c r="B320" s="398"/>
      <c r="C320" s="398"/>
      <c r="D320" s="399"/>
      <c r="E320" s="528"/>
      <c r="F320" s="400"/>
      <c r="G320"/>
      <c r="H320"/>
    </row>
    <row r="321" spans="1:8" s="401" customFormat="1" ht="18.75" x14ac:dyDescent="0.25">
      <c r="A321" s="399"/>
      <c r="B321" s="398"/>
      <c r="C321" s="398"/>
      <c r="D321" s="399"/>
      <c r="E321" s="528"/>
      <c r="F321" s="400"/>
      <c r="G321"/>
      <c r="H321"/>
    </row>
    <row r="322" spans="1:8" s="401" customFormat="1" ht="18.75" x14ac:dyDescent="0.25">
      <c r="A322" s="399"/>
      <c r="B322" s="398"/>
      <c r="C322" s="398"/>
      <c r="D322" s="399"/>
      <c r="E322" s="528"/>
      <c r="F322" s="400"/>
      <c r="G322"/>
      <c r="H322"/>
    </row>
    <row r="323" spans="1:8" s="401" customFormat="1" ht="18.75" x14ac:dyDescent="0.25">
      <c r="A323" s="399"/>
      <c r="B323" s="411"/>
      <c r="C323" s="411"/>
      <c r="D323" s="402"/>
      <c r="E323" s="537"/>
      <c r="F323" s="296"/>
      <c r="G323"/>
      <c r="H323"/>
    </row>
    <row r="324" spans="1:8" s="401" customFormat="1" ht="18.75" x14ac:dyDescent="0.25">
      <c r="A324" s="399"/>
      <c r="B324" s="411"/>
      <c r="C324" s="411"/>
      <c r="D324" s="402"/>
      <c r="E324" s="537"/>
      <c r="F324" s="296"/>
      <c r="G324"/>
      <c r="H324"/>
    </row>
    <row r="325" spans="1:8" s="401" customFormat="1" ht="18.75" x14ac:dyDescent="0.25">
      <c r="A325" s="399"/>
      <c r="B325" s="411"/>
      <c r="C325" s="411"/>
      <c r="D325" s="402"/>
      <c r="E325" s="537"/>
      <c r="F325" s="296"/>
      <c r="G325"/>
      <c r="H325"/>
    </row>
    <row r="326" spans="1:8" s="401" customFormat="1" ht="18.75" x14ac:dyDescent="0.25">
      <c r="A326" s="399"/>
      <c r="B326" s="411"/>
      <c r="C326" s="411"/>
      <c r="D326" s="402"/>
      <c r="E326" s="537"/>
      <c r="F326" s="296"/>
      <c r="G326"/>
      <c r="H326"/>
    </row>
    <row r="327" spans="1:8" s="401" customFormat="1" ht="18.75" x14ac:dyDescent="0.25">
      <c r="A327" s="399"/>
      <c r="B327" s="403" t="s">
        <v>236</v>
      </c>
      <c r="C327" s="411"/>
      <c r="D327" s="402"/>
      <c r="E327" s="537"/>
      <c r="F327" s="296"/>
      <c r="G327"/>
      <c r="H327"/>
    </row>
    <row r="328" spans="1:8" s="401" customFormat="1" ht="18.75" x14ac:dyDescent="0.25">
      <c r="A328" s="399"/>
      <c r="B328" s="411" t="s">
        <v>638</v>
      </c>
      <c r="C328" s="411"/>
      <c r="D328" s="402"/>
      <c r="E328" s="537" t="s">
        <v>15</v>
      </c>
      <c r="F328" s="296">
        <f>F291+F292+F296+F297+F300+F300+F305+F309+F309+F310+F314+F315</f>
        <v>4813850</v>
      </c>
      <c r="G328"/>
      <c r="H328"/>
    </row>
    <row r="329" spans="1:8" s="401" customFormat="1" ht="18.75" x14ac:dyDescent="0.25">
      <c r="A329" s="399"/>
      <c r="B329" s="403" t="s">
        <v>604</v>
      </c>
      <c r="C329" s="398"/>
      <c r="D329" s="399"/>
      <c r="E329" s="528"/>
      <c r="F329" s="400"/>
      <c r="G329"/>
      <c r="H329"/>
    </row>
    <row r="330" spans="1:8" s="401" customFormat="1" ht="18.75" x14ac:dyDescent="0.25">
      <c r="A330" s="399"/>
      <c r="B330" s="398"/>
      <c r="C330" s="398"/>
      <c r="D330" s="399"/>
      <c r="E330" s="528"/>
      <c r="F330" s="400"/>
      <c r="G330"/>
      <c r="H330"/>
    </row>
    <row r="331" spans="1:8" s="401" customFormat="1" ht="18.75" x14ac:dyDescent="0.25">
      <c r="A331" s="399"/>
      <c r="B331" s="403" t="s">
        <v>265</v>
      </c>
      <c r="C331" s="398"/>
      <c r="D331" s="399"/>
      <c r="E331" s="528"/>
      <c r="F331" s="400"/>
      <c r="G331"/>
      <c r="H331"/>
    </row>
    <row r="332" spans="1:8" s="401" customFormat="1" ht="18.75" x14ac:dyDescent="0.25">
      <c r="A332" s="399"/>
      <c r="B332" s="410" t="s">
        <v>610</v>
      </c>
      <c r="C332" s="398"/>
      <c r="D332" s="399"/>
      <c r="E332" s="528"/>
      <c r="F332" s="400"/>
      <c r="G332"/>
      <c r="H332"/>
    </row>
    <row r="333" spans="1:8" s="401" customFormat="1" ht="36" x14ac:dyDescent="0.25">
      <c r="A333" s="399"/>
      <c r="B333" s="490" t="s">
        <v>640</v>
      </c>
      <c r="C333" s="398"/>
      <c r="D333" s="399"/>
      <c r="E333" s="528"/>
      <c r="F333" s="400"/>
      <c r="G333"/>
      <c r="H333"/>
    </row>
    <row r="334" spans="1:8" s="401" customFormat="1" ht="18.75" x14ac:dyDescent="0.25">
      <c r="A334" s="399"/>
      <c r="B334" s="410"/>
      <c r="C334" s="398"/>
      <c r="D334" s="399"/>
      <c r="E334" s="528"/>
      <c r="F334" s="400"/>
      <c r="G334"/>
      <c r="H334"/>
    </row>
    <row r="335" spans="1:8" s="401" customFormat="1" ht="82.5" x14ac:dyDescent="0.25">
      <c r="A335" s="399"/>
      <c r="B335" s="413" t="s">
        <v>951</v>
      </c>
      <c r="C335" s="398"/>
      <c r="D335" s="399"/>
      <c r="E335" s="528"/>
      <c r="F335" s="400"/>
      <c r="G335"/>
      <c r="H335"/>
    </row>
    <row r="336" spans="1:8" s="401" customFormat="1" ht="18.75" x14ac:dyDescent="0.25">
      <c r="A336" s="399"/>
      <c r="B336" s="413"/>
      <c r="C336" s="398"/>
      <c r="D336" s="399"/>
      <c r="E336" s="528"/>
      <c r="F336" s="400"/>
      <c r="G336"/>
      <c r="H336"/>
    </row>
    <row r="337" spans="1:8" s="401" customFormat="1" ht="18.75" x14ac:dyDescent="0.25">
      <c r="A337" s="399" t="s">
        <v>2</v>
      </c>
      <c r="B337" s="398" t="s">
        <v>952</v>
      </c>
      <c r="C337" s="398">
        <v>55</v>
      </c>
      <c r="D337" s="399" t="s">
        <v>35</v>
      </c>
      <c r="E337" s="528">
        <v>5500</v>
      </c>
      <c r="F337" s="400">
        <f t="shared" ref="F337" si="9">E337*C337</f>
        <v>302500</v>
      </c>
      <c r="G337"/>
      <c r="H337"/>
    </row>
    <row r="338" spans="1:8" s="401" customFormat="1" ht="18.75" x14ac:dyDescent="0.25">
      <c r="A338" s="399"/>
      <c r="B338" s="398"/>
      <c r="C338" s="398"/>
      <c r="D338" s="399"/>
      <c r="E338" s="528"/>
      <c r="F338" s="400"/>
      <c r="G338"/>
      <c r="H338"/>
    </row>
    <row r="339" spans="1:8" s="401" customFormat="1" ht="18.75" x14ac:dyDescent="0.25">
      <c r="A339" s="399"/>
      <c r="B339" s="398"/>
      <c r="C339" s="409"/>
      <c r="D339" s="399"/>
      <c r="E339" s="528"/>
      <c r="F339" s="400"/>
      <c r="G339"/>
      <c r="H339"/>
    </row>
    <row r="340" spans="1:8" s="401" customFormat="1" ht="49.5" x14ac:dyDescent="0.25">
      <c r="A340" s="399"/>
      <c r="B340" s="415" t="s">
        <v>625</v>
      </c>
      <c r="C340" s="398"/>
      <c r="D340" s="399"/>
      <c r="E340" s="528"/>
      <c r="F340" s="491"/>
      <c r="G340"/>
      <c r="H340"/>
    </row>
    <row r="341" spans="1:8" s="401" customFormat="1" ht="18.75" x14ac:dyDescent="0.25">
      <c r="A341" s="399"/>
      <c r="B341" s="398" t="s">
        <v>645</v>
      </c>
      <c r="C341" s="398"/>
      <c r="D341" s="399"/>
      <c r="E341" s="528"/>
      <c r="F341" s="491"/>
      <c r="G341"/>
      <c r="H341"/>
    </row>
    <row r="342" spans="1:8" s="401" customFormat="1" ht="18.75" x14ac:dyDescent="0.25">
      <c r="A342" s="399" t="s">
        <v>8</v>
      </c>
      <c r="B342" s="398" t="s">
        <v>646</v>
      </c>
      <c r="C342" s="409">
        <f>C337</f>
        <v>55</v>
      </c>
      <c r="D342" s="399" t="s">
        <v>35</v>
      </c>
      <c r="E342" s="528">
        <v>3200</v>
      </c>
      <c r="F342" s="400">
        <f t="shared" ref="F342" si="10">E342*C342</f>
        <v>176000</v>
      </c>
      <c r="G342"/>
      <c r="H342"/>
    </row>
    <row r="343" spans="1:8" s="401" customFormat="1" ht="18.75" x14ac:dyDescent="0.25">
      <c r="A343" s="399" t="s">
        <v>9</v>
      </c>
      <c r="B343" s="398" t="s">
        <v>627</v>
      </c>
      <c r="C343" s="409"/>
      <c r="D343" s="399" t="s">
        <v>22</v>
      </c>
      <c r="E343" s="528">
        <f>E342*0.3</f>
        <v>960</v>
      </c>
      <c r="F343" s="400">
        <f>E343*C343</f>
        <v>0</v>
      </c>
      <c r="G343"/>
      <c r="H343"/>
    </row>
    <row r="344" spans="1:8" s="401" customFormat="1" ht="18.75" x14ac:dyDescent="0.25">
      <c r="A344" s="399"/>
      <c r="B344" s="398"/>
      <c r="C344" s="398"/>
      <c r="D344" s="399"/>
      <c r="E344" s="528"/>
      <c r="F344" s="400"/>
      <c r="G344"/>
      <c r="H344"/>
    </row>
    <row r="345" spans="1:8" s="401" customFormat="1" ht="18.75" x14ac:dyDescent="0.25">
      <c r="A345" s="399"/>
      <c r="B345" s="398"/>
      <c r="C345" s="398"/>
      <c r="D345" s="399"/>
      <c r="E345" s="528"/>
      <c r="F345" s="400"/>
      <c r="G345"/>
      <c r="H345"/>
    </row>
    <row r="346" spans="1:8" s="401" customFormat="1" ht="18.75" x14ac:dyDescent="0.25">
      <c r="A346" s="399"/>
      <c r="B346" s="398"/>
      <c r="C346" s="398"/>
      <c r="D346" s="399"/>
      <c r="E346" s="528"/>
      <c r="F346" s="400"/>
      <c r="G346"/>
      <c r="H346"/>
    </row>
    <row r="347" spans="1:8" s="401" customFormat="1" ht="18.75" x14ac:dyDescent="0.25">
      <c r="A347" s="399"/>
      <c r="B347" s="398"/>
      <c r="C347" s="398"/>
      <c r="D347" s="399"/>
      <c r="E347" s="528"/>
      <c r="F347" s="400"/>
      <c r="G347"/>
      <c r="H347"/>
    </row>
    <row r="348" spans="1:8" s="401" customFormat="1" ht="18.75" x14ac:dyDescent="0.25">
      <c r="A348" s="399"/>
      <c r="B348" s="398"/>
      <c r="C348" s="398"/>
      <c r="D348" s="399"/>
      <c r="E348" s="528"/>
      <c r="F348" s="400"/>
      <c r="G348"/>
      <c r="H348"/>
    </row>
    <row r="349" spans="1:8" s="401" customFormat="1" ht="18.75" x14ac:dyDescent="0.25">
      <c r="A349" s="399"/>
      <c r="B349" s="403" t="s">
        <v>265</v>
      </c>
      <c r="C349" s="398"/>
      <c r="D349" s="399"/>
      <c r="E349" s="528"/>
      <c r="F349" s="400"/>
      <c r="G349"/>
      <c r="H349"/>
    </row>
    <row r="350" spans="1:8" s="401" customFormat="1" ht="18.75" x14ac:dyDescent="0.25">
      <c r="A350" s="399"/>
      <c r="B350" s="411" t="s">
        <v>534</v>
      </c>
      <c r="C350" s="411"/>
      <c r="D350" s="402"/>
      <c r="E350" s="537" t="s">
        <v>15</v>
      </c>
      <c r="F350" s="296">
        <f>SUM(F335:F349)</f>
        <v>478500</v>
      </c>
      <c r="G350"/>
      <c r="H350"/>
    </row>
    <row r="351" spans="1:8" s="401" customFormat="1" ht="18.75" x14ac:dyDescent="0.25">
      <c r="A351" s="399"/>
      <c r="B351" s="403" t="s">
        <v>605</v>
      </c>
      <c r="C351" s="398"/>
      <c r="D351" s="399"/>
      <c r="E351" s="528"/>
      <c r="F351" s="400"/>
      <c r="G351"/>
      <c r="H351"/>
    </row>
    <row r="352" spans="1:8" s="401" customFormat="1" ht="18.75" x14ac:dyDescent="0.25">
      <c r="A352" s="399"/>
      <c r="B352" s="398"/>
      <c r="C352" s="398"/>
      <c r="D352" s="399"/>
      <c r="E352" s="528"/>
      <c r="F352" s="400"/>
      <c r="G352"/>
      <c r="H352"/>
    </row>
    <row r="353" spans="1:8" s="401" customFormat="1" ht="18.75" x14ac:dyDescent="0.25">
      <c r="A353" s="399"/>
      <c r="B353" s="403" t="s">
        <v>281</v>
      </c>
      <c r="C353" s="398"/>
      <c r="D353" s="399"/>
      <c r="E353" s="528"/>
      <c r="F353" s="400"/>
      <c r="G353"/>
      <c r="H353"/>
    </row>
    <row r="354" spans="1:8" s="401" customFormat="1" ht="18.75" x14ac:dyDescent="0.25">
      <c r="A354" s="399"/>
      <c r="B354" s="403"/>
      <c r="C354" s="398"/>
      <c r="D354" s="399"/>
      <c r="E354" s="528"/>
      <c r="F354" s="400"/>
      <c r="G354"/>
      <c r="H354"/>
    </row>
    <row r="355" spans="1:8" s="401" customFormat="1" ht="18.75" x14ac:dyDescent="0.25">
      <c r="A355" s="399"/>
      <c r="B355" s="403" t="s">
        <v>282</v>
      </c>
      <c r="C355" s="398"/>
      <c r="D355" s="399"/>
      <c r="E355" s="528"/>
      <c r="F355" s="400"/>
      <c r="G355"/>
      <c r="H355"/>
    </row>
    <row r="356" spans="1:8" s="401" customFormat="1" ht="18.75" x14ac:dyDescent="0.25">
      <c r="A356" s="399"/>
      <c r="B356" s="403"/>
      <c r="C356" s="398"/>
      <c r="D356" s="399"/>
      <c r="E356" s="528"/>
      <c r="F356" s="400"/>
      <c r="G356"/>
      <c r="H356"/>
    </row>
    <row r="357" spans="1:8" s="401" customFormat="1" ht="18.75" x14ac:dyDescent="0.25">
      <c r="A357" s="399"/>
      <c r="B357" s="411" t="s">
        <v>954</v>
      </c>
      <c r="C357" s="407"/>
      <c r="D357" s="399"/>
      <c r="E357" s="528"/>
      <c r="F357" s="486"/>
      <c r="G357"/>
      <c r="H357"/>
    </row>
    <row r="358" spans="1:8" s="401" customFormat="1" ht="18.75" x14ac:dyDescent="0.25">
      <c r="A358" s="399"/>
      <c r="B358" s="398" t="s">
        <v>1122</v>
      </c>
      <c r="C358" s="398"/>
      <c r="D358" s="399"/>
      <c r="E358" s="528"/>
      <c r="F358" s="486"/>
      <c r="G358"/>
      <c r="H358"/>
    </row>
    <row r="359" spans="1:8" s="401" customFormat="1" ht="18.75" x14ac:dyDescent="0.25">
      <c r="A359" s="399" t="s">
        <v>2</v>
      </c>
      <c r="B359" s="398" t="s">
        <v>956</v>
      </c>
      <c r="C359" s="407">
        <v>55</v>
      </c>
      <c r="D359" s="399" t="s">
        <v>35</v>
      </c>
      <c r="E359" s="528">
        <v>9000</v>
      </c>
      <c r="F359" s="400">
        <f>C359*E359</f>
        <v>495000</v>
      </c>
      <c r="G359"/>
      <c r="H359"/>
    </row>
    <row r="360" spans="1:8" s="401" customFormat="1" ht="18.75" x14ac:dyDescent="0.25">
      <c r="A360" s="399"/>
      <c r="B360" s="398"/>
      <c r="C360" s="407"/>
      <c r="D360" s="399"/>
      <c r="E360" s="528"/>
      <c r="F360" s="400"/>
      <c r="G360"/>
      <c r="H360"/>
    </row>
    <row r="361" spans="1:8" s="401" customFormat="1" ht="36" x14ac:dyDescent="0.25">
      <c r="A361" s="399"/>
      <c r="B361" s="425" t="s">
        <v>653</v>
      </c>
      <c r="C361" s="398"/>
      <c r="D361" s="399"/>
      <c r="E361" s="528"/>
      <c r="F361" s="486"/>
      <c r="G361"/>
      <c r="H361"/>
    </row>
    <row r="362" spans="1:8" s="401" customFormat="1" ht="18.75" x14ac:dyDescent="0.25">
      <c r="A362" s="399"/>
      <c r="B362" s="492" t="s">
        <v>654</v>
      </c>
      <c r="C362" s="398"/>
      <c r="D362" s="399"/>
      <c r="E362" s="528"/>
      <c r="F362" s="400"/>
      <c r="G362"/>
      <c r="H362"/>
    </row>
    <row r="363" spans="1:8" s="401" customFormat="1" ht="18.75" x14ac:dyDescent="0.25">
      <c r="A363" s="399" t="s">
        <v>4</v>
      </c>
      <c r="B363" s="398" t="s">
        <v>287</v>
      </c>
      <c r="C363" s="493">
        <f>C359*3.6</f>
        <v>198</v>
      </c>
      <c r="D363" s="399" t="s">
        <v>22</v>
      </c>
      <c r="E363" s="528">
        <v>400</v>
      </c>
      <c r="F363" s="400">
        <f>E363*C363</f>
        <v>79200</v>
      </c>
      <c r="G363"/>
      <c r="H363"/>
    </row>
    <row r="364" spans="1:8" s="401" customFormat="1" ht="18.75" x14ac:dyDescent="0.25">
      <c r="A364" s="399"/>
      <c r="B364" s="411" t="s">
        <v>152</v>
      </c>
      <c r="C364" s="407"/>
      <c r="D364" s="399"/>
      <c r="E364" s="528"/>
      <c r="F364" s="486"/>
      <c r="G364"/>
      <c r="H364"/>
    </row>
    <row r="365" spans="1:8" s="401" customFormat="1" ht="33" x14ac:dyDescent="0.25">
      <c r="A365" s="399"/>
      <c r="B365" s="415" t="s">
        <v>655</v>
      </c>
      <c r="C365" s="407"/>
      <c r="D365" s="399"/>
      <c r="E365" s="528"/>
      <c r="F365" s="486"/>
      <c r="G365"/>
      <c r="H365"/>
    </row>
    <row r="366" spans="1:8" s="401" customFormat="1" ht="18.75" x14ac:dyDescent="0.25">
      <c r="A366" s="399" t="s">
        <v>5</v>
      </c>
      <c r="B366" s="398" t="s">
        <v>957</v>
      </c>
      <c r="C366" s="407"/>
      <c r="D366" s="399" t="s">
        <v>35</v>
      </c>
      <c r="E366" s="528">
        <v>2200</v>
      </c>
      <c r="F366" s="400">
        <f>C366*E366</f>
        <v>0</v>
      </c>
      <c r="G366"/>
      <c r="H366"/>
    </row>
    <row r="367" spans="1:8" s="401" customFormat="1" ht="18.75" x14ac:dyDescent="0.25">
      <c r="A367" s="399"/>
      <c r="B367" s="398"/>
      <c r="C367" s="398"/>
      <c r="D367" s="399"/>
      <c r="E367" s="528"/>
      <c r="F367" s="486"/>
      <c r="G367"/>
      <c r="H367"/>
    </row>
    <row r="368" spans="1:8" s="401" customFormat="1" ht="18.75" x14ac:dyDescent="0.25">
      <c r="A368" s="399"/>
      <c r="B368" s="398"/>
      <c r="C368" s="398"/>
      <c r="D368" s="399"/>
      <c r="E368" s="528"/>
      <c r="F368" s="486"/>
      <c r="G368"/>
      <c r="H368"/>
    </row>
    <row r="369" spans="1:8" s="401" customFormat="1" ht="18.75" x14ac:dyDescent="0.25">
      <c r="A369" s="399"/>
      <c r="B369" s="398"/>
      <c r="C369" s="398"/>
      <c r="D369" s="399"/>
      <c r="E369" s="528"/>
      <c r="F369" s="486"/>
      <c r="G369"/>
      <c r="H369"/>
    </row>
    <row r="370" spans="1:8" s="401" customFormat="1" ht="18.75" x14ac:dyDescent="0.25">
      <c r="A370" s="399"/>
      <c r="B370" s="398"/>
      <c r="C370" s="398"/>
      <c r="D370" s="399"/>
      <c r="E370" s="528"/>
      <c r="F370" s="486"/>
      <c r="G370"/>
      <c r="H370"/>
    </row>
    <row r="371" spans="1:8" s="401" customFormat="1" ht="18.75" x14ac:dyDescent="0.25">
      <c r="A371" s="399"/>
      <c r="B371" s="398"/>
      <c r="C371" s="398"/>
      <c r="D371" s="399"/>
      <c r="E371" s="528"/>
      <c r="F371" s="486"/>
      <c r="G371"/>
      <c r="H371"/>
    </row>
    <row r="372" spans="1:8" s="401" customFormat="1" ht="18.75" x14ac:dyDescent="0.25">
      <c r="A372" s="399"/>
      <c r="B372" s="398"/>
      <c r="C372" s="398"/>
      <c r="D372" s="399"/>
      <c r="E372" s="528"/>
      <c r="F372" s="486"/>
      <c r="G372"/>
      <c r="H372"/>
    </row>
    <row r="373" spans="1:8" s="401" customFormat="1" ht="18.75" x14ac:dyDescent="0.25">
      <c r="A373" s="399"/>
      <c r="B373" s="398"/>
      <c r="C373" s="398"/>
      <c r="D373" s="399"/>
      <c r="E373" s="528"/>
      <c r="F373" s="486"/>
      <c r="G373"/>
      <c r="H373"/>
    </row>
    <row r="374" spans="1:8" s="401" customFormat="1" ht="18.75" x14ac:dyDescent="0.25">
      <c r="A374" s="399"/>
      <c r="B374" s="398"/>
      <c r="C374" s="398"/>
      <c r="D374" s="399"/>
      <c r="E374" s="528"/>
      <c r="F374" s="486"/>
      <c r="G374"/>
      <c r="H374"/>
    </row>
    <row r="375" spans="1:8" s="401" customFormat="1" ht="16.5" x14ac:dyDescent="0.25">
      <c r="A375" s="399"/>
      <c r="B375" s="410"/>
      <c r="C375" s="398"/>
      <c r="D375" s="399"/>
      <c r="E375" s="528"/>
      <c r="F375" s="494"/>
      <c r="G375"/>
      <c r="H375"/>
    </row>
    <row r="376" spans="1:8" s="401" customFormat="1" ht="16.5" x14ac:dyDescent="0.25">
      <c r="A376" s="399"/>
      <c r="B376" s="398"/>
      <c r="C376" s="398"/>
      <c r="D376" s="399"/>
      <c r="E376" s="528"/>
      <c r="F376" s="494"/>
      <c r="G376"/>
      <c r="H376"/>
    </row>
    <row r="377" spans="1:8" s="401" customFormat="1" ht="18.75" x14ac:dyDescent="0.25">
      <c r="A377" s="399"/>
      <c r="B377" s="406"/>
      <c r="C377" s="398"/>
      <c r="D377" s="399"/>
      <c r="E377" s="528"/>
      <c r="F377" s="486"/>
      <c r="G377"/>
      <c r="H377"/>
    </row>
    <row r="378" spans="1:8" s="401" customFormat="1" ht="18.75" x14ac:dyDescent="0.25">
      <c r="A378" s="399"/>
      <c r="B378" s="406"/>
      <c r="C378" s="398"/>
      <c r="D378" s="399"/>
      <c r="E378" s="528"/>
      <c r="F378" s="486"/>
      <c r="G378"/>
      <c r="H378"/>
    </row>
    <row r="379" spans="1:8" s="401" customFormat="1" ht="18.75" x14ac:dyDescent="0.25">
      <c r="A379" s="399"/>
      <c r="B379" s="406"/>
      <c r="C379" s="398"/>
      <c r="D379" s="399"/>
      <c r="E379" s="528"/>
      <c r="F379" s="486"/>
      <c r="G379"/>
      <c r="H379"/>
    </row>
    <row r="380" spans="1:8" s="401" customFormat="1" ht="18.75" x14ac:dyDescent="0.25">
      <c r="A380" s="399"/>
      <c r="B380" s="406"/>
      <c r="C380" s="398"/>
      <c r="D380" s="399"/>
      <c r="E380" s="528"/>
      <c r="F380" s="486"/>
      <c r="G380"/>
      <c r="H380"/>
    </row>
    <row r="381" spans="1:8" s="401" customFormat="1" ht="18.75" x14ac:dyDescent="0.25">
      <c r="A381" s="399"/>
      <c r="B381" s="406"/>
      <c r="C381" s="398"/>
      <c r="D381" s="399"/>
      <c r="E381" s="528"/>
      <c r="F381" s="486"/>
      <c r="G381"/>
      <c r="H381"/>
    </row>
    <row r="382" spans="1:8" s="401" customFormat="1" ht="18.75" x14ac:dyDescent="0.25">
      <c r="A382" s="399"/>
      <c r="B382" s="406"/>
      <c r="C382" s="398"/>
      <c r="D382" s="399"/>
      <c r="E382" s="528"/>
      <c r="F382" s="486"/>
      <c r="G382"/>
      <c r="H382"/>
    </row>
    <row r="383" spans="1:8" s="401" customFormat="1" ht="18.75" x14ac:dyDescent="0.25">
      <c r="A383" s="399"/>
      <c r="B383" s="403" t="s">
        <v>281</v>
      </c>
      <c r="C383" s="411"/>
      <c r="D383" s="402"/>
      <c r="E383" s="537"/>
      <c r="F383" s="429"/>
      <c r="G383"/>
      <c r="H383"/>
    </row>
    <row r="384" spans="1:8" s="401" customFormat="1" ht="18.75" x14ac:dyDescent="0.25">
      <c r="A384" s="399"/>
      <c r="B384" s="411" t="s">
        <v>534</v>
      </c>
      <c r="C384" s="411"/>
      <c r="D384" s="402"/>
      <c r="E384" s="537" t="s">
        <v>15</v>
      </c>
      <c r="F384" s="296">
        <f>SUM(F357:F383)</f>
        <v>574200</v>
      </c>
      <c r="G384"/>
      <c r="H384"/>
    </row>
    <row r="385" spans="1:8" s="401" customFormat="1" ht="18.75" x14ac:dyDescent="0.25">
      <c r="A385" s="399"/>
      <c r="B385" s="398"/>
      <c r="C385" s="398"/>
      <c r="D385" s="399"/>
      <c r="E385" s="528"/>
      <c r="F385" s="400"/>
      <c r="G385"/>
      <c r="H385"/>
    </row>
    <row r="386" spans="1:8" s="401" customFormat="1" ht="18.75" x14ac:dyDescent="0.25">
      <c r="A386" s="399"/>
      <c r="B386" s="403" t="s">
        <v>608</v>
      </c>
      <c r="C386" s="411"/>
      <c r="D386" s="402"/>
      <c r="E386" s="537"/>
      <c r="F386" s="296"/>
      <c r="G386"/>
      <c r="H386"/>
    </row>
    <row r="387" spans="1:8" s="401" customFormat="1" ht="18.75" x14ac:dyDescent="0.25">
      <c r="A387" s="399"/>
      <c r="B387" s="403" t="s">
        <v>657</v>
      </c>
      <c r="C387" s="411"/>
      <c r="D387" s="402"/>
      <c r="E387" s="537"/>
      <c r="F387" s="296"/>
      <c r="G387"/>
      <c r="H387"/>
    </row>
    <row r="388" spans="1:8" s="401" customFormat="1" ht="16.5" x14ac:dyDescent="0.3">
      <c r="A388" s="495"/>
      <c r="B388" s="496" t="s">
        <v>940</v>
      </c>
      <c r="C388" s="398"/>
      <c r="D388" s="495"/>
      <c r="E388" s="556"/>
      <c r="F388" s="496"/>
      <c r="G388"/>
      <c r="H388"/>
    </row>
    <row r="389" spans="1:8" s="401" customFormat="1" ht="16.5" x14ac:dyDescent="0.3">
      <c r="A389" s="495"/>
      <c r="B389" s="496"/>
      <c r="C389" s="398"/>
      <c r="D389" s="495"/>
      <c r="E389" s="556"/>
      <c r="F389" s="496"/>
      <c r="G389"/>
      <c r="H389"/>
    </row>
    <row r="390" spans="1:8" s="401" customFormat="1" ht="33" x14ac:dyDescent="0.3">
      <c r="A390" s="495" t="s">
        <v>2</v>
      </c>
      <c r="B390" s="423" t="s">
        <v>982</v>
      </c>
      <c r="C390" s="398"/>
      <c r="D390" s="495" t="s">
        <v>401</v>
      </c>
      <c r="E390" s="556"/>
      <c r="F390" s="400">
        <v>2700000</v>
      </c>
      <c r="G390"/>
      <c r="H390"/>
    </row>
    <row r="391" spans="1:8" s="401" customFormat="1" ht="16.5" x14ac:dyDescent="0.3">
      <c r="A391" s="495"/>
      <c r="B391" s="496"/>
      <c r="C391" s="398"/>
      <c r="D391" s="495"/>
      <c r="E391" s="556"/>
      <c r="F391" s="496"/>
      <c r="G391"/>
      <c r="H391"/>
    </row>
    <row r="392" spans="1:8" s="401" customFormat="1" ht="16.5" x14ac:dyDescent="0.3">
      <c r="A392" s="495"/>
      <c r="B392" s="496"/>
      <c r="C392" s="398"/>
      <c r="D392" s="495"/>
      <c r="E392" s="556"/>
      <c r="F392" s="496"/>
      <c r="G392"/>
      <c r="H392"/>
    </row>
    <row r="393" spans="1:8" s="401" customFormat="1" ht="16.5" x14ac:dyDescent="0.3">
      <c r="A393" s="495"/>
      <c r="B393" s="496"/>
      <c r="C393" s="398"/>
      <c r="D393" s="495"/>
      <c r="E393" s="556"/>
      <c r="F393" s="496"/>
      <c r="G393"/>
      <c r="H393"/>
    </row>
    <row r="394" spans="1:8" s="401" customFormat="1" ht="16.5" x14ac:dyDescent="0.3">
      <c r="A394" s="495"/>
      <c r="B394" s="496"/>
      <c r="C394" s="398"/>
      <c r="D394" s="495"/>
      <c r="E394" s="556"/>
      <c r="F394" s="496"/>
      <c r="G394"/>
      <c r="H394"/>
    </row>
    <row r="395" spans="1:8" s="401" customFormat="1" ht="16.5" x14ac:dyDescent="0.3">
      <c r="A395" s="495"/>
      <c r="B395" s="496"/>
      <c r="C395" s="398"/>
      <c r="D395" s="495"/>
      <c r="E395" s="556"/>
      <c r="F395" s="496"/>
      <c r="G395"/>
      <c r="H395"/>
    </row>
    <row r="396" spans="1:8" s="401" customFormat="1" ht="18.75" x14ac:dyDescent="0.3">
      <c r="A396" s="495"/>
      <c r="B396" s="496"/>
      <c r="C396" s="398"/>
      <c r="D396" s="495"/>
      <c r="E396" s="556"/>
      <c r="F396" s="400"/>
      <c r="G396"/>
      <c r="H396"/>
    </row>
    <row r="397" spans="1:8" s="401" customFormat="1" ht="18.75" x14ac:dyDescent="0.3">
      <c r="A397" s="495"/>
      <c r="B397" s="496"/>
      <c r="C397" s="398"/>
      <c r="D397" s="495"/>
      <c r="E397" s="556"/>
      <c r="F397" s="400"/>
      <c r="G397"/>
      <c r="H397"/>
    </row>
    <row r="398" spans="1:8" s="401" customFormat="1" ht="18.75" x14ac:dyDescent="0.3">
      <c r="A398" s="495"/>
      <c r="B398" s="496"/>
      <c r="C398" s="398"/>
      <c r="D398" s="495"/>
      <c r="E398" s="556"/>
      <c r="F398" s="400"/>
      <c r="G398"/>
      <c r="H398"/>
    </row>
    <row r="399" spans="1:8" s="401" customFormat="1" ht="18.75" x14ac:dyDescent="0.3">
      <c r="A399" s="495"/>
      <c r="B399" s="496"/>
      <c r="C399" s="398"/>
      <c r="D399" s="495"/>
      <c r="E399" s="556"/>
      <c r="F399" s="400"/>
      <c r="G399"/>
      <c r="H399"/>
    </row>
    <row r="400" spans="1:8" s="401" customFormat="1" ht="18.75" x14ac:dyDescent="0.3">
      <c r="A400" s="495"/>
      <c r="B400" s="496"/>
      <c r="C400" s="398"/>
      <c r="D400" s="495"/>
      <c r="E400" s="556"/>
      <c r="F400" s="400"/>
      <c r="G400"/>
      <c r="H400"/>
    </row>
    <row r="401" spans="1:8" s="401" customFormat="1" ht="18.75" x14ac:dyDescent="0.3">
      <c r="A401" s="495"/>
      <c r="B401" s="496"/>
      <c r="C401" s="398"/>
      <c r="D401" s="495"/>
      <c r="E401" s="556"/>
      <c r="F401" s="400"/>
      <c r="G401"/>
      <c r="H401"/>
    </row>
    <row r="402" spans="1:8" s="401" customFormat="1" ht="18.75" x14ac:dyDescent="0.3">
      <c r="A402" s="495"/>
      <c r="B402" s="496"/>
      <c r="C402" s="398"/>
      <c r="D402" s="495"/>
      <c r="E402" s="556"/>
      <c r="F402" s="400"/>
      <c r="G402"/>
      <c r="H402"/>
    </row>
    <row r="403" spans="1:8" s="401" customFormat="1" ht="18.75" x14ac:dyDescent="0.3">
      <c r="A403" s="495"/>
      <c r="B403" s="496"/>
      <c r="C403" s="484"/>
      <c r="D403" s="495"/>
      <c r="E403" s="556"/>
      <c r="F403" s="400"/>
      <c r="G403"/>
      <c r="H403"/>
    </row>
    <row r="404" spans="1:8" s="401" customFormat="1" ht="18.75" x14ac:dyDescent="0.3">
      <c r="A404" s="495"/>
      <c r="B404" s="496"/>
      <c r="C404" s="497"/>
      <c r="D404" s="495"/>
      <c r="E404" s="556"/>
      <c r="F404" s="400"/>
      <c r="G404"/>
      <c r="H404"/>
    </row>
    <row r="405" spans="1:8" s="401" customFormat="1" ht="18.75" x14ac:dyDescent="0.3">
      <c r="A405" s="495"/>
      <c r="B405" s="496"/>
      <c r="C405" s="497"/>
      <c r="D405" s="495"/>
      <c r="E405" s="556"/>
      <c r="F405" s="400"/>
      <c r="G405"/>
      <c r="H405"/>
    </row>
    <row r="406" spans="1:8" s="401" customFormat="1" ht="18.75" x14ac:dyDescent="0.3">
      <c r="A406" s="495"/>
      <c r="B406" s="403" t="s">
        <v>657</v>
      </c>
      <c r="C406" s="484"/>
      <c r="D406" s="495"/>
      <c r="E406" s="556"/>
      <c r="F406" s="400"/>
      <c r="G406"/>
      <c r="H406"/>
    </row>
    <row r="407" spans="1:8" s="401" customFormat="1" ht="18" x14ac:dyDescent="0.35">
      <c r="A407" s="495"/>
      <c r="B407" s="411" t="s">
        <v>520</v>
      </c>
      <c r="C407" s="398"/>
      <c r="D407" s="495"/>
      <c r="E407" s="557" t="s">
        <v>15</v>
      </c>
      <c r="F407" s="498">
        <f>F390</f>
        <v>2700000</v>
      </c>
      <c r="G407"/>
      <c r="H407"/>
    </row>
    <row r="408" spans="1:8" s="401" customFormat="1" ht="18.75" x14ac:dyDescent="0.25">
      <c r="A408" s="399"/>
      <c r="B408" s="403" t="s">
        <v>609</v>
      </c>
      <c r="C408" s="398"/>
      <c r="D408" s="399"/>
      <c r="E408" s="528"/>
      <c r="F408" s="400"/>
      <c r="G408"/>
      <c r="H408"/>
    </row>
    <row r="409" spans="1:8" s="401" customFormat="1" ht="18.75" x14ac:dyDescent="0.25">
      <c r="A409" s="399"/>
      <c r="B409" s="398"/>
      <c r="C409" s="398"/>
      <c r="D409" s="399"/>
      <c r="E409" s="528"/>
      <c r="F409" s="400"/>
      <c r="G409"/>
      <c r="H409"/>
    </row>
    <row r="410" spans="1:8" s="401" customFormat="1" ht="18.75" x14ac:dyDescent="0.25">
      <c r="A410" s="399"/>
      <c r="B410" s="499" t="s">
        <v>659</v>
      </c>
      <c r="C410" s="398"/>
      <c r="D410" s="399"/>
      <c r="E410" s="528"/>
      <c r="F410" s="400"/>
      <c r="G410"/>
      <c r="H410"/>
    </row>
    <row r="411" spans="1:8" s="401" customFormat="1" ht="18.75" x14ac:dyDescent="0.25">
      <c r="A411" s="399"/>
      <c r="B411" s="398"/>
      <c r="C411" s="398"/>
      <c r="D411" s="399"/>
      <c r="E411" s="528"/>
      <c r="F411" s="400"/>
      <c r="G411"/>
      <c r="H411"/>
    </row>
    <row r="412" spans="1:8" s="401" customFormat="1" ht="33" x14ac:dyDescent="0.3">
      <c r="A412" s="399" t="s">
        <v>2</v>
      </c>
      <c r="B412" s="423" t="s">
        <v>958</v>
      </c>
      <c r="C412" s="398"/>
      <c r="D412" s="495" t="s">
        <v>401</v>
      </c>
      <c r="E412" s="528"/>
      <c r="F412" s="400">
        <v>450000</v>
      </c>
      <c r="G412"/>
      <c r="H412"/>
    </row>
    <row r="413" spans="1:8" s="401" customFormat="1" ht="18.75" x14ac:dyDescent="0.25">
      <c r="A413" s="399"/>
      <c r="B413" s="398"/>
      <c r="C413" s="398"/>
      <c r="D413" s="399"/>
      <c r="E413" s="528"/>
      <c r="F413" s="400"/>
      <c r="G413"/>
      <c r="H413"/>
    </row>
    <row r="414" spans="1:8" s="401" customFormat="1" ht="18.75" x14ac:dyDescent="0.25">
      <c r="A414" s="399"/>
      <c r="B414" s="398"/>
      <c r="C414" s="398"/>
      <c r="D414" s="399"/>
      <c r="E414" s="528"/>
      <c r="F414" s="400"/>
      <c r="G414"/>
      <c r="H414"/>
    </row>
    <row r="415" spans="1:8" s="401" customFormat="1" ht="18.75" x14ac:dyDescent="0.25">
      <c r="A415" s="399"/>
      <c r="B415" s="398"/>
      <c r="C415" s="398"/>
      <c r="D415" s="399"/>
      <c r="E415" s="528"/>
      <c r="F415" s="400"/>
      <c r="G415"/>
      <c r="H415"/>
    </row>
    <row r="416" spans="1:8" s="401" customFormat="1" ht="18.75" x14ac:dyDescent="0.25">
      <c r="A416" s="399"/>
      <c r="B416" s="398"/>
      <c r="C416" s="398"/>
      <c r="D416" s="399"/>
      <c r="E416" s="528"/>
      <c r="F416" s="400"/>
      <c r="G416"/>
      <c r="H416"/>
    </row>
    <row r="417" spans="1:8" s="401" customFormat="1" ht="18.75" x14ac:dyDescent="0.25">
      <c r="A417" s="399"/>
      <c r="B417" s="398"/>
      <c r="C417" s="398"/>
      <c r="D417" s="399"/>
      <c r="E417" s="528"/>
      <c r="F417" s="400"/>
      <c r="G417"/>
      <c r="H417"/>
    </row>
    <row r="418" spans="1:8" s="401" customFormat="1" ht="18.75" x14ac:dyDescent="0.25">
      <c r="A418" s="399"/>
      <c r="B418" s="398"/>
      <c r="C418" s="398"/>
      <c r="D418" s="399"/>
      <c r="E418" s="528"/>
      <c r="F418" s="400"/>
      <c r="G418"/>
      <c r="H418"/>
    </row>
    <row r="419" spans="1:8" s="401" customFormat="1" ht="18.75" x14ac:dyDescent="0.25">
      <c r="A419" s="399"/>
      <c r="B419" s="398"/>
      <c r="C419" s="398"/>
      <c r="D419" s="399"/>
      <c r="E419" s="528"/>
      <c r="F419" s="400"/>
      <c r="G419"/>
      <c r="H419"/>
    </row>
    <row r="420" spans="1:8" s="401" customFormat="1" ht="18.75" x14ac:dyDescent="0.25">
      <c r="A420" s="399"/>
      <c r="B420" s="398"/>
      <c r="C420" s="398"/>
      <c r="D420" s="399"/>
      <c r="E420" s="528"/>
      <c r="F420" s="400"/>
      <c r="G420"/>
      <c r="H420"/>
    </row>
    <row r="421" spans="1:8" s="401" customFormat="1" ht="18.75" x14ac:dyDescent="0.25">
      <c r="A421" s="399"/>
      <c r="B421" s="398"/>
      <c r="C421" s="398"/>
      <c r="D421" s="399"/>
      <c r="E421" s="528"/>
      <c r="F421" s="400"/>
      <c r="G421"/>
      <c r="H421"/>
    </row>
    <row r="422" spans="1:8" s="401" customFormat="1" ht="18.75" x14ac:dyDescent="0.25">
      <c r="A422" s="399"/>
      <c r="B422" s="398"/>
      <c r="C422" s="398"/>
      <c r="D422" s="399"/>
      <c r="E422" s="528"/>
      <c r="F422" s="400"/>
      <c r="G422"/>
      <c r="H422"/>
    </row>
    <row r="423" spans="1:8" s="401" customFormat="1" ht="18.75" x14ac:dyDescent="0.25">
      <c r="A423" s="399"/>
      <c r="B423" s="398"/>
      <c r="C423" s="398"/>
      <c r="D423" s="399"/>
      <c r="E423" s="528"/>
      <c r="F423" s="400"/>
      <c r="G423"/>
      <c r="H423"/>
    </row>
    <row r="424" spans="1:8" s="401" customFormat="1" ht="18.75" x14ac:dyDescent="0.25">
      <c r="A424" s="399"/>
      <c r="B424" s="398"/>
      <c r="C424" s="398"/>
      <c r="D424" s="399"/>
      <c r="E424" s="528"/>
      <c r="F424" s="400"/>
      <c r="G424"/>
      <c r="H424"/>
    </row>
    <row r="425" spans="1:8" s="401" customFormat="1" ht="18.75" x14ac:dyDescent="0.25">
      <c r="A425" s="399"/>
      <c r="B425" s="398"/>
      <c r="C425" s="398"/>
      <c r="D425" s="399"/>
      <c r="E425" s="528"/>
      <c r="F425" s="400"/>
      <c r="G425"/>
      <c r="H425"/>
    </row>
    <row r="426" spans="1:8" s="401" customFormat="1" ht="18.75" x14ac:dyDescent="0.25">
      <c r="A426" s="399"/>
      <c r="B426" s="398"/>
      <c r="C426" s="398"/>
      <c r="D426" s="399"/>
      <c r="E426" s="528"/>
      <c r="F426" s="400"/>
      <c r="G426"/>
      <c r="H426"/>
    </row>
    <row r="427" spans="1:8" s="401" customFormat="1" ht="18.75" x14ac:dyDescent="0.25">
      <c r="A427" s="399"/>
      <c r="B427" s="398"/>
      <c r="C427" s="398"/>
      <c r="D427" s="399"/>
      <c r="E427" s="528"/>
      <c r="F427" s="400"/>
      <c r="G427"/>
      <c r="H427"/>
    </row>
    <row r="428" spans="1:8" s="401" customFormat="1" ht="18.75" x14ac:dyDescent="0.25">
      <c r="A428" s="399"/>
      <c r="B428" s="398"/>
      <c r="C428" s="398"/>
      <c r="D428" s="399"/>
      <c r="E428" s="528"/>
      <c r="F428" s="400"/>
      <c r="G428"/>
      <c r="H428"/>
    </row>
    <row r="429" spans="1:8" s="401" customFormat="1" ht="18.75" x14ac:dyDescent="0.25">
      <c r="A429" s="399"/>
      <c r="B429" s="398"/>
      <c r="C429" s="398"/>
      <c r="D429" s="399"/>
      <c r="E429" s="528"/>
      <c r="F429" s="400"/>
      <c r="G429"/>
      <c r="H429"/>
    </row>
    <row r="430" spans="1:8" s="401" customFormat="1" ht="18.75" x14ac:dyDescent="0.25">
      <c r="A430" s="399"/>
      <c r="B430" s="398"/>
      <c r="C430" s="398"/>
      <c r="D430" s="399"/>
      <c r="E430" s="528"/>
      <c r="F430" s="400"/>
      <c r="G430"/>
      <c r="H430"/>
    </row>
    <row r="431" spans="1:8" s="401" customFormat="1" ht="18.75" x14ac:dyDescent="0.25">
      <c r="A431" s="399"/>
      <c r="B431" s="398"/>
      <c r="C431" s="398"/>
      <c r="D431" s="399"/>
      <c r="E431" s="528"/>
      <c r="F431" s="400"/>
      <c r="G431"/>
      <c r="H431"/>
    </row>
    <row r="432" spans="1:8" s="401" customFormat="1" ht="18.75" x14ac:dyDescent="0.25">
      <c r="A432" s="399"/>
      <c r="B432" s="499" t="s">
        <v>659</v>
      </c>
      <c r="C432" s="398"/>
      <c r="D432" s="399"/>
      <c r="E432" s="528"/>
      <c r="F432" s="400"/>
      <c r="G432"/>
      <c r="H432"/>
    </row>
    <row r="433" spans="1:8" s="401" customFormat="1" ht="18" x14ac:dyDescent="0.35">
      <c r="A433" s="495"/>
      <c r="B433" s="411" t="s">
        <v>520</v>
      </c>
      <c r="C433" s="398"/>
      <c r="D433" s="495"/>
      <c r="E433" s="557" t="s">
        <v>15</v>
      </c>
      <c r="F433" s="558">
        <f>F412</f>
        <v>450000</v>
      </c>
      <c r="G433"/>
      <c r="H433"/>
    </row>
    <row r="434" spans="1:8" s="401" customFormat="1" ht="18.75" x14ac:dyDescent="0.25">
      <c r="A434" s="399"/>
      <c r="B434" s="411"/>
      <c r="C434" s="411"/>
      <c r="D434" s="402"/>
      <c r="E434" s="537"/>
      <c r="F434" s="420"/>
      <c r="G434"/>
      <c r="H434"/>
    </row>
    <row r="435" spans="1:8" s="401" customFormat="1" ht="18.75" x14ac:dyDescent="0.25">
      <c r="A435" s="399"/>
      <c r="B435" s="403"/>
      <c r="C435" s="398"/>
      <c r="D435" s="399"/>
      <c r="E435" s="528"/>
      <c r="F435" s="418"/>
      <c r="G435"/>
      <c r="H435"/>
    </row>
    <row r="436" spans="1:8" s="401" customFormat="1" ht="18.75" x14ac:dyDescent="0.25">
      <c r="A436" s="399"/>
      <c r="B436" s="404" t="s">
        <v>450</v>
      </c>
      <c r="C436" s="398"/>
      <c r="D436" s="399"/>
      <c r="E436" s="528"/>
      <c r="F436" s="400"/>
      <c r="G436"/>
      <c r="H436"/>
    </row>
    <row r="437" spans="1:8" s="401" customFormat="1" ht="18.75" x14ac:dyDescent="0.25">
      <c r="A437" s="399"/>
      <c r="B437" s="398"/>
      <c r="C437" s="398"/>
      <c r="D437" s="399"/>
      <c r="E437" s="528"/>
      <c r="F437" s="427"/>
      <c r="G437"/>
      <c r="H437"/>
    </row>
    <row r="438" spans="1:8" s="401" customFormat="1" ht="18.75" x14ac:dyDescent="0.25">
      <c r="A438" s="399"/>
      <c r="B438" s="415" t="s">
        <v>533</v>
      </c>
      <c r="C438" s="398"/>
      <c r="D438" s="399"/>
      <c r="E438" s="528">
        <f>F71</f>
        <v>3831500</v>
      </c>
      <c r="F438" s="428"/>
      <c r="G438"/>
      <c r="H438"/>
    </row>
    <row r="439" spans="1:8" s="401" customFormat="1" ht="18.75" x14ac:dyDescent="0.25">
      <c r="A439" s="399"/>
      <c r="B439" s="398"/>
      <c r="C439" s="398"/>
      <c r="D439" s="399"/>
      <c r="E439" s="528"/>
      <c r="F439" s="428"/>
      <c r="G439"/>
      <c r="H439"/>
    </row>
    <row r="440" spans="1:8" s="401" customFormat="1" ht="18.75" x14ac:dyDescent="0.25">
      <c r="A440" s="399"/>
      <c r="B440" s="398" t="s">
        <v>195</v>
      </c>
      <c r="C440" s="398"/>
      <c r="D440" s="399"/>
      <c r="E440" s="528">
        <f>F114</f>
        <v>3509600</v>
      </c>
      <c r="F440" s="428"/>
      <c r="G440"/>
      <c r="H440"/>
    </row>
    <row r="441" spans="1:8" s="401" customFormat="1" ht="18.75" x14ac:dyDescent="0.25">
      <c r="A441" s="399"/>
      <c r="B441" s="398"/>
      <c r="C441" s="398"/>
      <c r="D441" s="399"/>
      <c r="E441" s="528"/>
      <c r="F441" s="400"/>
      <c r="G441"/>
      <c r="H441"/>
    </row>
    <row r="442" spans="1:8" s="401" customFormat="1" ht="18.75" x14ac:dyDescent="0.25">
      <c r="A442" s="399"/>
      <c r="B442" s="398" t="s">
        <v>602</v>
      </c>
      <c r="C442" s="398"/>
      <c r="D442" s="399"/>
      <c r="E442" s="528">
        <f>F137</f>
        <v>689400</v>
      </c>
      <c r="F442" s="428"/>
      <c r="G442"/>
      <c r="H442"/>
    </row>
    <row r="443" spans="1:8" s="401" customFormat="1" ht="18.75" x14ac:dyDescent="0.25">
      <c r="A443" s="399"/>
      <c r="B443" s="398"/>
      <c r="C443" s="398"/>
      <c r="D443" s="399"/>
      <c r="E443" s="528"/>
      <c r="F443" s="400"/>
      <c r="G443"/>
      <c r="H443"/>
    </row>
    <row r="444" spans="1:8" s="401" customFormat="1" ht="18.75" x14ac:dyDescent="0.25">
      <c r="A444" s="399"/>
      <c r="B444" s="398" t="s">
        <v>607</v>
      </c>
      <c r="C444" s="398"/>
      <c r="D444" s="399"/>
      <c r="E444" s="528">
        <f>F165</f>
        <v>1120000</v>
      </c>
      <c r="F444" s="428"/>
      <c r="G444"/>
      <c r="H444"/>
    </row>
    <row r="445" spans="1:8" s="401" customFormat="1" ht="18.75" x14ac:dyDescent="0.25">
      <c r="A445" s="399"/>
      <c r="B445" s="398"/>
      <c r="C445" s="398"/>
      <c r="D445" s="399"/>
      <c r="E445" s="528"/>
      <c r="F445" s="400"/>
      <c r="G445"/>
      <c r="H445"/>
    </row>
    <row r="446" spans="1:8" s="401" customFormat="1" ht="18.75" x14ac:dyDescent="0.25">
      <c r="A446" s="399"/>
      <c r="B446" s="398" t="s">
        <v>163</v>
      </c>
      <c r="C446" s="398"/>
      <c r="D446" s="399"/>
      <c r="E446" s="528">
        <f>F283</f>
        <v>2173200</v>
      </c>
      <c r="F446" s="428"/>
      <c r="G446"/>
      <c r="H446"/>
    </row>
    <row r="447" spans="1:8" s="401" customFormat="1" ht="18.75" x14ac:dyDescent="0.25">
      <c r="A447" s="399"/>
      <c r="B447" s="398"/>
      <c r="C447" s="398"/>
      <c r="D447" s="399"/>
      <c r="E447" s="528"/>
      <c r="F447" s="400"/>
      <c r="G447"/>
      <c r="H447"/>
    </row>
    <row r="448" spans="1:8" s="401" customFormat="1" ht="18.75" x14ac:dyDescent="0.25">
      <c r="A448" s="399"/>
      <c r="B448" s="398" t="s">
        <v>236</v>
      </c>
      <c r="C448" s="398"/>
      <c r="D448" s="399"/>
      <c r="E448" s="528">
        <f>F328</f>
        <v>4813850</v>
      </c>
      <c r="F448" s="428"/>
      <c r="G448"/>
      <c r="H448"/>
    </row>
    <row r="449" spans="1:8" s="401" customFormat="1" ht="18.75" x14ac:dyDescent="0.25">
      <c r="A449" s="399"/>
      <c r="B449" s="398"/>
      <c r="C449" s="398"/>
      <c r="D449" s="399"/>
      <c r="E449" s="528"/>
      <c r="F449" s="400"/>
      <c r="G449"/>
      <c r="H449"/>
    </row>
    <row r="450" spans="1:8" s="401" customFormat="1" ht="18.75" x14ac:dyDescent="0.25">
      <c r="A450" s="399"/>
      <c r="B450" s="398" t="s">
        <v>265</v>
      </c>
      <c r="C450" s="398"/>
      <c r="D450" s="399"/>
      <c r="E450" s="528">
        <f>F350</f>
        <v>478500</v>
      </c>
      <c r="F450" s="428"/>
      <c r="G450"/>
      <c r="H450"/>
    </row>
    <row r="451" spans="1:8" s="401" customFormat="1" ht="18.75" x14ac:dyDescent="0.25">
      <c r="A451" s="399"/>
      <c r="B451" s="398"/>
      <c r="C451" s="398"/>
      <c r="D451" s="399"/>
      <c r="E451" s="528"/>
      <c r="F451" s="400"/>
      <c r="G451"/>
      <c r="H451"/>
    </row>
    <row r="452" spans="1:8" s="401" customFormat="1" ht="18.75" x14ac:dyDescent="0.25">
      <c r="A452" s="399"/>
      <c r="B452" s="398" t="s">
        <v>281</v>
      </c>
      <c r="C452" s="398"/>
      <c r="D452" s="399"/>
      <c r="E452" s="528">
        <f>F384</f>
        <v>574200</v>
      </c>
      <c r="F452" s="428"/>
      <c r="G452"/>
      <c r="H452"/>
    </row>
    <row r="453" spans="1:8" s="401" customFormat="1" ht="18.75" x14ac:dyDescent="0.25">
      <c r="A453" s="399"/>
      <c r="B453" s="398"/>
      <c r="C453" s="398"/>
      <c r="D453" s="399"/>
      <c r="E453" s="528"/>
      <c r="F453" s="400"/>
      <c r="G453"/>
      <c r="H453"/>
    </row>
    <row r="454" spans="1:8" s="401" customFormat="1" ht="18.75" x14ac:dyDescent="0.25">
      <c r="A454" s="399"/>
      <c r="B454" s="398" t="s">
        <v>658</v>
      </c>
      <c r="C454" s="398"/>
      <c r="D454" s="399"/>
      <c r="E454" s="528">
        <f>F407</f>
        <v>2700000</v>
      </c>
      <c r="F454" s="428"/>
      <c r="G454"/>
      <c r="H454"/>
    </row>
    <row r="455" spans="1:8" s="401" customFormat="1" ht="18.75" x14ac:dyDescent="0.25">
      <c r="A455" s="399"/>
      <c r="B455" s="398"/>
      <c r="C455" s="398"/>
      <c r="D455" s="399"/>
      <c r="E455" s="528"/>
      <c r="F455" s="400"/>
      <c r="G455"/>
      <c r="H455"/>
    </row>
    <row r="456" spans="1:8" s="401" customFormat="1" ht="18.75" x14ac:dyDescent="0.25">
      <c r="A456" s="399"/>
      <c r="B456" s="398" t="s">
        <v>659</v>
      </c>
      <c r="C456" s="398"/>
      <c r="D456" s="399"/>
      <c r="E456" s="528">
        <f>F433</f>
        <v>450000</v>
      </c>
      <c r="F456" s="428"/>
      <c r="G456"/>
      <c r="H456"/>
    </row>
    <row r="457" spans="1:8" s="401" customFormat="1" ht="18.75" x14ac:dyDescent="0.25">
      <c r="A457" s="399"/>
      <c r="B457" s="398"/>
      <c r="C457" s="398"/>
      <c r="D457" s="399"/>
      <c r="E457" s="528"/>
      <c r="F457" s="400"/>
      <c r="G457"/>
      <c r="H457"/>
    </row>
    <row r="458" spans="1:8" s="401" customFormat="1" ht="18.75" x14ac:dyDescent="0.25">
      <c r="A458" s="399"/>
      <c r="B458" s="398"/>
      <c r="C458" s="398"/>
      <c r="D458" s="399"/>
      <c r="E458" s="528"/>
      <c r="F458" s="400"/>
      <c r="G458"/>
      <c r="H458"/>
    </row>
    <row r="459" spans="1:8" s="401" customFormat="1" ht="18.75" x14ac:dyDescent="0.25">
      <c r="A459" s="399"/>
      <c r="B459" s="398"/>
      <c r="C459" s="398"/>
      <c r="D459" s="399"/>
      <c r="E459" s="528"/>
      <c r="F459" s="400"/>
      <c r="G459"/>
      <c r="H459"/>
    </row>
    <row r="460" spans="1:8" s="401" customFormat="1" ht="18.75" x14ac:dyDescent="0.25">
      <c r="A460" s="399"/>
      <c r="B460" s="398"/>
      <c r="C460" s="398"/>
      <c r="D460" s="399"/>
      <c r="E460" s="528"/>
      <c r="F460" s="400"/>
      <c r="G460"/>
      <c r="H460"/>
    </row>
    <row r="461" spans="1:8" s="401" customFormat="1" ht="18.75" x14ac:dyDescent="0.25">
      <c r="A461" s="399"/>
      <c r="B461" s="398"/>
      <c r="C461" s="398"/>
      <c r="D461" s="399"/>
      <c r="E461" s="528"/>
      <c r="F461" s="400"/>
      <c r="G461"/>
      <c r="H461"/>
    </row>
    <row r="462" spans="1:8" s="401" customFormat="1" ht="18.75" x14ac:dyDescent="0.25">
      <c r="A462" s="399"/>
      <c r="B462" s="398"/>
      <c r="C462" s="398"/>
      <c r="D462" s="399"/>
      <c r="E462" s="528"/>
      <c r="F462" s="400"/>
      <c r="G462"/>
      <c r="H462"/>
    </row>
    <row r="463" spans="1:8" s="401" customFormat="1" ht="18.75" x14ac:dyDescent="0.25">
      <c r="A463" s="399"/>
      <c r="B463" s="398"/>
      <c r="C463" s="398"/>
      <c r="D463" s="399"/>
      <c r="E463" s="528"/>
      <c r="F463" s="400"/>
      <c r="G463"/>
      <c r="H463"/>
    </row>
    <row r="464" spans="1:8" s="401" customFormat="1" ht="18.75" x14ac:dyDescent="0.25">
      <c r="A464" s="399"/>
      <c r="B464" s="398"/>
      <c r="C464" s="398"/>
      <c r="D464" s="399"/>
      <c r="E464" s="528"/>
      <c r="F464" s="400"/>
      <c r="G464"/>
      <c r="H464"/>
    </row>
    <row r="465" spans="1:8" s="401" customFormat="1" ht="18.75" x14ac:dyDescent="0.25">
      <c r="A465" s="399"/>
      <c r="B465" s="398"/>
      <c r="C465" s="398"/>
      <c r="D465" s="399"/>
      <c r="E465" s="528"/>
      <c r="F465" s="400"/>
      <c r="G465"/>
      <c r="H465"/>
    </row>
    <row r="466" spans="1:8" s="401" customFormat="1" ht="18.75" x14ac:dyDescent="0.25">
      <c r="A466" s="399"/>
      <c r="B466" s="398"/>
      <c r="C466" s="398"/>
      <c r="D466" s="399"/>
      <c r="E466" s="528"/>
      <c r="F466" s="400"/>
      <c r="G466"/>
      <c r="H466"/>
    </row>
    <row r="467" spans="1:8" s="401" customFormat="1" ht="18.75" x14ac:dyDescent="0.25">
      <c r="A467" s="399"/>
      <c r="B467" s="398"/>
      <c r="C467" s="398"/>
      <c r="D467" s="399"/>
      <c r="E467" s="528"/>
      <c r="F467" s="400"/>
      <c r="G467"/>
      <c r="H467"/>
    </row>
    <row r="468" spans="1:8" s="401" customFormat="1" ht="18.75" x14ac:dyDescent="0.25">
      <c r="A468" s="399"/>
      <c r="B468" s="398"/>
      <c r="C468" s="398"/>
      <c r="D468" s="399"/>
      <c r="E468" s="528"/>
      <c r="F468" s="400"/>
      <c r="G468"/>
      <c r="H468"/>
    </row>
    <row r="469" spans="1:8" s="401" customFormat="1" ht="18.75" x14ac:dyDescent="0.25">
      <c r="A469" s="399"/>
      <c r="B469" s="398"/>
      <c r="C469" s="398"/>
      <c r="D469" s="399"/>
      <c r="E469" s="528"/>
      <c r="F469" s="400"/>
      <c r="G469"/>
      <c r="H469"/>
    </row>
    <row r="470" spans="1:8" s="401" customFormat="1" ht="18.75" x14ac:dyDescent="0.25">
      <c r="A470" s="399"/>
      <c r="B470" s="398"/>
      <c r="C470" s="398"/>
      <c r="D470" s="399"/>
      <c r="E470" s="528"/>
      <c r="F470" s="400"/>
      <c r="G470"/>
      <c r="H470"/>
    </row>
    <row r="471" spans="1:8" s="401" customFormat="1" ht="18.75" x14ac:dyDescent="0.25">
      <c r="A471" s="399"/>
      <c r="B471" s="419" t="s">
        <v>1118</v>
      </c>
      <c r="C471" s="411"/>
      <c r="D471" s="402"/>
      <c r="E471" s="537"/>
      <c r="F471" s="429"/>
      <c r="G471"/>
      <c r="H471"/>
    </row>
    <row r="472" spans="1:8" s="401" customFormat="1" ht="19.5" thickBot="1" x14ac:dyDescent="0.3">
      <c r="A472" s="399"/>
      <c r="B472" s="411" t="s">
        <v>695</v>
      </c>
      <c r="C472" s="411"/>
      <c r="D472" s="402"/>
      <c r="E472" s="537" t="s">
        <v>15</v>
      </c>
      <c r="F472" s="430">
        <f>SUM(E438:E456)</f>
        <v>20340250</v>
      </c>
      <c r="G472"/>
      <c r="H472"/>
    </row>
    <row r="473" spans="1:8" s="401" customFormat="1" ht="19.5" thickTop="1" x14ac:dyDescent="0.25">
      <c r="A473" s="399"/>
      <c r="B473" s="398"/>
      <c r="C473" s="398"/>
      <c r="D473" s="399"/>
      <c r="E473" s="528"/>
      <c r="F473" s="400"/>
      <c r="G473"/>
      <c r="H473"/>
    </row>
    <row r="474" spans="1:8" s="401" customFormat="1" ht="18.75" hidden="1" x14ac:dyDescent="0.25">
      <c r="A474" s="399"/>
      <c r="B474" s="398"/>
      <c r="C474" s="398"/>
      <c r="D474" s="399"/>
      <c r="E474" s="528"/>
      <c r="F474" s="400"/>
      <c r="G474"/>
      <c r="H474"/>
    </row>
    <row r="475" spans="1:8" s="401" customFormat="1" ht="18.75" hidden="1" x14ac:dyDescent="0.25">
      <c r="A475" s="399"/>
      <c r="B475" s="411"/>
      <c r="C475" s="431"/>
      <c r="D475" s="402" t="s">
        <v>472</v>
      </c>
      <c r="E475" s="528"/>
      <c r="F475" s="296"/>
      <c r="G475"/>
      <c r="H475"/>
    </row>
    <row r="476" spans="1:8" s="401" customFormat="1" ht="18.75" hidden="1" x14ac:dyDescent="0.25">
      <c r="A476" s="399"/>
      <c r="B476" s="411" t="s">
        <v>471</v>
      </c>
      <c r="C476" s="411"/>
      <c r="D476" s="402"/>
      <c r="E476" s="537"/>
      <c r="F476" s="296">
        <v>241</v>
      </c>
      <c r="G476"/>
      <c r="H476"/>
    </row>
    <row r="477" spans="1:8" s="401" customFormat="1" ht="18.75" hidden="1" x14ac:dyDescent="0.25">
      <c r="A477" s="399"/>
      <c r="B477" s="411"/>
      <c r="C477" s="411"/>
      <c r="D477" s="402"/>
      <c r="E477" s="537"/>
      <c r="F477" s="296"/>
      <c r="G477"/>
      <c r="H477"/>
    </row>
    <row r="478" spans="1:8" s="401" customFormat="1" ht="18.75" hidden="1" x14ac:dyDescent="0.25">
      <c r="A478" s="399"/>
      <c r="B478" s="411"/>
      <c r="C478" s="411"/>
      <c r="D478" s="402"/>
      <c r="E478" s="537"/>
      <c r="F478" s="296"/>
      <c r="G478"/>
      <c r="H478"/>
    </row>
    <row r="479" spans="1:8" s="401" customFormat="1" ht="18.75" hidden="1" x14ac:dyDescent="0.25">
      <c r="A479" s="399"/>
      <c r="B479" s="411" t="s">
        <v>929</v>
      </c>
      <c r="C479" s="411"/>
      <c r="D479" s="402"/>
      <c r="E479" s="537"/>
      <c r="F479" s="296">
        <f>F472/F476</f>
        <v>84399.377593361001</v>
      </c>
      <c r="G479"/>
      <c r="H479"/>
    </row>
    <row r="480" spans="1:8" s="401" customFormat="1" ht="18.75" hidden="1" x14ac:dyDescent="0.25">
      <c r="A480" s="399"/>
      <c r="B480" s="411" t="s">
        <v>874</v>
      </c>
      <c r="C480" s="411"/>
      <c r="D480" s="402"/>
      <c r="E480" s="537"/>
      <c r="F480" s="296">
        <f>F472/2</f>
        <v>10170125</v>
      </c>
      <c r="G480"/>
      <c r="H480"/>
    </row>
    <row r="481" spans="1:8" s="401" customFormat="1" ht="18.75" hidden="1" x14ac:dyDescent="0.25">
      <c r="A481" s="399"/>
      <c r="B481" s="411"/>
      <c r="C481" s="411"/>
      <c r="D481" s="402"/>
      <c r="E481" s="537"/>
      <c r="F481" s="296"/>
      <c r="G481"/>
      <c r="H481"/>
    </row>
    <row r="482" spans="1:8" s="401" customFormat="1" ht="18.75" hidden="1" x14ac:dyDescent="0.25">
      <c r="A482" s="399"/>
      <c r="B482" s="411"/>
      <c r="C482" s="411"/>
      <c r="D482" s="402"/>
      <c r="E482" s="537"/>
      <c r="F482" s="296"/>
      <c r="G482"/>
      <c r="H482"/>
    </row>
    <row r="483" spans="1:8" s="401" customFormat="1" ht="18.75" x14ac:dyDescent="0.25">
      <c r="A483" s="399"/>
      <c r="B483" s="411"/>
      <c r="C483" s="411"/>
      <c r="D483" s="402"/>
      <c r="E483" s="537"/>
      <c r="F483" s="296"/>
      <c r="G483"/>
      <c r="H483"/>
    </row>
    <row r="484" spans="1:8" s="401" customFormat="1" ht="18.75" x14ac:dyDescent="0.25">
      <c r="A484" s="399"/>
      <c r="B484" s="411"/>
      <c r="C484" s="411"/>
      <c r="D484" s="402"/>
      <c r="E484" s="537"/>
      <c r="F484" s="296"/>
      <c r="G484"/>
      <c r="H484"/>
    </row>
    <row r="485" spans="1:8" s="401" customFormat="1" ht="18.75" x14ac:dyDescent="0.25">
      <c r="A485" s="399"/>
      <c r="B485" s="411"/>
      <c r="C485" s="411"/>
      <c r="D485" s="402"/>
      <c r="E485" s="537"/>
      <c r="F485" s="296"/>
      <c r="G485"/>
      <c r="H485"/>
    </row>
    <row r="486" spans="1:8" s="401" customFormat="1" ht="18.75" x14ac:dyDescent="0.25">
      <c r="A486" s="399"/>
      <c r="B486" s="411" t="s">
        <v>473</v>
      </c>
      <c r="C486" s="432"/>
      <c r="D486" s="402"/>
      <c r="E486" s="537">
        <f>F472</f>
        <v>20340250</v>
      </c>
      <c r="F486" s="296"/>
      <c r="G486"/>
      <c r="H486"/>
    </row>
    <row r="487" spans="1:8" s="401" customFormat="1" ht="18.75" x14ac:dyDescent="0.25">
      <c r="A487" s="399"/>
      <c r="B487" s="403" t="s">
        <v>474</v>
      </c>
      <c r="C487" s="411"/>
      <c r="D487" s="402"/>
      <c r="E487" s="537"/>
      <c r="F487" s="296"/>
      <c r="G487"/>
      <c r="H487"/>
    </row>
    <row r="488" spans="1:8" s="401" customFormat="1" ht="18.75" x14ac:dyDescent="0.25">
      <c r="A488" s="399"/>
      <c r="B488" s="411" t="s">
        <v>692</v>
      </c>
      <c r="C488" s="411"/>
      <c r="D488" s="402"/>
      <c r="E488" s="537">
        <f>E486*5%</f>
        <v>1017012.5</v>
      </c>
      <c r="F488" s="296"/>
      <c r="G488"/>
      <c r="H488"/>
    </row>
    <row r="489" spans="1:8" s="401" customFormat="1" ht="18.75" x14ac:dyDescent="0.25">
      <c r="A489" s="399"/>
      <c r="B489" s="411"/>
      <c r="C489" s="411"/>
      <c r="D489" s="402"/>
      <c r="E489" s="537"/>
      <c r="F489" s="296"/>
      <c r="G489"/>
      <c r="H489"/>
    </row>
    <row r="490" spans="1:8" s="401" customFormat="1" ht="18.75" x14ac:dyDescent="0.25">
      <c r="A490" s="399"/>
      <c r="B490" s="433" t="s">
        <v>476</v>
      </c>
      <c r="C490" s="433"/>
      <c r="D490" s="434" t="s">
        <v>15</v>
      </c>
      <c r="E490" s="559">
        <f>SUM(E486:E489)</f>
        <v>21357262.5</v>
      </c>
      <c r="F490" s="296"/>
      <c r="G490"/>
      <c r="H490"/>
    </row>
    <row r="491" spans="1:8" s="401" customFormat="1" ht="18.75" x14ac:dyDescent="0.25">
      <c r="A491" s="399"/>
      <c r="B491" s="403" t="s">
        <v>474</v>
      </c>
      <c r="C491" s="433"/>
      <c r="D491" s="434"/>
      <c r="E491" s="560"/>
      <c r="F491" s="296"/>
      <c r="G491"/>
      <c r="H491"/>
    </row>
    <row r="492" spans="1:8" s="401" customFormat="1" ht="18.75" x14ac:dyDescent="0.25">
      <c r="A492" s="399"/>
      <c r="B492" s="411" t="s">
        <v>477</v>
      </c>
      <c r="C492" s="411"/>
      <c r="D492" s="402"/>
      <c r="E492" s="537">
        <f>E490*7.5%</f>
        <v>1601794.6875</v>
      </c>
      <c r="F492" s="296"/>
      <c r="G492"/>
      <c r="H492"/>
    </row>
    <row r="493" spans="1:8" s="401" customFormat="1" ht="19.5" thickBot="1" x14ac:dyDescent="0.3">
      <c r="A493" s="399"/>
      <c r="B493" s="411"/>
      <c r="C493" s="411"/>
      <c r="D493" s="402"/>
      <c r="E493" s="561">
        <f>SUM(E490:E492)</f>
        <v>22959057.1875</v>
      </c>
      <c r="F493" s="296"/>
      <c r="G493"/>
      <c r="H493"/>
    </row>
    <row r="494" spans="1:8" s="401" customFormat="1" ht="19.5" thickTop="1" x14ac:dyDescent="0.25">
      <c r="A494" s="399"/>
      <c r="B494" s="411"/>
      <c r="C494" s="411"/>
      <c r="D494" s="402"/>
      <c r="E494" s="537"/>
      <c r="F494" s="296"/>
      <c r="G494"/>
      <c r="H494"/>
    </row>
    <row r="495" spans="1:8" s="401" customFormat="1" ht="18.75" hidden="1" x14ac:dyDescent="0.25">
      <c r="A495" s="399"/>
      <c r="B495" s="411" t="s">
        <v>478</v>
      </c>
      <c r="C495" s="411"/>
      <c r="D495" s="402"/>
      <c r="E495" s="537">
        <f>E493/2</f>
        <v>11479528.59375</v>
      </c>
      <c r="F495" s="296"/>
      <c r="G495"/>
      <c r="H495"/>
    </row>
    <row r="496" spans="1:8" s="401" customFormat="1" ht="18.75" hidden="1" x14ac:dyDescent="0.25">
      <c r="A496" s="399"/>
      <c r="B496" s="411"/>
      <c r="C496" s="411"/>
      <c r="D496" s="402"/>
      <c r="E496" s="537"/>
      <c r="F496" s="296"/>
      <c r="G496"/>
      <c r="H496"/>
    </row>
    <row r="497" spans="1:8" s="401" customFormat="1" ht="18.75" hidden="1" x14ac:dyDescent="0.25">
      <c r="A497" s="399"/>
      <c r="B497" s="411" t="s">
        <v>479</v>
      </c>
      <c r="C497" s="411"/>
      <c r="D497" s="402"/>
      <c r="E497" s="537">
        <f>E493/F476</f>
        <v>95265.797458506218</v>
      </c>
      <c r="F497" s="296"/>
      <c r="G497"/>
      <c r="H497"/>
    </row>
    <row r="498" spans="1:8" s="401" customFormat="1" ht="18.75" x14ac:dyDescent="0.25">
      <c r="A498" s="399"/>
      <c r="B498" s="411"/>
      <c r="C498" s="398"/>
      <c r="D498" s="399"/>
      <c r="E498" s="528"/>
      <c r="F498" s="400"/>
      <c r="G498"/>
      <c r="H498"/>
    </row>
    <row r="499" spans="1:8" s="401" customFormat="1" x14ac:dyDescent="0.25">
      <c r="G499"/>
      <c r="H499"/>
    </row>
  </sheetData>
  <pageMargins left="0.69930555555555596" right="0.69930555555555596" top="0.75" bottom="0.75" header="0.3" footer="0.3"/>
  <pageSetup paperSize="9" scale="65" orientation="portrait" r:id="rId1"/>
  <headerFooter>
    <oddFooter>Page &amp;P</oddFooter>
  </headerFooter>
  <rowBreaks count="15" manualBreakCount="15">
    <brk id="28" max="16383" man="1"/>
    <brk id="44" max="16383" man="1"/>
    <brk id="71" max="16383" man="1"/>
    <brk id="114" max="16383" man="1"/>
    <brk id="137" max="16383" man="1"/>
    <brk id="165" max="16383" man="1"/>
    <brk id="203" max="16383" man="1"/>
    <brk id="255" max="16383" man="1"/>
    <brk id="283" max="16383" man="1"/>
    <brk id="328" max="16383" man="1"/>
    <brk id="350" max="16383" man="1"/>
    <brk id="384" max="16383" man="1"/>
    <brk id="407" max="16383" man="1"/>
    <brk id="433" max="16383" man="1"/>
    <brk id="47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3765D-4ADF-4743-968B-E2E4F04643B1}">
  <dimension ref="A1:E956"/>
  <sheetViews>
    <sheetView tabSelected="1" view="pageBreakPreview" topLeftCell="A13" zoomScale="98" zoomScaleNormal="136" zoomScaleSheetLayoutView="98" workbookViewId="0">
      <selection activeCell="D27" sqref="D27"/>
    </sheetView>
  </sheetViews>
  <sheetFormatPr defaultColWidth="8.85546875" defaultRowHeight="12.75" x14ac:dyDescent="0.2"/>
  <cols>
    <col min="1" max="1" width="7.140625" style="445" customWidth="1"/>
    <col min="2" max="2" width="34.7109375" style="448" customWidth="1"/>
    <col min="3" max="3" width="5.42578125" style="447" bestFit="1" customWidth="1"/>
    <col min="4" max="4" width="14.5703125" style="448" customWidth="1"/>
    <col min="5" max="5" width="26.5703125" style="445" customWidth="1"/>
    <col min="6" max="16384" width="8.85546875" style="450"/>
  </cols>
  <sheetData>
    <row r="1" spans="1:5" s="439" customFormat="1" ht="34.5" customHeight="1" thickBot="1" x14ac:dyDescent="0.25">
      <c r="A1" s="435" t="s">
        <v>930</v>
      </c>
      <c r="B1" s="436" t="s">
        <v>907</v>
      </c>
      <c r="C1" s="437" t="s">
        <v>765</v>
      </c>
      <c r="D1" s="436" t="s">
        <v>969</v>
      </c>
      <c r="E1" s="438" t="s">
        <v>931</v>
      </c>
    </row>
    <row r="2" spans="1:5" s="444" customFormat="1" ht="9.75" customHeight="1" x14ac:dyDescent="0.2">
      <c r="A2" s="440"/>
      <c r="B2" s="441"/>
      <c r="C2" s="442"/>
      <c r="D2" s="441"/>
      <c r="E2" s="443"/>
    </row>
    <row r="3" spans="1:5" s="444" customFormat="1" ht="12" customHeight="1" x14ac:dyDescent="0.2">
      <c r="A3" s="440"/>
      <c r="B3" s="441"/>
      <c r="C3" s="442"/>
      <c r="D3" s="441"/>
      <c r="E3" s="443"/>
    </row>
    <row r="4" spans="1:5" x14ac:dyDescent="0.2">
      <c r="B4" s="446" t="s">
        <v>932</v>
      </c>
      <c r="E4" s="449"/>
    </row>
    <row r="5" spans="1:5" x14ac:dyDescent="0.2">
      <c r="B5" s="446"/>
      <c r="E5" s="449"/>
    </row>
    <row r="6" spans="1:5" x14ac:dyDescent="0.2">
      <c r="B6" s="446"/>
      <c r="E6" s="449"/>
    </row>
    <row r="7" spans="1:5" ht="9.75" customHeight="1" x14ac:dyDescent="0.2">
      <c r="B7" s="446"/>
      <c r="E7" s="449"/>
    </row>
    <row r="8" spans="1:5" ht="12" customHeight="1" x14ac:dyDescent="0.2">
      <c r="B8" s="446"/>
      <c r="E8" s="451"/>
    </row>
    <row r="9" spans="1:5" x14ac:dyDescent="0.2">
      <c r="A9" s="452"/>
      <c r="B9" s="453" t="s">
        <v>933</v>
      </c>
      <c r="E9" s="451"/>
    </row>
    <row r="10" spans="1:5" x14ac:dyDescent="0.2">
      <c r="A10" s="452"/>
      <c r="B10" s="453"/>
      <c r="E10" s="451"/>
    </row>
    <row r="11" spans="1:5" s="459" customFormat="1" x14ac:dyDescent="0.2">
      <c r="A11" s="454"/>
      <c r="B11" s="455"/>
      <c r="C11" s="456"/>
      <c r="D11" s="457"/>
      <c r="E11" s="458"/>
    </row>
    <row r="12" spans="1:5" s="459" customFormat="1" x14ac:dyDescent="0.2">
      <c r="A12" s="454"/>
      <c r="B12" s="455" t="s">
        <v>1022</v>
      </c>
      <c r="C12" s="460">
        <v>1</v>
      </c>
      <c r="D12" s="457">
        <f>'SHOPPING MALL'!F917</f>
        <v>201765716.44326562</v>
      </c>
      <c r="E12" s="462">
        <f>C12*D12</f>
        <v>201765716.44326562</v>
      </c>
    </row>
    <row r="13" spans="1:5" s="459" customFormat="1" x14ac:dyDescent="0.2">
      <c r="A13" s="454"/>
      <c r="B13" s="455"/>
      <c r="C13" s="456"/>
      <c r="D13" s="457"/>
      <c r="E13" s="458"/>
    </row>
    <row r="14" spans="1:5" s="459" customFormat="1" x14ac:dyDescent="0.2">
      <c r="A14" s="454"/>
      <c r="B14" s="455"/>
      <c r="C14" s="456"/>
      <c r="D14" s="457"/>
      <c r="E14" s="458"/>
    </row>
    <row r="15" spans="1:5" s="459" customFormat="1" x14ac:dyDescent="0.2">
      <c r="A15" s="454"/>
      <c r="B15" s="455" t="s">
        <v>1123</v>
      </c>
      <c r="C15" s="464">
        <v>1</v>
      </c>
      <c r="D15" s="527">
        <f>'ADMIN BLOCK'!F647</f>
        <v>56702609.593125001</v>
      </c>
      <c r="E15" s="462">
        <f>C15*D15</f>
        <v>56702609.593125001</v>
      </c>
    </row>
    <row r="16" spans="1:5" s="459" customFormat="1" x14ac:dyDescent="0.2">
      <c r="A16" s="454"/>
      <c r="B16" s="461"/>
      <c r="C16" s="442"/>
      <c r="D16" s="441"/>
      <c r="E16" s="462"/>
    </row>
    <row r="17" spans="1:5" s="459" customFormat="1" x14ac:dyDescent="0.2">
      <c r="A17" s="454"/>
      <c r="B17" s="461"/>
      <c r="C17" s="442"/>
      <c r="D17" s="441"/>
      <c r="E17" s="462"/>
    </row>
    <row r="18" spans="1:5" s="459" customFormat="1" x14ac:dyDescent="0.2">
      <c r="A18" s="454"/>
      <c r="B18" s="455" t="s">
        <v>1095</v>
      </c>
      <c r="C18" s="464">
        <v>1</v>
      </c>
      <c r="D18" s="527">
        <f>MASJID!E565</f>
        <v>52526699.326375</v>
      </c>
      <c r="E18" s="462">
        <f>C18*D18</f>
        <v>52526699.326375</v>
      </c>
    </row>
    <row r="19" spans="1:5" s="459" customFormat="1" x14ac:dyDescent="0.2">
      <c r="A19" s="454"/>
      <c r="B19" s="461"/>
      <c r="C19" s="464"/>
      <c r="D19" s="441"/>
      <c r="E19" s="462"/>
    </row>
    <row r="20" spans="1:5" s="459" customFormat="1" x14ac:dyDescent="0.2">
      <c r="A20" s="454"/>
      <c r="B20" s="461"/>
      <c r="C20" s="464"/>
      <c r="D20" s="441"/>
      <c r="E20" s="462"/>
    </row>
    <row r="21" spans="1:5" s="459" customFormat="1" x14ac:dyDescent="0.2">
      <c r="A21" s="454"/>
      <c r="B21" s="455" t="s">
        <v>1124</v>
      </c>
      <c r="C21" s="464">
        <v>1</v>
      </c>
      <c r="D21" s="562">
        <f>'Power house'!E455</f>
        <v>15407629.387499999</v>
      </c>
      <c r="E21" s="462">
        <f>C21*D21</f>
        <v>15407629.387499999</v>
      </c>
    </row>
    <row r="22" spans="1:5" s="459" customFormat="1" x14ac:dyDescent="0.2">
      <c r="A22" s="454"/>
      <c r="B22" s="461"/>
      <c r="C22" s="464"/>
      <c r="D22" s="441"/>
      <c r="E22" s="462"/>
    </row>
    <row r="23" spans="1:5" s="459" customFormat="1" x14ac:dyDescent="0.2">
      <c r="A23" s="454"/>
      <c r="B23" s="461"/>
      <c r="C23" s="464"/>
      <c r="D23" s="465"/>
      <c r="E23" s="462"/>
    </row>
    <row r="24" spans="1:5" s="459" customFormat="1" x14ac:dyDescent="0.2">
      <c r="A24" s="454"/>
      <c r="B24" s="455" t="s">
        <v>1118</v>
      </c>
      <c r="C24" s="464">
        <v>1</v>
      </c>
      <c r="D24" s="562">
        <f>'public toilet'!E493</f>
        <v>22959057.1875</v>
      </c>
      <c r="E24" s="462">
        <f>C24*D24</f>
        <v>22959057.1875</v>
      </c>
    </row>
    <row r="25" spans="1:5" s="459" customFormat="1" x14ac:dyDescent="0.2">
      <c r="A25" s="454"/>
      <c r="B25" s="461"/>
      <c r="C25" s="464"/>
      <c r="D25" s="465"/>
      <c r="E25" s="462"/>
    </row>
    <row r="26" spans="1:5" s="459" customFormat="1" x14ac:dyDescent="0.2">
      <c r="A26" s="454"/>
      <c r="B26" s="461"/>
      <c r="C26" s="442"/>
      <c r="D26" s="465"/>
      <c r="E26" s="462"/>
    </row>
    <row r="27" spans="1:5" s="459" customFormat="1" x14ac:dyDescent="0.2">
      <c r="A27" s="454"/>
      <c r="B27" s="455"/>
      <c r="C27" s="442"/>
      <c r="D27" s="465"/>
      <c r="E27" s="462"/>
    </row>
    <row r="28" spans="1:5" s="459" customFormat="1" x14ac:dyDescent="0.2">
      <c r="A28" s="454"/>
      <c r="B28" s="461"/>
      <c r="C28" s="442"/>
      <c r="D28" s="465"/>
      <c r="E28" s="462"/>
    </row>
    <row r="29" spans="1:5" s="459" customFormat="1" x14ac:dyDescent="0.2">
      <c r="A29" s="454"/>
      <c r="B29" s="461"/>
      <c r="C29" s="442"/>
      <c r="D29" s="465"/>
      <c r="E29" s="462"/>
    </row>
    <row r="30" spans="1:5" s="459" customFormat="1" x14ac:dyDescent="0.2">
      <c r="A30" s="454"/>
      <c r="B30" s="455"/>
      <c r="C30" s="442"/>
      <c r="D30" s="527"/>
      <c r="E30" s="462">
        <f>C30*D30</f>
        <v>0</v>
      </c>
    </row>
    <row r="31" spans="1:5" s="459" customFormat="1" x14ac:dyDescent="0.2">
      <c r="A31" s="454"/>
      <c r="B31" s="463"/>
      <c r="C31" s="464"/>
      <c r="D31" s="465"/>
      <c r="E31" s="466"/>
    </row>
    <row r="32" spans="1:5" s="459" customFormat="1" x14ac:dyDescent="0.2">
      <c r="A32" s="454"/>
      <c r="B32" s="461"/>
      <c r="C32" s="464"/>
      <c r="D32" s="465"/>
      <c r="E32" s="458"/>
    </row>
    <row r="33" spans="1:5" s="459" customFormat="1" x14ac:dyDescent="0.2">
      <c r="A33" s="454"/>
      <c r="B33" s="455"/>
      <c r="C33" s="464"/>
      <c r="D33" s="465"/>
      <c r="E33" s="462"/>
    </row>
    <row r="34" spans="1:5" s="459" customFormat="1" x14ac:dyDescent="0.2">
      <c r="A34" s="454"/>
      <c r="B34" s="461"/>
      <c r="C34" s="464"/>
      <c r="D34" s="465"/>
      <c r="E34" s="458"/>
    </row>
    <row r="35" spans="1:5" s="459" customFormat="1" ht="22.5" customHeight="1" thickBot="1" x14ac:dyDescent="0.35">
      <c r="A35" s="454"/>
      <c r="B35" s="526" t="s">
        <v>963</v>
      </c>
      <c r="C35" s="464"/>
      <c r="D35" s="465"/>
      <c r="E35" s="633">
        <f>SUM(E10:E33)</f>
        <v>349361711.9377656</v>
      </c>
    </row>
    <row r="36" spans="1:5" s="459" customFormat="1" ht="12" customHeight="1" thickTop="1" x14ac:dyDescent="0.2">
      <c r="A36" s="454"/>
      <c r="B36" s="463"/>
      <c r="C36" s="464"/>
      <c r="D36" s="465"/>
      <c r="E36" s="466"/>
    </row>
    <row r="37" spans="1:5" s="524" customFormat="1" x14ac:dyDescent="0.2">
      <c r="A37" s="523"/>
      <c r="B37" s="523"/>
      <c r="C37" s="523"/>
      <c r="D37" s="523"/>
      <c r="E37" s="523"/>
    </row>
    <row r="38" spans="1:5" s="524" customFormat="1" x14ac:dyDescent="0.2">
      <c r="A38" s="523"/>
      <c r="B38" s="523"/>
      <c r="C38" s="523"/>
      <c r="D38" s="523"/>
      <c r="E38" s="523"/>
    </row>
    <row r="39" spans="1:5" s="524" customFormat="1" x14ac:dyDescent="0.2">
      <c r="A39" s="523"/>
      <c r="B39" s="523"/>
      <c r="C39" s="523"/>
      <c r="D39" s="523"/>
      <c r="E39" s="523"/>
    </row>
    <row r="40" spans="1:5" s="524" customFormat="1" x14ac:dyDescent="0.2">
      <c r="A40" s="523"/>
      <c r="B40" s="523"/>
      <c r="C40" s="523"/>
      <c r="D40" s="523"/>
      <c r="E40" s="523"/>
    </row>
    <row r="41" spans="1:5" s="524" customFormat="1" x14ac:dyDescent="0.2">
      <c r="A41" s="523"/>
      <c r="B41" s="523"/>
      <c r="C41" s="523"/>
      <c r="D41" s="523"/>
      <c r="E41" s="523"/>
    </row>
    <row r="42" spans="1:5" s="524" customFormat="1" x14ac:dyDescent="0.2">
      <c r="A42" s="523"/>
      <c r="B42" s="523"/>
      <c r="C42" s="523"/>
      <c r="D42" s="523"/>
      <c r="E42" s="523"/>
    </row>
    <row r="43" spans="1:5" s="524" customFormat="1" x14ac:dyDescent="0.2">
      <c r="A43" s="523"/>
      <c r="B43" s="523"/>
      <c r="C43" s="523"/>
      <c r="D43" s="523"/>
      <c r="E43" s="523"/>
    </row>
    <row r="44" spans="1:5" s="524" customFormat="1" x14ac:dyDescent="0.2">
      <c r="A44" s="523"/>
      <c r="B44" s="523"/>
      <c r="C44" s="523"/>
      <c r="D44" s="523"/>
      <c r="E44" s="523"/>
    </row>
    <row r="45" spans="1:5" s="524" customFormat="1" x14ac:dyDescent="0.2">
      <c r="A45" s="523"/>
      <c r="B45" s="523"/>
      <c r="C45" s="523"/>
      <c r="D45" s="523"/>
      <c r="E45" s="523"/>
    </row>
    <row r="46" spans="1:5" s="524" customFormat="1" x14ac:dyDescent="0.2">
      <c r="A46" s="523"/>
      <c r="B46" s="523"/>
      <c r="C46" s="523"/>
      <c r="D46" s="523"/>
      <c r="E46" s="523"/>
    </row>
    <row r="47" spans="1:5" s="524" customFormat="1" x14ac:dyDescent="0.2">
      <c r="A47" s="523"/>
      <c r="B47" s="523"/>
      <c r="C47" s="523"/>
      <c r="D47" s="523"/>
      <c r="E47" s="523"/>
    </row>
    <row r="48" spans="1:5" s="524" customFormat="1" x14ac:dyDescent="0.2">
      <c r="A48" s="523"/>
      <c r="B48" s="523"/>
      <c r="C48" s="523"/>
      <c r="D48" s="523"/>
      <c r="E48" s="523"/>
    </row>
    <row r="49" spans="1:5" s="524" customFormat="1" x14ac:dyDescent="0.2">
      <c r="A49" s="523"/>
      <c r="B49" s="523"/>
      <c r="C49" s="523"/>
      <c r="D49" s="523"/>
      <c r="E49" s="523"/>
    </row>
    <row r="50" spans="1:5" s="524" customFormat="1" x14ac:dyDescent="0.2">
      <c r="A50" s="523"/>
      <c r="B50" s="523"/>
      <c r="C50" s="523"/>
      <c r="D50" s="523"/>
      <c r="E50" s="523"/>
    </row>
    <row r="51" spans="1:5" s="524" customFormat="1" x14ac:dyDescent="0.2">
      <c r="A51" s="523"/>
      <c r="B51" s="523"/>
      <c r="C51" s="523"/>
      <c r="D51" s="523"/>
      <c r="E51" s="523"/>
    </row>
    <row r="52" spans="1:5" s="524" customFormat="1" x14ac:dyDescent="0.2">
      <c r="A52" s="523"/>
      <c r="B52" s="523"/>
      <c r="C52" s="523"/>
      <c r="D52" s="523"/>
      <c r="E52" s="523"/>
    </row>
    <row r="53" spans="1:5" s="524" customFormat="1" x14ac:dyDescent="0.2">
      <c r="A53" s="523"/>
      <c r="B53" s="523"/>
      <c r="C53" s="523"/>
      <c r="D53" s="523"/>
      <c r="E53" s="523"/>
    </row>
    <row r="54" spans="1:5" s="524" customFormat="1" x14ac:dyDescent="0.2">
      <c r="A54" s="523"/>
      <c r="B54" s="523"/>
      <c r="C54" s="523"/>
      <c r="D54" s="523"/>
      <c r="E54" s="523"/>
    </row>
    <row r="55" spans="1:5" s="524" customFormat="1" x14ac:dyDescent="0.2">
      <c r="A55" s="523"/>
      <c r="B55" s="523"/>
      <c r="C55" s="523"/>
      <c r="D55" s="523"/>
      <c r="E55" s="523"/>
    </row>
    <row r="56" spans="1:5" s="524" customFormat="1" x14ac:dyDescent="0.2">
      <c r="A56" s="523"/>
      <c r="B56" s="523"/>
      <c r="C56" s="523"/>
      <c r="D56" s="523"/>
      <c r="E56" s="523"/>
    </row>
    <row r="57" spans="1:5" s="524" customFormat="1" x14ac:dyDescent="0.2">
      <c r="A57" s="523"/>
      <c r="B57" s="523"/>
      <c r="C57" s="523"/>
      <c r="D57" s="523"/>
      <c r="E57" s="523"/>
    </row>
    <row r="58" spans="1:5" s="524" customFormat="1" x14ac:dyDescent="0.2">
      <c r="A58" s="523"/>
      <c r="B58" s="523"/>
      <c r="C58" s="523"/>
      <c r="D58" s="523"/>
      <c r="E58" s="523"/>
    </row>
    <row r="59" spans="1:5" s="524" customFormat="1" x14ac:dyDescent="0.2">
      <c r="A59" s="523"/>
      <c r="B59" s="523"/>
      <c r="C59" s="523"/>
      <c r="D59" s="523"/>
      <c r="E59" s="523"/>
    </row>
    <row r="60" spans="1:5" s="524" customFormat="1" x14ac:dyDescent="0.2">
      <c r="A60" s="523"/>
      <c r="B60" s="523"/>
      <c r="C60" s="523"/>
      <c r="D60" s="523"/>
      <c r="E60" s="523"/>
    </row>
    <row r="61" spans="1:5" s="524" customFormat="1" x14ac:dyDescent="0.2">
      <c r="A61" s="523"/>
      <c r="B61" s="523"/>
      <c r="C61" s="523"/>
      <c r="D61" s="523"/>
      <c r="E61" s="523"/>
    </row>
    <row r="62" spans="1:5" s="524" customFormat="1" x14ac:dyDescent="0.2">
      <c r="A62" s="523"/>
      <c r="B62" s="523"/>
      <c r="C62" s="523"/>
      <c r="D62" s="523"/>
      <c r="E62" s="523"/>
    </row>
    <row r="63" spans="1:5" s="524" customFormat="1" x14ac:dyDescent="0.2">
      <c r="A63" s="523"/>
      <c r="B63" s="523"/>
      <c r="C63" s="523"/>
      <c r="D63" s="523"/>
      <c r="E63" s="523"/>
    </row>
    <row r="64" spans="1:5" s="524" customFormat="1" x14ac:dyDescent="0.2">
      <c r="A64" s="523"/>
      <c r="B64" s="523"/>
      <c r="C64" s="523"/>
      <c r="D64" s="523"/>
      <c r="E64" s="523"/>
    </row>
    <row r="65" spans="1:5" s="524" customFormat="1" x14ac:dyDescent="0.2">
      <c r="A65" s="523"/>
      <c r="B65" s="523"/>
      <c r="C65" s="523"/>
      <c r="D65" s="523"/>
      <c r="E65" s="523"/>
    </row>
    <row r="66" spans="1:5" s="524" customFormat="1" x14ac:dyDescent="0.2">
      <c r="A66" s="523"/>
      <c r="B66" s="523"/>
      <c r="C66" s="523"/>
      <c r="D66" s="523"/>
      <c r="E66" s="523"/>
    </row>
    <row r="67" spans="1:5" s="524" customFormat="1" x14ac:dyDescent="0.2">
      <c r="A67" s="523"/>
      <c r="B67" s="523"/>
      <c r="C67" s="523"/>
      <c r="D67" s="523"/>
      <c r="E67" s="523"/>
    </row>
    <row r="68" spans="1:5" s="524" customFormat="1" x14ac:dyDescent="0.2">
      <c r="A68" s="523"/>
      <c r="B68" s="523"/>
      <c r="C68" s="523"/>
      <c r="D68" s="523"/>
      <c r="E68" s="523"/>
    </row>
    <row r="69" spans="1:5" s="524" customFormat="1" x14ac:dyDescent="0.2">
      <c r="A69" s="523"/>
      <c r="B69" s="523"/>
      <c r="C69" s="523"/>
      <c r="D69" s="523"/>
      <c r="E69" s="523"/>
    </row>
    <row r="70" spans="1:5" s="524" customFormat="1" x14ac:dyDescent="0.2">
      <c r="A70" s="523"/>
      <c r="B70" s="523"/>
      <c r="C70" s="523"/>
      <c r="D70" s="523"/>
      <c r="E70" s="523"/>
    </row>
    <row r="71" spans="1:5" s="524" customFormat="1" x14ac:dyDescent="0.2">
      <c r="A71" s="523"/>
      <c r="B71" s="523"/>
      <c r="C71" s="523"/>
      <c r="D71" s="523"/>
      <c r="E71" s="523"/>
    </row>
    <row r="72" spans="1:5" s="524" customFormat="1" x14ac:dyDescent="0.2">
      <c r="A72" s="523"/>
      <c r="B72" s="523"/>
      <c r="C72" s="523"/>
      <c r="D72" s="523"/>
      <c r="E72" s="523"/>
    </row>
    <row r="73" spans="1:5" s="524" customFormat="1" x14ac:dyDescent="0.2">
      <c r="A73" s="523"/>
      <c r="B73" s="523"/>
      <c r="C73" s="523"/>
      <c r="D73" s="523"/>
      <c r="E73" s="523"/>
    </row>
    <row r="74" spans="1:5" s="524" customFormat="1" x14ac:dyDescent="0.2">
      <c r="A74" s="523"/>
      <c r="B74" s="523"/>
      <c r="C74" s="523"/>
      <c r="D74" s="523"/>
      <c r="E74" s="523"/>
    </row>
    <row r="75" spans="1:5" s="524" customFormat="1" x14ac:dyDescent="0.2">
      <c r="A75" s="523"/>
      <c r="B75" s="523"/>
      <c r="C75" s="523"/>
      <c r="D75" s="523"/>
      <c r="E75" s="523"/>
    </row>
    <row r="76" spans="1:5" s="524" customFormat="1" x14ac:dyDescent="0.2">
      <c r="A76" s="523"/>
      <c r="B76" s="523"/>
      <c r="C76" s="523"/>
      <c r="D76" s="523"/>
      <c r="E76" s="523"/>
    </row>
    <row r="77" spans="1:5" s="524" customFormat="1" x14ac:dyDescent="0.2">
      <c r="A77" s="523"/>
      <c r="B77" s="523"/>
      <c r="C77" s="523"/>
      <c r="D77" s="523"/>
      <c r="E77" s="523"/>
    </row>
    <row r="78" spans="1:5" s="524" customFormat="1" x14ac:dyDescent="0.2">
      <c r="A78" s="523"/>
      <c r="B78" s="523"/>
      <c r="C78" s="523"/>
      <c r="D78" s="523"/>
      <c r="E78" s="523"/>
    </row>
    <row r="79" spans="1:5" s="524" customFormat="1" x14ac:dyDescent="0.2">
      <c r="A79" s="523"/>
      <c r="B79" s="523"/>
      <c r="C79" s="523"/>
      <c r="D79" s="523"/>
      <c r="E79" s="523"/>
    </row>
    <row r="80" spans="1:5" s="524" customFormat="1" x14ac:dyDescent="0.2">
      <c r="A80" s="523"/>
      <c r="B80" s="523"/>
      <c r="C80" s="523"/>
      <c r="D80" s="523"/>
      <c r="E80" s="523"/>
    </row>
    <row r="81" spans="1:5" s="524" customFormat="1" x14ac:dyDescent="0.2">
      <c r="A81" s="523"/>
      <c r="B81" s="523"/>
      <c r="C81" s="523"/>
      <c r="D81" s="523"/>
      <c r="E81" s="523"/>
    </row>
    <row r="82" spans="1:5" s="524" customFormat="1" x14ac:dyDescent="0.2">
      <c r="A82" s="523"/>
      <c r="B82" s="523"/>
      <c r="C82" s="523"/>
      <c r="D82" s="523"/>
      <c r="E82" s="523"/>
    </row>
    <row r="83" spans="1:5" s="524" customFormat="1" x14ac:dyDescent="0.2">
      <c r="A83" s="523"/>
      <c r="B83" s="523"/>
      <c r="C83" s="523"/>
      <c r="D83" s="523"/>
      <c r="E83" s="523"/>
    </row>
    <row r="84" spans="1:5" s="524" customFormat="1" x14ac:dyDescent="0.2">
      <c r="A84" s="523"/>
      <c r="B84" s="523"/>
      <c r="C84" s="523"/>
      <c r="D84" s="523"/>
      <c r="E84" s="523"/>
    </row>
    <row r="85" spans="1:5" s="524" customFormat="1" x14ac:dyDescent="0.2">
      <c r="A85" s="523"/>
      <c r="B85" s="523"/>
      <c r="C85" s="523"/>
      <c r="D85" s="523"/>
      <c r="E85" s="523"/>
    </row>
    <row r="86" spans="1:5" s="524" customFormat="1" x14ac:dyDescent="0.2">
      <c r="A86" s="523"/>
      <c r="B86" s="523"/>
      <c r="C86" s="523"/>
      <c r="D86" s="523"/>
      <c r="E86" s="523"/>
    </row>
    <row r="87" spans="1:5" s="524" customFormat="1" x14ac:dyDescent="0.2">
      <c r="A87" s="523"/>
      <c r="B87" s="523"/>
      <c r="C87" s="523"/>
      <c r="D87" s="523"/>
      <c r="E87" s="523"/>
    </row>
    <row r="88" spans="1:5" s="524" customFormat="1" x14ac:dyDescent="0.2">
      <c r="A88" s="523"/>
      <c r="B88" s="523"/>
      <c r="C88" s="523"/>
      <c r="D88" s="523"/>
      <c r="E88" s="523"/>
    </row>
    <row r="89" spans="1:5" s="524" customFormat="1" x14ac:dyDescent="0.2">
      <c r="A89" s="523"/>
      <c r="B89" s="523"/>
      <c r="C89" s="523"/>
      <c r="D89" s="523"/>
      <c r="E89" s="523"/>
    </row>
    <row r="90" spans="1:5" s="524" customFormat="1" x14ac:dyDescent="0.2">
      <c r="A90" s="523"/>
      <c r="B90" s="523"/>
      <c r="C90" s="523"/>
      <c r="D90" s="523"/>
      <c r="E90" s="523"/>
    </row>
    <row r="91" spans="1:5" s="524" customFormat="1" x14ac:dyDescent="0.2">
      <c r="A91" s="523"/>
      <c r="B91" s="523"/>
      <c r="C91" s="523"/>
      <c r="D91" s="523"/>
      <c r="E91" s="523"/>
    </row>
    <row r="92" spans="1:5" s="524" customFormat="1" x14ac:dyDescent="0.2">
      <c r="A92" s="523"/>
      <c r="B92" s="523"/>
      <c r="C92" s="523"/>
      <c r="D92" s="523"/>
      <c r="E92" s="523"/>
    </row>
    <row r="93" spans="1:5" s="524" customFormat="1" x14ac:dyDescent="0.2">
      <c r="A93" s="523"/>
      <c r="B93" s="523"/>
      <c r="C93" s="523"/>
      <c r="D93" s="523"/>
      <c r="E93" s="523"/>
    </row>
    <row r="94" spans="1:5" s="524" customFormat="1" x14ac:dyDescent="0.2">
      <c r="A94" s="523"/>
      <c r="B94" s="523"/>
      <c r="C94" s="523"/>
      <c r="D94" s="523"/>
      <c r="E94" s="523"/>
    </row>
    <row r="95" spans="1:5" s="524" customFormat="1" x14ac:dyDescent="0.2">
      <c r="A95" s="523"/>
      <c r="B95" s="523"/>
      <c r="C95" s="523"/>
      <c r="D95" s="523"/>
      <c r="E95" s="523"/>
    </row>
    <row r="96" spans="1:5" s="524" customFormat="1" x14ac:dyDescent="0.2">
      <c r="A96" s="523"/>
      <c r="B96" s="523"/>
      <c r="C96" s="523"/>
      <c r="D96" s="523"/>
      <c r="E96" s="523"/>
    </row>
    <row r="97" spans="1:5" s="524" customFormat="1" x14ac:dyDescent="0.2">
      <c r="A97" s="523"/>
      <c r="B97" s="523"/>
      <c r="C97" s="523"/>
      <c r="D97" s="523"/>
      <c r="E97" s="523"/>
    </row>
    <row r="98" spans="1:5" s="524" customFormat="1" x14ac:dyDescent="0.2">
      <c r="A98" s="523"/>
      <c r="B98" s="523"/>
      <c r="C98" s="523"/>
      <c r="D98" s="523"/>
      <c r="E98" s="523"/>
    </row>
    <row r="99" spans="1:5" s="524" customFormat="1" x14ac:dyDescent="0.2">
      <c r="A99" s="523"/>
      <c r="B99" s="523"/>
      <c r="C99" s="523"/>
      <c r="D99" s="523"/>
      <c r="E99" s="523"/>
    </row>
    <row r="100" spans="1:5" s="524" customFormat="1" x14ac:dyDescent="0.2">
      <c r="A100" s="523"/>
      <c r="B100" s="523"/>
      <c r="C100" s="523"/>
      <c r="D100" s="523"/>
      <c r="E100" s="523"/>
    </row>
    <row r="101" spans="1:5" s="524" customFormat="1" x14ac:dyDescent="0.2">
      <c r="A101" s="523"/>
      <c r="B101" s="523"/>
      <c r="C101" s="523"/>
      <c r="D101" s="523"/>
      <c r="E101" s="523"/>
    </row>
    <row r="102" spans="1:5" s="524" customFormat="1" x14ac:dyDescent="0.2">
      <c r="A102" s="523"/>
      <c r="B102" s="523"/>
      <c r="C102" s="523"/>
      <c r="D102" s="523"/>
      <c r="E102" s="523"/>
    </row>
    <row r="103" spans="1:5" s="524" customFormat="1" x14ac:dyDescent="0.2">
      <c r="A103" s="523"/>
      <c r="B103" s="523"/>
      <c r="C103" s="523"/>
      <c r="D103" s="523"/>
      <c r="E103" s="523"/>
    </row>
    <row r="104" spans="1:5" s="524" customFormat="1" x14ac:dyDescent="0.2">
      <c r="A104" s="523"/>
      <c r="B104" s="523"/>
      <c r="C104" s="523"/>
      <c r="D104" s="523"/>
      <c r="E104" s="523"/>
    </row>
    <row r="105" spans="1:5" s="524" customFormat="1" x14ac:dyDescent="0.2">
      <c r="A105" s="523"/>
      <c r="B105" s="523"/>
      <c r="C105" s="523"/>
      <c r="D105" s="523"/>
      <c r="E105" s="523"/>
    </row>
    <row r="106" spans="1:5" s="524" customFormat="1" x14ac:dyDescent="0.2">
      <c r="A106" s="523"/>
      <c r="B106" s="523"/>
      <c r="C106" s="523"/>
      <c r="D106" s="523"/>
      <c r="E106" s="523"/>
    </row>
    <row r="107" spans="1:5" s="524" customFormat="1" x14ac:dyDescent="0.2">
      <c r="A107" s="523"/>
      <c r="B107" s="523"/>
      <c r="C107" s="523"/>
      <c r="D107" s="523"/>
      <c r="E107" s="523"/>
    </row>
    <row r="108" spans="1:5" s="524" customFormat="1" x14ac:dyDescent="0.2">
      <c r="A108" s="523"/>
      <c r="B108" s="523"/>
      <c r="C108" s="523"/>
      <c r="D108" s="523"/>
      <c r="E108" s="523"/>
    </row>
    <row r="109" spans="1:5" s="524" customFormat="1" x14ac:dyDescent="0.2">
      <c r="A109" s="523"/>
      <c r="B109" s="523"/>
      <c r="C109" s="523"/>
      <c r="D109" s="523"/>
      <c r="E109" s="523"/>
    </row>
    <row r="110" spans="1:5" s="524" customFormat="1" x14ac:dyDescent="0.2">
      <c r="A110" s="523"/>
      <c r="B110" s="523"/>
      <c r="C110" s="523"/>
      <c r="D110" s="523"/>
      <c r="E110" s="523"/>
    </row>
    <row r="111" spans="1:5" s="524" customFormat="1" x14ac:dyDescent="0.2">
      <c r="A111" s="523"/>
      <c r="B111" s="523"/>
      <c r="C111" s="523"/>
      <c r="D111" s="523"/>
      <c r="E111" s="523"/>
    </row>
    <row r="112" spans="1:5" s="524" customFormat="1" x14ac:dyDescent="0.2">
      <c r="A112" s="523"/>
      <c r="B112" s="523"/>
      <c r="C112" s="523"/>
      <c r="D112" s="523"/>
      <c r="E112" s="523"/>
    </row>
    <row r="113" spans="1:5" s="524" customFormat="1" x14ac:dyDescent="0.2">
      <c r="A113" s="523"/>
      <c r="B113" s="523"/>
      <c r="C113" s="523"/>
      <c r="D113" s="523"/>
      <c r="E113" s="523"/>
    </row>
    <row r="114" spans="1:5" s="524" customFormat="1" x14ac:dyDescent="0.2">
      <c r="A114" s="523"/>
      <c r="B114" s="523"/>
      <c r="C114" s="523"/>
      <c r="D114" s="523"/>
      <c r="E114" s="523"/>
    </row>
    <row r="115" spans="1:5" s="524" customFormat="1" x14ac:dyDescent="0.2">
      <c r="A115" s="523"/>
      <c r="B115" s="523"/>
      <c r="C115" s="523"/>
      <c r="D115" s="523"/>
      <c r="E115" s="523"/>
    </row>
    <row r="116" spans="1:5" s="524" customFormat="1" x14ac:dyDescent="0.2">
      <c r="A116" s="523"/>
      <c r="B116" s="523"/>
      <c r="C116" s="523"/>
      <c r="D116" s="523"/>
      <c r="E116" s="523"/>
    </row>
    <row r="117" spans="1:5" s="524" customFormat="1" x14ac:dyDescent="0.2">
      <c r="A117" s="523"/>
      <c r="B117" s="523"/>
      <c r="C117" s="523"/>
      <c r="D117" s="523"/>
      <c r="E117" s="523"/>
    </row>
    <row r="118" spans="1:5" s="524" customFormat="1" x14ac:dyDescent="0.2">
      <c r="A118" s="523"/>
      <c r="B118" s="523"/>
      <c r="C118" s="523"/>
      <c r="D118" s="523"/>
      <c r="E118" s="523"/>
    </row>
    <row r="119" spans="1:5" s="524" customFormat="1" x14ac:dyDescent="0.2">
      <c r="A119" s="523"/>
      <c r="B119" s="523"/>
      <c r="C119" s="523"/>
      <c r="D119" s="523"/>
      <c r="E119" s="523"/>
    </row>
    <row r="120" spans="1:5" s="524" customFormat="1" x14ac:dyDescent="0.2">
      <c r="A120" s="523"/>
      <c r="B120" s="523"/>
      <c r="C120" s="523"/>
      <c r="D120" s="523"/>
      <c r="E120" s="523"/>
    </row>
    <row r="121" spans="1:5" s="524" customFormat="1" x14ac:dyDescent="0.2">
      <c r="A121" s="523"/>
      <c r="B121" s="523"/>
      <c r="C121" s="523"/>
      <c r="D121" s="523"/>
      <c r="E121" s="523"/>
    </row>
    <row r="122" spans="1:5" s="524" customFormat="1" x14ac:dyDescent="0.2">
      <c r="A122" s="523"/>
      <c r="B122" s="523"/>
      <c r="C122" s="523"/>
      <c r="D122" s="523"/>
      <c r="E122" s="523"/>
    </row>
    <row r="123" spans="1:5" s="524" customFormat="1" x14ac:dyDescent="0.2">
      <c r="A123" s="523"/>
      <c r="B123" s="523"/>
      <c r="C123" s="523"/>
      <c r="D123" s="523"/>
      <c r="E123" s="523"/>
    </row>
    <row r="124" spans="1:5" s="524" customFormat="1" x14ac:dyDescent="0.2">
      <c r="A124" s="523"/>
      <c r="B124" s="523"/>
      <c r="C124" s="523"/>
      <c r="D124" s="523"/>
      <c r="E124" s="523"/>
    </row>
    <row r="125" spans="1:5" s="524" customFormat="1" x14ac:dyDescent="0.2">
      <c r="A125" s="523"/>
      <c r="B125" s="523"/>
      <c r="C125" s="523"/>
      <c r="D125" s="523"/>
      <c r="E125" s="523"/>
    </row>
    <row r="126" spans="1:5" s="524" customFormat="1" x14ac:dyDescent="0.2">
      <c r="A126" s="523"/>
      <c r="B126" s="523"/>
      <c r="C126" s="523"/>
      <c r="D126" s="523"/>
      <c r="E126" s="523"/>
    </row>
    <row r="127" spans="1:5" s="524" customFormat="1" x14ac:dyDescent="0.2">
      <c r="A127" s="523"/>
      <c r="B127" s="523"/>
      <c r="C127" s="523"/>
      <c r="D127" s="523"/>
      <c r="E127" s="523"/>
    </row>
    <row r="128" spans="1:5" s="524" customFormat="1" x14ac:dyDescent="0.2">
      <c r="A128" s="523"/>
      <c r="B128" s="523"/>
      <c r="C128" s="523"/>
      <c r="D128" s="523"/>
      <c r="E128" s="523"/>
    </row>
    <row r="129" spans="1:5" s="524" customFormat="1" x14ac:dyDescent="0.2">
      <c r="A129" s="523"/>
      <c r="B129" s="523"/>
      <c r="C129" s="523"/>
      <c r="D129" s="523"/>
      <c r="E129" s="523"/>
    </row>
    <row r="130" spans="1:5" s="524" customFormat="1" x14ac:dyDescent="0.2">
      <c r="A130" s="523"/>
      <c r="B130" s="523"/>
      <c r="C130" s="523"/>
      <c r="D130" s="523"/>
      <c r="E130" s="523"/>
    </row>
    <row r="131" spans="1:5" s="524" customFormat="1" x14ac:dyDescent="0.2">
      <c r="A131" s="523"/>
      <c r="B131" s="523"/>
      <c r="C131" s="523"/>
      <c r="D131" s="523"/>
      <c r="E131" s="523"/>
    </row>
    <row r="132" spans="1:5" s="524" customFormat="1" x14ac:dyDescent="0.2">
      <c r="A132" s="523"/>
      <c r="B132" s="523"/>
      <c r="C132" s="523"/>
      <c r="D132" s="523"/>
      <c r="E132" s="523"/>
    </row>
    <row r="133" spans="1:5" s="524" customFormat="1" x14ac:dyDescent="0.2">
      <c r="A133" s="523"/>
      <c r="B133" s="523"/>
      <c r="C133" s="523"/>
      <c r="D133" s="523"/>
      <c r="E133" s="523"/>
    </row>
    <row r="134" spans="1:5" s="524" customFormat="1" x14ac:dyDescent="0.2">
      <c r="A134" s="523"/>
      <c r="B134" s="523"/>
      <c r="C134" s="523"/>
      <c r="D134" s="523"/>
      <c r="E134" s="523"/>
    </row>
    <row r="135" spans="1:5" s="524" customFormat="1" x14ac:dyDescent="0.2">
      <c r="A135" s="523"/>
      <c r="B135" s="523"/>
      <c r="C135" s="523"/>
      <c r="D135" s="523"/>
      <c r="E135" s="523"/>
    </row>
    <row r="136" spans="1:5" s="524" customFormat="1" x14ac:dyDescent="0.2">
      <c r="A136" s="523"/>
      <c r="B136" s="523"/>
      <c r="C136" s="523"/>
      <c r="D136" s="523"/>
      <c r="E136" s="523"/>
    </row>
    <row r="137" spans="1:5" s="524" customFormat="1" x14ac:dyDescent="0.2">
      <c r="A137" s="523"/>
      <c r="B137" s="523"/>
      <c r="C137" s="523"/>
      <c r="D137" s="523"/>
      <c r="E137" s="523"/>
    </row>
    <row r="138" spans="1:5" s="524" customFormat="1" x14ac:dyDescent="0.2">
      <c r="A138" s="523"/>
      <c r="B138" s="523"/>
      <c r="C138" s="523"/>
      <c r="D138" s="523"/>
      <c r="E138" s="523"/>
    </row>
    <row r="139" spans="1:5" s="524" customFormat="1" x14ac:dyDescent="0.2">
      <c r="A139" s="523"/>
      <c r="B139" s="523"/>
      <c r="C139" s="523"/>
      <c r="D139" s="523"/>
      <c r="E139" s="523"/>
    </row>
    <row r="140" spans="1:5" s="524" customFormat="1" x14ac:dyDescent="0.2">
      <c r="A140" s="523"/>
      <c r="B140" s="523"/>
      <c r="C140" s="523"/>
      <c r="D140" s="523"/>
      <c r="E140" s="523"/>
    </row>
    <row r="141" spans="1:5" s="524" customFormat="1" x14ac:dyDescent="0.2">
      <c r="A141" s="523"/>
      <c r="B141" s="523"/>
      <c r="C141" s="523"/>
      <c r="D141" s="523"/>
      <c r="E141" s="523"/>
    </row>
    <row r="142" spans="1:5" s="524" customFormat="1" x14ac:dyDescent="0.2">
      <c r="A142" s="523"/>
      <c r="B142" s="523"/>
      <c r="C142" s="523"/>
      <c r="D142" s="523"/>
      <c r="E142" s="523"/>
    </row>
    <row r="143" spans="1:5" s="524" customFormat="1" x14ac:dyDescent="0.2">
      <c r="A143" s="523"/>
      <c r="B143" s="523"/>
      <c r="C143" s="523"/>
      <c r="D143" s="523"/>
      <c r="E143" s="523"/>
    </row>
    <row r="144" spans="1:5" s="524" customFormat="1" x14ac:dyDescent="0.2">
      <c r="A144" s="523"/>
      <c r="B144" s="523"/>
      <c r="C144" s="523"/>
      <c r="D144" s="523"/>
      <c r="E144" s="523"/>
    </row>
    <row r="145" spans="1:5" s="524" customFormat="1" x14ac:dyDescent="0.2">
      <c r="A145" s="523"/>
      <c r="B145" s="523"/>
      <c r="C145" s="523"/>
      <c r="D145" s="523"/>
      <c r="E145" s="523"/>
    </row>
    <row r="146" spans="1:5" s="524" customFormat="1" x14ac:dyDescent="0.2">
      <c r="A146" s="523"/>
      <c r="B146" s="523"/>
      <c r="C146" s="523"/>
      <c r="D146" s="523"/>
      <c r="E146" s="523"/>
    </row>
    <row r="147" spans="1:5" s="524" customFormat="1" x14ac:dyDescent="0.2">
      <c r="A147" s="523"/>
      <c r="B147" s="523"/>
      <c r="C147" s="523"/>
      <c r="D147" s="523"/>
      <c r="E147" s="523"/>
    </row>
    <row r="148" spans="1:5" s="524" customFormat="1" x14ac:dyDescent="0.2">
      <c r="A148" s="523"/>
      <c r="B148" s="523"/>
      <c r="C148" s="523"/>
      <c r="D148" s="523"/>
      <c r="E148" s="523"/>
    </row>
    <row r="149" spans="1:5" s="524" customFormat="1" x14ac:dyDescent="0.2">
      <c r="A149" s="523"/>
      <c r="B149" s="523"/>
      <c r="C149" s="523"/>
      <c r="D149" s="523"/>
      <c r="E149" s="523"/>
    </row>
    <row r="150" spans="1:5" s="524" customFormat="1" x14ac:dyDescent="0.2">
      <c r="A150" s="523"/>
      <c r="B150" s="523"/>
      <c r="C150" s="523"/>
      <c r="D150" s="523"/>
      <c r="E150" s="523"/>
    </row>
    <row r="151" spans="1:5" s="524" customFormat="1" x14ac:dyDescent="0.2">
      <c r="A151" s="523"/>
      <c r="B151" s="523"/>
      <c r="C151" s="523"/>
      <c r="D151" s="523"/>
      <c r="E151" s="523"/>
    </row>
    <row r="152" spans="1:5" s="524" customFormat="1" x14ac:dyDescent="0.2">
      <c r="A152" s="523"/>
      <c r="B152" s="523"/>
      <c r="C152" s="523"/>
      <c r="D152" s="523"/>
      <c r="E152" s="523"/>
    </row>
    <row r="153" spans="1:5" s="524" customFormat="1" x14ac:dyDescent="0.2">
      <c r="A153" s="523"/>
      <c r="B153" s="523"/>
      <c r="C153" s="523"/>
      <c r="D153" s="523"/>
      <c r="E153" s="523"/>
    </row>
    <row r="154" spans="1:5" s="524" customFormat="1" x14ac:dyDescent="0.2">
      <c r="A154" s="523"/>
      <c r="B154" s="523"/>
      <c r="C154" s="523"/>
      <c r="D154" s="523"/>
      <c r="E154" s="523"/>
    </row>
    <row r="155" spans="1:5" s="524" customFormat="1" x14ac:dyDescent="0.2">
      <c r="A155" s="523"/>
      <c r="B155" s="523"/>
      <c r="C155" s="523"/>
      <c r="D155" s="523"/>
      <c r="E155" s="523"/>
    </row>
    <row r="156" spans="1:5" s="524" customFormat="1" x14ac:dyDescent="0.2">
      <c r="A156" s="523"/>
      <c r="B156" s="523"/>
      <c r="C156" s="523"/>
      <c r="D156" s="523"/>
      <c r="E156" s="523"/>
    </row>
    <row r="157" spans="1:5" s="524" customFormat="1" x14ac:dyDescent="0.2">
      <c r="A157" s="523"/>
      <c r="B157" s="523"/>
      <c r="C157" s="523"/>
      <c r="D157" s="523"/>
      <c r="E157" s="523"/>
    </row>
    <row r="158" spans="1:5" s="524" customFormat="1" x14ac:dyDescent="0.2">
      <c r="A158" s="523"/>
      <c r="B158" s="523"/>
      <c r="C158" s="523"/>
      <c r="D158" s="523"/>
      <c r="E158" s="523"/>
    </row>
    <row r="159" spans="1:5" s="524" customFormat="1" x14ac:dyDescent="0.2">
      <c r="A159" s="523"/>
      <c r="B159" s="523"/>
      <c r="C159" s="523"/>
      <c r="D159" s="523"/>
      <c r="E159" s="523"/>
    </row>
    <row r="160" spans="1:5" s="524" customFormat="1" x14ac:dyDescent="0.2">
      <c r="A160" s="523"/>
      <c r="B160" s="523"/>
      <c r="C160" s="523"/>
      <c r="D160" s="523"/>
      <c r="E160" s="523"/>
    </row>
    <row r="161" spans="1:5" s="524" customFormat="1" x14ac:dyDescent="0.2">
      <c r="A161" s="523"/>
      <c r="B161" s="523"/>
      <c r="C161" s="523"/>
      <c r="D161" s="523"/>
      <c r="E161" s="523"/>
    </row>
    <row r="162" spans="1:5" s="524" customFormat="1" x14ac:dyDescent="0.2">
      <c r="A162" s="523"/>
      <c r="B162" s="523"/>
      <c r="C162" s="523"/>
      <c r="D162" s="523"/>
      <c r="E162" s="523"/>
    </row>
    <row r="163" spans="1:5" s="524" customFormat="1" x14ac:dyDescent="0.2">
      <c r="A163" s="523"/>
      <c r="B163" s="523"/>
      <c r="C163" s="523"/>
      <c r="D163" s="523"/>
      <c r="E163" s="523"/>
    </row>
    <row r="164" spans="1:5" s="524" customFormat="1" x14ac:dyDescent="0.2">
      <c r="A164" s="523"/>
      <c r="B164" s="523"/>
      <c r="C164" s="523"/>
      <c r="D164" s="523"/>
      <c r="E164" s="523"/>
    </row>
    <row r="165" spans="1:5" s="524" customFormat="1" x14ac:dyDescent="0.2">
      <c r="A165" s="523"/>
      <c r="B165" s="523"/>
      <c r="C165" s="523"/>
      <c r="D165" s="523"/>
      <c r="E165" s="523"/>
    </row>
    <row r="166" spans="1:5" s="524" customFormat="1" x14ac:dyDescent="0.2">
      <c r="A166" s="523"/>
      <c r="B166" s="523"/>
      <c r="C166" s="523"/>
      <c r="D166" s="523"/>
      <c r="E166" s="523"/>
    </row>
    <row r="167" spans="1:5" s="524" customFormat="1" x14ac:dyDescent="0.2">
      <c r="A167" s="523"/>
      <c r="B167" s="523"/>
      <c r="C167" s="523"/>
      <c r="D167" s="523"/>
      <c r="E167" s="523"/>
    </row>
    <row r="168" spans="1:5" s="524" customFormat="1" x14ac:dyDescent="0.2">
      <c r="A168" s="523"/>
      <c r="B168" s="523"/>
      <c r="C168" s="523"/>
      <c r="D168" s="523"/>
      <c r="E168" s="523"/>
    </row>
    <row r="169" spans="1:5" s="524" customFormat="1" x14ac:dyDescent="0.2">
      <c r="A169" s="523"/>
      <c r="B169" s="523"/>
      <c r="C169" s="523"/>
      <c r="D169" s="523"/>
      <c r="E169" s="523"/>
    </row>
    <row r="170" spans="1:5" s="524" customFormat="1" x14ac:dyDescent="0.2">
      <c r="A170" s="523"/>
      <c r="B170" s="523"/>
      <c r="C170" s="523"/>
      <c r="D170" s="523"/>
      <c r="E170" s="523"/>
    </row>
    <row r="171" spans="1:5" s="524" customFormat="1" x14ac:dyDescent="0.2">
      <c r="A171" s="523"/>
      <c r="B171" s="523"/>
      <c r="C171" s="523"/>
      <c r="D171" s="523"/>
      <c r="E171" s="523"/>
    </row>
    <row r="172" spans="1:5" s="524" customFormat="1" x14ac:dyDescent="0.2">
      <c r="A172" s="523"/>
      <c r="B172" s="523"/>
      <c r="C172" s="523"/>
      <c r="D172" s="523"/>
      <c r="E172" s="523"/>
    </row>
    <row r="173" spans="1:5" s="524" customFormat="1" x14ac:dyDescent="0.2">
      <c r="A173" s="523"/>
      <c r="B173" s="523"/>
      <c r="C173" s="523"/>
      <c r="D173" s="523"/>
      <c r="E173" s="523"/>
    </row>
    <row r="174" spans="1:5" s="524" customFormat="1" x14ac:dyDescent="0.2">
      <c r="A174" s="523"/>
      <c r="B174" s="523"/>
      <c r="C174" s="523"/>
      <c r="D174" s="523"/>
      <c r="E174" s="523"/>
    </row>
    <row r="175" spans="1:5" s="524" customFormat="1" x14ac:dyDescent="0.2">
      <c r="A175" s="523"/>
      <c r="B175" s="523"/>
      <c r="C175" s="523"/>
      <c r="D175" s="523"/>
      <c r="E175" s="523"/>
    </row>
    <row r="176" spans="1:5" s="524" customFormat="1" x14ac:dyDescent="0.2">
      <c r="A176" s="523"/>
      <c r="B176" s="523"/>
      <c r="C176" s="523"/>
      <c r="D176" s="523"/>
      <c r="E176" s="523"/>
    </row>
    <row r="177" spans="1:5" s="524" customFormat="1" x14ac:dyDescent="0.2">
      <c r="A177" s="523"/>
      <c r="B177" s="523"/>
      <c r="C177" s="523"/>
      <c r="D177" s="523"/>
      <c r="E177" s="523"/>
    </row>
    <row r="178" spans="1:5" s="524" customFormat="1" x14ac:dyDescent="0.2">
      <c r="A178" s="523"/>
      <c r="B178" s="523"/>
      <c r="C178" s="523"/>
      <c r="D178" s="523"/>
      <c r="E178" s="523"/>
    </row>
    <row r="179" spans="1:5" s="524" customFormat="1" x14ac:dyDescent="0.2">
      <c r="A179" s="523"/>
      <c r="B179" s="523"/>
      <c r="C179" s="523"/>
      <c r="D179" s="523"/>
      <c r="E179" s="523"/>
    </row>
    <row r="180" spans="1:5" s="524" customFormat="1" x14ac:dyDescent="0.2">
      <c r="A180" s="523"/>
      <c r="B180" s="523"/>
      <c r="C180" s="523"/>
      <c r="D180" s="523"/>
      <c r="E180" s="523"/>
    </row>
    <row r="181" spans="1:5" s="524" customFormat="1" x14ac:dyDescent="0.2">
      <c r="A181" s="523"/>
      <c r="B181" s="523"/>
      <c r="C181" s="523"/>
      <c r="D181" s="523"/>
      <c r="E181" s="523"/>
    </row>
    <row r="182" spans="1:5" s="524" customFormat="1" x14ac:dyDescent="0.2">
      <c r="A182" s="523"/>
      <c r="B182" s="523"/>
      <c r="C182" s="523"/>
      <c r="D182" s="523"/>
      <c r="E182" s="523"/>
    </row>
    <row r="183" spans="1:5" s="524" customFormat="1" x14ac:dyDescent="0.2">
      <c r="A183" s="523"/>
      <c r="B183" s="523"/>
      <c r="C183" s="523"/>
      <c r="D183" s="523"/>
      <c r="E183" s="523"/>
    </row>
    <row r="184" spans="1:5" s="524" customFormat="1" x14ac:dyDescent="0.2">
      <c r="A184" s="523"/>
      <c r="B184" s="523"/>
      <c r="C184" s="523"/>
      <c r="D184" s="523"/>
      <c r="E184" s="523"/>
    </row>
    <row r="185" spans="1:5" s="524" customFormat="1" x14ac:dyDescent="0.2">
      <c r="A185" s="523"/>
      <c r="B185" s="523"/>
      <c r="C185" s="523"/>
      <c r="D185" s="523"/>
      <c r="E185" s="523"/>
    </row>
    <row r="186" spans="1:5" s="524" customFormat="1" x14ac:dyDescent="0.2">
      <c r="A186" s="523"/>
      <c r="B186" s="523"/>
      <c r="C186" s="523"/>
      <c r="D186" s="523"/>
      <c r="E186" s="523"/>
    </row>
    <row r="187" spans="1:5" s="524" customFormat="1" x14ac:dyDescent="0.2">
      <c r="A187" s="523"/>
      <c r="B187" s="523"/>
      <c r="C187" s="523"/>
      <c r="D187" s="523"/>
      <c r="E187" s="523"/>
    </row>
    <row r="188" spans="1:5" s="524" customFormat="1" x14ac:dyDescent="0.2">
      <c r="A188" s="523"/>
      <c r="B188" s="523"/>
      <c r="C188" s="523"/>
      <c r="D188" s="523"/>
      <c r="E188" s="523"/>
    </row>
    <row r="189" spans="1:5" s="524" customFormat="1" x14ac:dyDescent="0.2">
      <c r="A189" s="523"/>
      <c r="B189" s="523"/>
      <c r="C189" s="523"/>
      <c r="D189" s="523"/>
      <c r="E189" s="523"/>
    </row>
    <row r="190" spans="1:5" s="524" customFormat="1" x14ac:dyDescent="0.2">
      <c r="A190" s="523"/>
      <c r="B190" s="523"/>
      <c r="C190" s="523"/>
      <c r="D190" s="523"/>
      <c r="E190" s="523"/>
    </row>
    <row r="191" spans="1:5" s="524" customFormat="1" x14ac:dyDescent="0.2">
      <c r="A191" s="523"/>
      <c r="B191" s="523"/>
      <c r="C191" s="523"/>
      <c r="D191" s="523"/>
      <c r="E191" s="523"/>
    </row>
    <row r="192" spans="1:5" s="524" customFormat="1" x14ac:dyDescent="0.2">
      <c r="A192" s="523"/>
      <c r="B192" s="523"/>
      <c r="C192" s="523"/>
      <c r="D192" s="523"/>
      <c r="E192" s="523"/>
    </row>
    <row r="193" spans="1:5" s="524" customFormat="1" x14ac:dyDescent="0.2">
      <c r="A193" s="523"/>
      <c r="B193" s="523"/>
      <c r="C193" s="523"/>
      <c r="D193" s="523"/>
      <c r="E193" s="523"/>
    </row>
    <row r="194" spans="1:5" s="524" customFormat="1" x14ac:dyDescent="0.2">
      <c r="A194" s="523"/>
      <c r="B194" s="523"/>
      <c r="C194" s="523"/>
      <c r="D194" s="523"/>
      <c r="E194" s="523"/>
    </row>
    <row r="195" spans="1:5" s="524" customFormat="1" x14ac:dyDescent="0.2">
      <c r="A195" s="523"/>
      <c r="B195" s="523"/>
      <c r="C195" s="523"/>
      <c r="D195" s="523"/>
      <c r="E195" s="523"/>
    </row>
    <row r="196" spans="1:5" s="524" customFormat="1" x14ac:dyDescent="0.2">
      <c r="A196" s="523"/>
      <c r="B196" s="523"/>
      <c r="C196" s="523"/>
      <c r="D196" s="523"/>
      <c r="E196" s="523"/>
    </row>
    <row r="197" spans="1:5" s="524" customFormat="1" x14ac:dyDescent="0.2">
      <c r="A197" s="523"/>
      <c r="B197" s="523"/>
      <c r="C197" s="523"/>
      <c r="D197" s="523"/>
      <c r="E197" s="523"/>
    </row>
    <row r="198" spans="1:5" s="524" customFormat="1" x14ac:dyDescent="0.2">
      <c r="A198" s="523"/>
      <c r="B198" s="523"/>
      <c r="C198" s="523"/>
      <c r="D198" s="523"/>
      <c r="E198" s="523"/>
    </row>
    <row r="199" spans="1:5" s="524" customFormat="1" x14ac:dyDescent="0.2">
      <c r="A199" s="523"/>
      <c r="B199" s="523"/>
      <c r="C199" s="523"/>
      <c r="D199" s="523"/>
      <c r="E199" s="523"/>
    </row>
    <row r="200" spans="1:5" s="524" customFormat="1" x14ac:dyDescent="0.2">
      <c r="A200" s="523"/>
      <c r="B200" s="523"/>
      <c r="C200" s="523"/>
      <c r="D200" s="523"/>
      <c r="E200" s="523"/>
    </row>
    <row r="201" spans="1:5" s="524" customFormat="1" x14ac:dyDescent="0.2">
      <c r="A201" s="523"/>
      <c r="B201" s="523"/>
      <c r="C201" s="523"/>
      <c r="D201" s="523"/>
      <c r="E201" s="523"/>
    </row>
    <row r="202" spans="1:5" s="524" customFormat="1" x14ac:dyDescent="0.2">
      <c r="A202" s="523"/>
      <c r="B202" s="523"/>
      <c r="C202" s="523"/>
      <c r="D202" s="523"/>
      <c r="E202" s="523"/>
    </row>
    <row r="203" spans="1:5" s="524" customFormat="1" x14ac:dyDescent="0.2">
      <c r="A203" s="523"/>
      <c r="B203" s="523"/>
      <c r="C203" s="523"/>
      <c r="D203" s="523"/>
      <c r="E203" s="523"/>
    </row>
    <row r="204" spans="1:5" s="524" customFormat="1" x14ac:dyDescent="0.2">
      <c r="A204" s="523"/>
      <c r="B204" s="523"/>
      <c r="C204" s="523"/>
      <c r="D204" s="523"/>
      <c r="E204" s="523"/>
    </row>
    <row r="205" spans="1:5" s="524" customFormat="1" x14ac:dyDescent="0.2">
      <c r="A205" s="523"/>
      <c r="B205" s="523"/>
      <c r="C205" s="523"/>
      <c r="D205" s="523"/>
      <c r="E205" s="523"/>
    </row>
    <row r="206" spans="1:5" s="524" customFormat="1" x14ac:dyDescent="0.2">
      <c r="A206" s="523"/>
      <c r="B206" s="523"/>
      <c r="C206" s="523"/>
      <c r="D206" s="523"/>
      <c r="E206" s="523"/>
    </row>
    <row r="207" spans="1:5" s="524" customFormat="1" x14ac:dyDescent="0.2">
      <c r="A207" s="523"/>
      <c r="B207" s="523"/>
      <c r="C207" s="523"/>
      <c r="D207" s="523"/>
      <c r="E207" s="523"/>
    </row>
    <row r="208" spans="1:5" s="524" customFormat="1" x14ac:dyDescent="0.2">
      <c r="A208" s="523"/>
      <c r="B208" s="523"/>
      <c r="C208" s="523"/>
      <c r="D208" s="523"/>
      <c r="E208" s="523"/>
    </row>
    <row r="209" spans="1:5" s="524" customFormat="1" x14ac:dyDescent="0.2">
      <c r="A209" s="523"/>
      <c r="B209" s="523"/>
      <c r="C209" s="523"/>
      <c r="D209" s="523"/>
      <c r="E209" s="523"/>
    </row>
    <row r="210" spans="1:5" s="524" customFormat="1" x14ac:dyDescent="0.2">
      <c r="A210" s="523"/>
      <c r="B210" s="523"/>
      <c r="C210" s="523"/>
      <c r="D210" s="523"/>
      <c r="E210" s="523"/>
    </row>
    <row r="211" spans="1:5" s="524" customFormat="1" x14ac:dyDescent="0.2">
      <c r="A211" s="523"/>
      <c r="B211" s="523"/>
      <c r="C211" s="523"/>
      <c r="D211" s="523"/>
      <c r="E211" s="523"/>
    </row>
    <row r="212" spans="1:5" s="524" customFormat="1" x14ac:dyDescent="0.2">
      <c r="A212" s="523"/>
      <c r="B212" s="523"/>
      <c r="C212" s="523"/>
      <c r="D212" s="523"/>
      <c r="E212" s="523"/>
    </row>
    <row r="213" spans="1:5" s="524" customFormat="1" x14ac:dyDescent="0.2">
      <c r="A213" s="523"/>
      <c r="B213" s="523"/>
      <c r="C213" s="523"/>
      <c r="D213" s="523"/>
      <c r="E213" s="523"/>
    </row>
    <row r="214" spans="1:5" s="524" customFormat="1" x14ac:dyDescent="0.2">
      <c r="A214" s="523"/>
      <c r="B214" s="523"/>
      <c r="C214" s="523"/>
      <c r="D214" s="523"/>
      <c r="E214" s="523"/>
    </row>
    <row r="215" spans="1:5" s="524" customFormat="1" x14ac:dyDescent="0.2">
      <c r="A215" s="523"/>
      <c r="B215" s="523"/>
      <c r="C215" s="523"/>
      <c r="D215" s="523"/>
      <c r="E215" s="523"/>
    </row>
    <row r="216" spans="1:5" s="524" customFormat="1" x14ac:dyDescent="0.2">
      <c r="A216" s="523"/>
      <c r="B216" s="523"/>
      <c r="C216" s="523"/>
      <c r="D216" s="523"/>
      <c r="E216" s="523"/>
    </row>
    <row r="217" spans="1:5" s="524" customFormat="1" x14ac:dyDescent="0.2">
      <c r="A217" s="523"/>
      <c r="B217" s="523"/>
      <c r="C217" s="523"/>
      <c r="D217" s="523"/>
      <c r="E217" s="523"/>
    </row>
    <row r="218" spans="1:5" s="524" customFormat="1" x14ac:dyDescent="0.2">
      <c r="A218" s="523"/>
      <c r="B218" s="523"/>
      <c r="C218" s="523"/>
      <c r="D218" s="523"/>
      <c r="E218" s="523"/>
    </row>
    <row r="219" spans="1:5" s="524" customFormat="1" x14ac:dyDescent="0.2">
      <c r="A219" s="523"/>
      <c r="B219" s="523"/>
      <c r="C219" s="523"/>
      <c r="D219" s="523"/>
      <c r="E219" s="523"/>
    </row>
    <row r="220" spans="1:5" s="524" customFormat="1" x14ac:dyDescent="0.2">
      <c r="A220" s="523"/>
      <c r="B220" s="523"/>
      <c r="C220" s="523"/>
      <c r="D220" s="523"/>
      <c r="E220" s="523"/>
    </row>
    <row r="221" spans="1:5" s="524" customFormat="1" x14ac:dyDescent="0.2">
      <c r="A221" s="523"/>
      <c r="B221" s="523"/>
      <c r="C221" s="523"/>
      <c r="D221" s="523"/>
      <c r="E221" s="523"/>
    </row>
    <row r="222" spans="1:5" s="524" customFormat="1" x14ac:dyDescent="0.2">
      <c r="A222" s="523"/>
      <c r="B222" s="523"/>
      <c r="C222" s="523"/>
      <c r="D222" s="523"/>
      <c r="E222" s="523"/>
    </row>
    <row r="223" spans="1:5" s="524" customFormat="1" x14ac:dyDescent="0.2">
      <c r="A223" s="523"/>
      <c r="B223" s="523"/>
      <c r="C223" s="523"/>
      <c r="D223" s="523"/>
      <c r="E223" s="523"/>
    </row>
    <row r="224" spans="1:5" s="524" customFormat="1" x14ac:dyDescent="0.2">
      <c r="A224" s="523"/>
      <c r="B224" s="523"/>
      <c r="C224" s="523"/>
      <c r="D224" s="523"/>
      <c r="E224" s="523"/>
    </row>
    <row r="225" spans="1:5" s="524" customFormat="1" x14ac:dyDescent="0.2">
      <c r="A225" s="523"/>
      <c r="B225" s="523"/>
      <c r="C225" s="523"/>
      <c r="D225" s="523"/>
      <c r="E225" s="523"/>
    </row>
    <row r="226" spans="1:5" s="524" customFormat="1" x14ac:dyDescent="0.2">
      <c r="A226" s="523"/>
      <c r="B226" s="523"/>
      <c r="C226" s="523"/>
      <c r="D226" s="523"/>
      <c r="E226" s="523"/>
    </row>
    <row r="227" spans="1:5" s="524" customFormat="1" x14ac:dyDescent="0.2">
      <c r="A227" s="523"/>
      <c r="B227" s="523"/>
      <c r="C227" s="523"/>
      <c r="D227" s="523"/>
      <c r="E227" s="523"/>
    </row>
    <row r="228" spans="1:5" s="524" customFormat="1" x14ac:dyDescent="0.2">
      <c r="A228" s="523"/>
      <c r="B228" s="523"/>
      <c r="C228" s="523"/>
      <c r="D228" s="523"/>
      <c r="E228" s="523"/>
    </row>
    <row r="229" spans="1:5" s="524" customFormat="1" x14ac:dyDescent="0.2">
      <c r="A229" s="523"/>
      <c r="B229" s="523"/>
      <c r="C229" s="523"/>
      <c r="D229" s="523"/>
      <c r="E229" s="523"/>
    </row>
    <row r="230" spans="1:5" s="524" customFormat="1" x14ac:dyDescent="0.2">
      <c r="A230" s="523"/>
      <c r="B230" s="523"/>
      <c r="C230" s="523"/>
      <c r="D230" s="523"/>
      <c r="E230" s="523"/>
    </row>
    <row r="231" spans="1:5" s="524" customFormat="1" x14ac:dyDescent="0.2">
      <c r="A231" s="523"/>
      <c r="B231" s="523"/>
      <c r="C231" s="523"/>
      <c r="D231" s="523"/>
      <c r="E231" s="523"/>
    </row>
    <row r="232" spans="1:5" s="524" customFormat="1" x14ac:dyDescent="0.2">
      <c r="A232" s="523"/>
      <c r="B232" s="523"/>
      <c r="C232" s="523"/>
      <c r="D232" s="523"/>
      <c r="E232" s="523"/>
    </row>
    <row r="233" spans="1:5" s="524" customFormat="1" x14ac:dyDescent="0.2">
      <c r="A233" s="523"/>
      <c r="B233" s="523"/>
      <c r="C233" s="523"/>
      <c r="D233" s="523"/>
      <c r="E233" s="523"/>
    </row>
    <row r="234" spans="1:5" s="524" customFormat="1" x14ac:dyDescent="0.2">
      <c r="A234" s="523"/>
      <c r="B234" s="523"/>
      <c r="C234" s="523"/>
      <c r="D234" s="523"/>
      <c r="E234" s="523"/>
    </row>
    <row r="235" spans="1:5" s="524" customFormat="1" x14ac:dyDescent="0.2">
      <c r="A235" s="523"/>
      <c r="B235" s="523"/>
      <c r="C235" s="523"/>
      <c r="D235" s="523"/>
      <c r="E235" s="523"/>
    </row>
    <row r="236" spans="1:5" s="524" customFormat="1" x14ac:dyDescent="0.2">
      <c r="A236" s="523"/>
      <c r="B236" s="523"/>
      <c r="C236" s="523"/>
      <c r="D236" s="523"/>
      <c r="E236" s="523"/>
    </row>
    <row r="237" spans="1:5" s="524" customFormat="1" x14ac:dyDescent="0.2">
      <c r="A237" s="523"/>
      <c r="B237" s="523"/>
      <c r="C237" s="523"/>
      <c r="D237" s="523"/>
      <c r="E237" s="523"/>
    </row>
    <row r="238" spans="1:5" s="524" customFormat="1" x14ac:dyDescent="0.2">
      <c r="A238" s="523"/>
      <c r="B238" s="523"/>
      <c r="C238" s="523"/>
      <c r="D238" s="523"/>
      <c r="E238" s="523"/>
    </row>
    <row r="239" spans="1:5" s="524" customFormat="1" x14ac:dyDescent="0.2">
      <c r="A239" s="523"/>
      <c r="B239" s="523"/>
      <c r="C239" s="523"/>
      <c r="D239" s="523"/>
      <c r="E239" s="523"/>
    </row>
    <row r="240" spans="1:5" s="524" customFormat="1" x14ac:dyDescent="0.2">
      <c r="A240" s="523"/>
      <c r="B240" s="523"/>
      <c r="C240" s="523"/>
      <c r="D240" s="523"/>
      <c r="E240" s="523"/>
    </row>
    <row r="241" spans="1:5" s="524" customFormat="1" x14ac:dyDescent="0.2">
      <c r="A241" s="523"/>
      <c r="B241" s="523"/>
      <c r="C241" s="523"/>
      <c r="D241" s="523"/>
      <c r="E241" s="523"/>
    </row>
    <row r="242" spans="1:5" s="524" customFormat="1" x14ac:dyDescent="0.2">
      <c r="A242" s="523"/>
      <c r="B242" s="523"/>
      <c r="C242" s="523"/>
      <c r="D242" s="523"/>
      <c r="E242" s="523"/>
    </row>
    <row r="243" spans="1:5" s="524" customFormat="1" x14ac:dyDescent="0.2">
      <c r="A243" s="523"/>
      <c r="B243" s="523"/>
      <c r="C243" s="523"/>
      <c r="D243" s="523"/>
      <c r="E243" s="523"/>
    </row>
    <row r="244" spans="1:5" s="524" customFormat="1" x14ac:dyDescent="0.2">
      <c r="A244" s="523"/>
      <c r="B244" s="523"/>
      <c r="C244" s="523"/>
      <c r="D244" s="523"/>
      <c r="E244" s="523"/>
    </row>
    <row r="245" spans="1:5" s="524" customFormat="1" x14ac:dyDescent="0.2">
      <c r="A245" s="523"/>
      <c r="B245" s="523"/>
      <c r="C245" s="523"/>
      <c r="D245" s="523"/>
      <c r="E245" s="523"/>
    </row>
    <row r="246" spans="1:5" s="524" customFormat="1" x14ac:dyDescent="0.2">
      <c r="A246" s="523"/>
      <c r="B246" s="523"/>
      <c r="C246" s="523"/>
      <c r="D246" s="523"/>
      <c r="E246" s="523"/>
    </row>
    <row r="247" spans="1:5" s="524" customFormat="1" x14ac:dyDescent="0.2">
      <c r="A247" s="523"/>
      <c r="B247" s="523"/>
      <c r="C247" s="523"/>
      <c r="D247" s="523"/>
      <c r="E247" s="523"/>
    </row>
    <row r="248" spans="1:5" s="524" customFormat="1" x14ac:dyDescent="0.2">
      <c r="A248" s="523"/>
      <c r="B248" s="523"/>
      <c r="C248" s="523"/>
      <c r="D248" s="523"/>
      <c r="E248" s="523"/>
    </row>
    <row r="249" spans="1:5" s="524" customFormat="1" x14ac:dyDescent="0.2">
      <c r="A249" s="523"/>
      <c r="B249" s="523"/>
      <c r="C249" s="523"/>
      <c r="D249" s="523"/>
      <c r="E249" s="523"/>
    </row>
    <row r="250" spans="1:5" s="524" customFormat="1" x14ac:dyDescent="0.2">
      <c r="A250" s="523"/>
      <c r="B250" s="523"/>
      <c r="C250" s="523"/>
      <c r="D250" s="523"/>
      <c r="E250" s="523"/>
    </row>
    <row r="251" spans="1:5" s="524" customFormat="1" x14ac:dyDescent="0.2">
      <c r="A251" s="523"/>
      <c r="B251" s="523"/>
      <c r="C251" s="523"/>
      <c r="D251" s="523"/>
      <c r="E251" s="523"/>
    </row>
    <row r="252" spans="1:5" s="524" customFormat="1" x14ac:dyDescent="0.2">
      <c r="A252" s="523"/>
      <c r="B252" s="523"/>
      <c r="C252" s="523"/>
      <c r="D252" s="523"/>
      <c r="E252" s="523"/>
    </row>
    <row r="253" spans="1:5" s="524" customFormat="1" x14ac:dyDescent="0.2">
      <c r="A253" s="523"/>
      <c r="B253" s="523"/>
      <c r="C253" s="523"/>
      <c r="D253" s="523"/>
      <c r="E253" s="523"/>
    </row>
    <row r="254" spans="1:5" s="524" customFormat="1" x14ac:dyDescent="0.2">
      <c r="A254" s="523"/>
      <c r="B254" s="523"/>
      <c r="C254" s="523"/>
      <c r="D254" s="523"/>
      <c r="E254" s="523"/>
    </row>
    <row r="255" spans="1:5" s="524" customFormat="1" x14ac:dyDescent="0.2">
      <c r="A255" s="523"/>
      <c r="B255" s="523"/>
      <c r="C255" s="523"/>
      <c r="D255" s="523"/>
      <c r="E255" s="523"/>
    </row>
    <row r="256" spans="1:5" s="524" customFormat="1" x14ac:dyDescent="0.2">
      <c r="A256" s="523"/>
      <c r="B256" s="523"/>
      <c r="C256" s="523"/>
      <c r="D256" s="523"/>
      <c r="E256" s="523"/>
    </row>
    <row r="257" spans="1:5" s="524" customFormat="1" x14ac:dyDescent="0.2">
      <c r="A257" s="523"/>
      <c r="B257" s="523"/>
      <c r="C257" s="523"/>
      <c r="D257" s="523"/>
      <c r="E257" s="523"/>
    </row>
    <row r="258" spans="1:5" s="524" customFormat="1" x14ac:dyDescent="0.2">
      <c r="A258" s="523"/>
      <c r="B258" s="523"/>
      <c r="C258" s="523"/>
      <c r="D258" s="523"/>
      <c r="E258" s="523"/>
    </row>
    <row r="259" spans="1:5" s="524" customFormat="1" x14ac:dyDescent="0.2">
      <c r="A259" s="523"/>
      <c r="B259" s="523"/>
      <c r="C259" s="523"/>
      <c r="D259" s="523"/>
      <c r="E259" s="523"/>
    </row>
    <row r="260" spans="1:5" s="524" customFormat="1" x14ac:dyDescent="0.2">
      <c r="A260" s="523"/>
      <c r="B260" s="523"/>
      <c r="C260" s="523"/>
      <c r="D260" s="523"/>
      <c r="E260" s="523"/>
    </row>
    <row r="261" spans="1:5" s="524" customFormat="1" x14ac:dyDescent="0.2">
      <c r="A261" s="523"/>
      <c r="B261" s="523"/>
      <c r="C261" s="523"/>
      <c r="D261" s="523"/>
      <c r="E261" s="523"/>
    </row>
    <row r="262" spans="1:5" s="524" customFormat="1" x14ac:dyDescent="0.2">
      <c r="A262" s="523"/>
      <c r="B262" s="523"/>
      <c r="C262" s="523"/>
      <c r="D262" s="523"/>
      <c r="E262" s="523"/>
    </row>
    <row r="263" spans="1:5" s="524" customFormat="1" x14ac:dyDescent="0.2">
      <c r="A263" s="523"/>
      <c r="B263" s="523"/>
      <c r="C263" s="523"/>
      <c r="D263" s="523"/>
      <c r="E263" s="523"/>
    </row>
    <row r="264" spans="1:5" s="524" customFormat="1" x14ac:dyDescent="0.2">
      <c r="A264" s="523"/>
      <c r="B264" s="523"/>
      <c r="C264" s="523"/>
      <c r="D264" s="523"/>
      <c r="E264" s="523"/>
    </row>
    <row r="265" spans="1:5" s="524" customFormat="1" x14ac:dyDescent="0.2">
      <c r="A265" s="523"/>
      <c r="B265" s="523"/>
      <c r="C265" s="523"/>
      <c r="D265" s="523"/>
      <c r="E265" s="523"/>
    </row>
    <row r="266" spans="1:5" s="524" customFormat="1" x14ac:dyDescent="0.2">
      <c r="A266" s="523"/>
      <c r="B266" s="523"/>
      <c r="C266" s="523"/>
      <c r="D266" s="523"/>
      <c r="E266" s="523"/>
    </row>
    <row r="267" spans="1:5" s="524" customFormat="1" x14ac:dyDescent="0.2">
      <c r="A267" s="523"/>
      <c r="B267" s="523"/>
      <c r="C267" s="523"/>
      <c r="D267" s="523"/>
      <c r="E267" s="523"/>
    </row>
    <row r="268" spans="1:5" s="524" customFormat="1" x14ac:dyDescent="0.2">
      <c r="A268" s="523"/>
      <c r="B268" s="523"/>
      <c r="C268" s="523"/>
      <c r="D268" s="523"/>
      <c r="E268" s="523"/>
    </row>
    <row r="269" spans="1:5" s="524" customFormat="1" x14ac:dyDescent="0.2">
      <c r="A269" s="523"/>
      <c r="B269" s="523"/>
      <c r="C269" s="523"/>
      <c r="D269" s="523"/>
      <c r="E269" s="523"/>
    </row>
    <row r="270" spans="1:5" s="524" customFormat="1" x14ac:dyDescent="0.2">
      <c r="A270" s="523"/>
      <c r="B270" s="523"/>
      <c r="C270" s="523"/>
      <c r="D270" s="523"/>
      <c r="E270" s="523"/>
    </row>
    <row r="271" spans="1:5" s="524" customFormat="1" x14ac:dyDescent="0.2">
      <c r="A271" s="523"/>
      <c r="B271" s="523"/>
      <c r="C271" s="523"/>
      <c r="D271" s="523"/>
      <c r="E271" s="523"/>
    </row>
    <row r="272" spans="1:5" s="524" customFormat="1" x14ac:dyDescent="0.2">
      <c r="A272" s="523"/>
      <c r="B272" s="523"/>
      <c r="C272" s="523"/>
      <c r="D272" s="523"/>
      <c r="E272" s="523"/>
    </row>
    <row r="273" spans="1:5" s="524" customFormat="1" x14ac:dyDescent="0.2">
      <c r="A273" s="523"/>
      <c r="B273" s="523"/>
      <c r="C273" s="523"/>
      <c r="D273" s="523"/>
      <c r="E273" s="523"/>
    </row>
    <row r="274" spans="1:5" s="524" customFormat="1" x14ac:dyDescent="0.2">
      <c r="A274" s="523"/>
      <c r="B274" s="523"/>
      <c r="C274" s="523"/>
      <c r="D274" s="523"/>
      <c r="E274" s="523"/>
    </row>
    <row r="275" spans="1:5" s="524" customFormat="1" x14ac:dyDescent="0.2">
      <c r="A275" s="523"/>
      <c r="B275" s="523"/>
      <c r="C275" s="523"/>
      <c r="D275" s="523"/>
      <c r="E275" s="523"/>
    </row>
    <row r="276" spans="1:5" s="524" customFormat="1" x14ac:dyDescent="0.2">
      <c r="A276" s="523"/>
      <c r="B276" s="523"/>
      <c r="C276" s="523"/>
      <c r="D276" s="523"/>
      <c r="E276" s="523"/>
    </row>
    <row r="277" spans="1:5" s="524" customFormat="1" x14ac:dyDescent="0.2">
      <c r="A277" s="523"/>
      <c r="B277" s="523"/>
      <c r="C277" s="523"/>
      <c r="D277" s="523"/>
      <c r="E277" s="523"/>
    </row>
    <row r="278" spans="1:5" s="524" customFormat="1" x14ac:dyDescent="0.2">
      <c r="A278" s="523"/>
      <c r="B278" s="523"/>
      <c r="C278" s="523"/>
      <c r="D278" s="523"/>
      <c r="E278" s="523"/>
    </row>
    <row r="279" spans="1:5" s="524" customFormat="1" x14ac:dyDescent="0.2">
      <c r="A279" s="523"/>
      <c r="B279" s="523"/>
      <c r="C279" s="523"/>
      <c r="D279" s="523"/>
      <c r="E279" s="523"/>
    </row>
    <row r="280" spans="1:5" s="524" customFormat="1" x14ac:dyDescent="0.2">
      <c r="A280" s="523"/>
      <c r="B280" s="523"/>
      <c r="C280" s="523"/>
      <c r="D280" s="523"/>
      <c r="E280" s="523"/>
    </row>
    <row r="281" spans="1:5" s="524" customFormat="1" x14ac:dyDescent="0.2">
      <c r="A281" s="523"/>
      <c r="B281" s="523"/>
      <c r="C281" s="523"/>
      <c r="D281" s="523"/>
      <c r="E281" s="523"/>
    </row>
    <row r="282" spans="1:5" s="524" customFormat="1" x14ac:dyDescent="0.2">
      <c r="A282" s="523"/>
      <c r="B282" s="523"/>
      <c r="C282" s="523"/>
      <c r="D282" s="523"/>
      <c r="E282" s="523"/>
    </row>
    <row r="283" spans="1:5" s="524" customFormat="1" x14ac:dyDescent="0.2">
      <c r="A283" s="523"/>
      <c r="B283" s="523"/>
      <c r="C283" s="523"/>
      <c r="D283" s="523"/>
      <c r="E283" s="523"/>
    </row>
    <row r="284" spans="1:5" s="524" customFormat="1" x14ac:dyDescent="0.2">
      <c r="A284" s="523"/>
      <c r="B284" s="523"/>
      <c r="C284" s="523"/>
      <c r="D284" s="523"/>
      <c r="E284" s="523"/>
    </row>
    <row r="285" spans="1:5" s="524" customFormat="1" x14ac:dyDescent="0.2">
      <c r="A285" s="523"/>
      <c r="B285" s="523"/>
      <c r="C285" s="523"/>
      <c r="D285" s="523"/>
      <c r="E285" s="523"/>
    </row>
    <row r="286" spans="1:5" s="524" customFormat="1" x14ac:dyDescent="0.2">
      <c r="A286" s="523"/>
      <c r="B286" s="523"/>
      <c r="C286" s="523"/>
      <c r="D286" s="523"/>
      <c r="E286" s="523"/>
    </row>
    <row r="287" spans="1:5" s="524" customFormat="1" x14ac:dyDescent="0.2">
      <c r="A287" s="523"/>
      <c r="B287" s="523"/>
      <c r="C287" s="523"/>
      <c r="D287" s="523"/>
      <c r="E287" s="523"/>
    </row>
    <row r="288" spans="1:5" s="524" customFormat="1" x14ac:dyDescent="0.2">
      <c r="A288" s="523"/>
      <c r="B288" s="523"/>
      <c r="C288" s="523"/>
      <c r="D288" s="523"/>
      <c r="E288" s="523"/>
    </row>
    <row r="289" spans="1:5" s="524" customFormat="1" x14ac:dyDescent="0.2">
      <c r="A289" s="523"/>
      <c r="B289" s="523"/>
      <c r="C289" s="523"/>
      <c r="D289" s="523"/>
      <c r="E289" s="523"/>
    </row>
    <row r="290" spans="1:5" s="524" customFormat="1" x14ac:dyDescent="0.2">
      <c r="A290" s="523"/>
      <c r="B290" s="523"/>
      <c r="C290" s="523"/>
      <c r="D290" s="523"/>
      <c r="E290" s="523"/>
    </row>
    <row r="291" spans="1:5" s="524" customFormat="1" x14ac:dyDescent="0.2">
      <c r="A291" s="523"/>
      <c r="B291" s="523"/>
      <c r="C291" s="523"/>
      <c r="D291" s="523"/>
      <c r="E291" s="523"/>
    </row>
    <row r="292" spans="1:5" s="524" customFormat="1" x14ac:dyDescent="0.2">
      <c r="A292" s="523"/>
      <c r="B292" s="523"/>
      <c r="C292" s="523"/>
      <c r="D292" s="523"/>
      <c r="E292" s="523"/>
    </row>
    <row r="293" spans="1:5" s="524" customFormat="1" x14ac:dyDescent="0.2">
      <c r="A293" s="523"/>
      <c r="B293" s="523"/>
      <c r="C293" s="523"/>
      <c r="D293" s="523"/>
      <c r="E293" s="523"/>
    </row>
    <row r="294" spans="1:5" s="524" customFormat="1" x14ac:dyDescent="0.2">
      <c r="A294" s="523"/>
      <c r="B294" s="523"/>
      <c r="C294" s="523"/>
      <c r="D294" s="523"/>
      <c r="E294" s="523"/>
    </row>
    <row r="295" spans="1:5" s="524" customFormat="1" x14ac:dyDescent="0.2">
      <c r="A295" s="523"/>
      <c r="B295" s="523"/>
      <c r="C295" s="523"/>
      <c r="D295" s="523"/>
      <c r="E295" s="523"/>
    </row>
    <row r="296" spans="1:5" s="524" customFormat="1" x14ac:dyDescent="0.2">
      <c r="A296" s="523"/>
      <c r="B296" s="523"/>
      <c r="C296" s="523"/>
      <c r="D296" s="523"/>
      <c r="E296" s="523"/>
    </row>
    <row r="297" spans="1:5" s="524" customFormat="1" x14ac:dyDescent="0.2">
      <c r="A297" s="523"/>
      <c r="B297" s="523"/>
      <c r="C297" s="523"/>
      <c r="D297" s="523"/>
      <c r="E297" s="523"/>
    </row>
    <row r="298" spans="1:5" s="524" customFormat="1" x14ac:dyDescent="0.2">
      <c r="A298" s="523"/>
      <c r="B298" s="523"/>
      <c r="C298" s="523"/>
      <c r="D298" s="523"/>
      <c r="E298" s="523"/>
    </row>
    <row r="299" spans="1:5" s="524" customFormat="1" x14ac:dyDescent="0.2">
      <c r="A299" s="523"/>
      <c r="B299" s="523"/>
      <c r="C299" s="523"/>
      <c r="D299" s="523"/>
      <c r="E299" s="523"/>
    </row>
    <row r="300" spans="1:5" s="524" customFormat="1" x14ac:dyDescent="0.2">
      <c r="A300" s="523"/>
      <c r="B300" s="523"/>
      <c r="C300" s="523"/>
      <c r="D300" s="523"/>
      <c r="E300" s="523"/>
    </row>
    <row r="301" spans="1:5" s="524" customFormat="1" x14ac:dyDescent="0.2">
      <c r="A301" s="523"/>
      <c r="B301" s="523"/>
      <c r="C301" s="523"/>
      <c r="D301" s="523"/>
      <c r="E301" s="523"/>
    </row>
    <row r="302" spans="1:5" s="524" customFormat="1" x14ac:dyDescent="0.2">
      <c r="A302" s="523"/>
      <c r="B302" s="523"/>
      <c r="C302" s="523"/>
      <c r="D302" s="523"/>
      <c r="E302" s="523"/>
    </row>
    <row r="303" spans="1:5" s="524" customFormat="1" x14ac:dyDescent="0.2">
      <c r="A303" s="523"/>
      <c r="B303" s="523"/>
      <c r="C303" s="523"/>
      <c r="D303" s="523"/>
      <c r="E303" s="523"/>
    </row>
    <row r="304" spans="1:5" s="524" customFormat="1" x14ac:dyDescent="0.2">
      <c r="A304" s="523"/>
      <c r="B304" s="523"/>
      <c r="C304" s="523"/>
      <c r="D304" s="523"/>
      <c r="E304" s="523"/>
    </row>
    <row r="305" spans="1:5" s="524" customFormat="1" x14ac:dyDescent="0.2">
      <c r="A305" s="523"/>
      <c r="B305" s="523"/>
      <c r="C305" s="523"/>
      <c r="D305" s="523"/>
      <c r="E305" s="523"/>
    </row>
    <row r="306" spans="1:5" s="524" customFormat="1" x14ac:dyDescent="0.2">
      <c r="A306" s="523"/>
      <c r="B306" s="523"/>
      <c r="C306" s="523"/>
      <c r="D306" s="523"/>
      <c r="E306" s="523"/>
    </row>
    <row r="307" spans="1:5" s="524" customFormat="1" x14ac:dyDescent="0.2">
      <c r="A307" s="523"/>
      <c r="B307" s="523"/>
      <c r="C307" s="523"/>
      <c r="D307" s="523"/>
      <c r="E307" s="523"/>
    </row>
    <row r="308" spans="1:5" s="524" customFormat="1" x14ac:dyDescent="0.2">
      <c r="A308" s="523"/>
      <c r="B308" s="523"/>
      <c r="C308" s="523"/>
      <c r="D308" s="523"/>
      <c r="E308" s="523"/>
    </row>
    <row r="309" spans="1:5" s="524" customFormat="1" x14ac:dyDescent="0.2">
      <c r="A309" s="523"/>
      <c r="B309" s="523"/>
      <c r="C309" s="523"/>
      <c r="D309" s="523"/>
      <c r="E309" s="523"/>
    </row>
    <row r="310" spans="1:5" s="524" customFormat="1" x14ac:dyDescent="0.2">
      <c r="A310" s="523"/>
      <c r="B310" s="523"/>
      <c r="C310" s="523"/>
      <c r="D310" s="523"/>
      <c r="E310" s="523"/>
    </row>
    <row r="311" spans="1:5" s="524" customFormat="1" x14ac:dyDescent="0.2">
      <c r="A311" s="523"/>
      <c r="B311" s="523"/>
      <c r="C311" s="523"/>
      <c r="D311" s="523"/>
      <c r="E311" s="523"/>
    </row>
    <row r="312" spans="1:5" s="524" customFormat="1" x14ac:dyDescent="0.2">
      <c r="A312" s="523"/>
      <c r="B312" s="523"/>
      <c r="C312" s="523"/>
      <c r="D312" s="523"/>
      <c r="E312" s="523"/>
    </row>
    <row r="313" spans="1:5" s="524" customFormat="1" x14ac:dyDescent="0.2">
      <c r="A313" s="523"/>
      <c r="B313" s="523"/>
      <c r="C313" s="523"/>
      <c r="D313" s="523"/>
      <c r="E313" s="523"/>
    </row>
    <row r="314" spans="1:5" s="524" customFormat="1" x14ac:dyDescent="0.2">
      <c r="A314" s="523"/>
      <c r="B314" s="523"/>
      <c r="C314" s="523"/>
      <c r="D314" s="523"/>
      <c r="E314" s="523"/>
    </row>
    <row r="315" spans="1:5" s="524" customFormat="1" x14ac:dyDescent="0.2">
      <c r="A315" s="523"/>
      <c r="B315" s="523"/>
      <c r="C315" s="523"/>
      <c r="D315" s="523"/>
      <c r="E315" s="523"/>
    </row>
    <row r="316" spans="1:5" s="524" customFormat="1" x14ac:dyDescent="0.2">
      <c r="A316" s="523"/>
      <c r="B316" s="523"/>
      <c r="C316" s="523"/>
      <c r="D316" s="523"/>
      <c r="E316" s="523"/>
    </row>
    <row r="317" spans="1:5" s="524" customFormat="1" x14ac:dyDescent="0.2">
      <c r="A317" s="523"/>
      <c r="B317" s="523"/>
      <c r="C317" s="523"/>
      <c r="D317" s="523"/>
      <c r="E317" s="523"/>
    </row>
    <row r="318" spans="1:5" s="524" customFormat="1" x14ac:dyDescent="0.2">
      <c r="A318" s="523"/>
      <c r="B318" s="523"/>
      <c r="C318" s="523"/>
      <c r="D318" s="523"/>
      <c r="E318" s="523"/>
    </row>
    <row r="319" spans="1:5" s="524" customFormat="1" x14ac:dyDescent="0.2">
      <c r="A319" s="523"/>
      <c r="B319" s="523"/>
      <c r="C319" s="523"/>
      <c r="D319" s="523"/>
      <c r="E319" s="523"/>
    </row>
    <row r="320" spans="1:5" s="524" customFormat="1" x14ac:dyDescent="0.2">
      <c r="A320" s="523"/>
      <c r="B320" s="523"/>
      <c r="C320" s="523"/>
      <c r="D320" s="523"/>
      <c r="E320" s="523"/>
    </row>
    <row r="321" spans="1:5" s="524" customFormat="1" x14ac:dyDescent="0.2">
      <c r="A321" s="523"/>
      <c r="B321" s="523"/>
      <c r="C321" s="523"/>
      <c r="D321" s="523"/>
      <c r="E321" s="523"/>
    </row>
    <row r="322" spans="1:5" s="524" customFormat="1" x14ac:dyDescent="0.2">
      <c r="A322" s="523"/>
      <c r="B322" s="523"/>
      <c r="C322" s="523"/>
      <c r="D322" s="523"/>
      <c r="E322" s="523"/>
    </row>
    <row r="323" spans="1:5" s="524" customFormat="1" x14ac:dyDescent="0.2">
      <c r="A323" s="523"/>
      <c r="B323" s="523"/>
      <c r="C323" s="523"/>
      <c r="D323" s="523"/>
      <c r="E323" s="523"/>
    </row>
    <row r="324" spans="1:5" s="524" customFormat="1" x14ac:dyDescent="0.2">
      <c r="A324" s="523"/>
      <c r="B324" s="523"/>
      <c r="C324" s="523"/>
      <c r="D324" s="523"/>
      <c r="E324" s="523"/>
    </row>
    <row r="325" spans="1:5" s="524" customFormat="1" x14ac:dyDescent="0.2">
      <c r="A325" s="523"/>
      <c r="B325" s="523"/>
      <c r="C325" s="523"/>
      <c r="D325" s="523"/>
      <c r="E325" s="523"/>
    </row>
    <row r="326" spans="1:5" s="524" customFormat="1" x14ac:dyDescent="0.2">
      <c r="A326" s="523"/>
      <c r="B326" s="523"/>
      <c r="C326" s="523"/>
      <c r="D326" s="523"/>
      <c r="E326" s="523"/>
    </row>
    <row r="327" spans="1:5" s="524" customFormat="1" x14ac:dyDescent="0.2">
      <c r="A327" s="523"/>
      <c r="B327" s="523"/>
      <c r="C327" s="523"/>
      <c r="D327" s="523"/>
      <c r="E327" s="523"/>
    </row>
    <row r="328" spans="1:5" s="524" customFormat="1" x14ac:dyDescent="0.2">
      <c r="A328" s="523"/>
      <c r="B328" s="523"/>
      <c r="C328" s="523"/>
      <c r="D328" s="523"/>
      <c r="E328" s="523"/>
    </row>
    <row r="329" spans="1:5" s="524" customFormat="1" x14ac:dyDescent="0.2">
      <c r="A329" s="523"/>
      <c r="B329" s="523"/>
      <c r="C329" s="523"/>
      <c r="D329" s="523"/>
      <c r="E329" s="523"/>
    </row>
    <row r="330" spans="1:5" s="524" customFormat="1" x14ac:dyDescent="0.2">
      <c r="A330" s="523"/>
      <c r="B330" s="523"/>
      <c r="C330" s="523"/>
      <c r="D330" s="523"/>
      <c r="E330" s="523"/>
    </row>
    <row r="331" spans="1:5" s="524" customFormat="1" x14ac:dyDescent="0.2">
      <c r="A331" s="523"/>
      <c r="B331" s="523"/>
      <c r="C331" s="523"/>
      <c r="D331" s="523"/>
      <c r="E331" s="523"/>
    </row>
    <row r="332" spans="1:5" s="524" customFormat="1" x14ac:dyDescent="0.2">
      <c r="A332" s="523"/>
      <c r="B332" s="523"/>
      <c r="C332" s="523"/>
      <c r="D332" s="523"/>
      <c r="E332" s="523"/>
    </row>
    <row r="333" spans="1:5" s="524" customFormat="1" x14ac:dyDescent="0.2">
      <c r="A333" s="523"/>
      <c r="B333" s="523"/>
      <c r="C333" s="523"/>
      <c r="D333" s="523"/>
      <c r="E333" s="523"/>
    </row>
    <row r="334" spans="1:5" s="524" customFormat="1" x14ac:dyDescent="0.2">
      <c r="A334" s="523"/>
      <c r="B334" s="523"/>
      <c r="C334" s="523"/>
      <c r="D334" s="523"/>
      <c r="E334" s="523"/>
    </row>
    <row r="335" spans="1:5" s="524" customFormat="1" x14ac:dyDescent="0.2">
      <c r="A335" s="523"/>
      <c r="B335" s="523"/>
      <c r="C335" s="523"/>
      <c r="D335" s="523"/>
      <c r="E335" s="523"/>
    </row>
    <row r="336" spans="1:5" s="524" customFormat="1" x14ac:dyDescent="0.2">
      <c r="A336" s="523"/>
      <c r="B336" s="523"/>
      <c r="C336" s="523"/>
      <c r="D336" s="523"/>
      <c r="E336" s="523"/>
    </row>
    <row r="337" spans="1:5" s="524" customFormat="1" x14ac:dyDescent="0.2">
      <c r="A337" s="523"/>
      <c r="B337" s="523"/>
      <c r="C337" s="523"/>
      <c r="D337" s="523"/>
      <c r="E337" s="523"/>
    </row>
    <row r="338" spans="1:5" s="524" customFormat="1" x14ac:dyDescent="0.2">
      <c r="A338" s="523"/>
      <c r="B338" s="523"/>
      <c r="C338" s="523"/>
      <c r="D338" s="523"/>
      <c r="E338" s="523"/>
    </row>
    <row r="339" spans="1:5" s="524" customFormat="1" x14ac:dyDescent="0.2">
      <c r="A339" s="523"/>
      <c r="B339" s="523"/>
      <c r="C339" s="523"/>
      <c r="D339" s="523"/>
      <c r="E339" s="523"/>
    </row>
    <row r="340" spans="1:5" s="524" customFormat="1" x14ac:dyDescent="0.2">
      <c r="A340" s="523"/>
      <c r="B340" s="523"/>
      <c r="C340" s="523"/>
      <c r="D340" s="523"/>
      <c r="E340" s="523"/>
    </row>
    <row r="341" spans="1:5" s="524" customFormat="1" x14ac:dyDescent="0.2">
      <c r="A341" s="523"/>
      <c r="B341" s="523"/>
      <c r="C341" s="523"/>
      <c r="D341" s="523"/>
      <c r="E341" s="523"/>
    </row>
    <row r="342" spans="1:5" s="524" customFormat="1" x14ac:dyDescent="0.2">
      <c r="A342" s="523"/>
      <c r="B342" s="523"/>
      <c r="C342" s="523"/>
      <c r="D342" s="523"/>
      <c r="E342" s="523"/>
    </row>
    <row r="343" spans="1:5" s="524" customFormat="1" x14ac:dyDescent="0.2">
      <c r="A343" s="523"/>
      <c r="B343" s="523"/>
      <c r="C343" s="523"/>
      <c r="D343" s="523"/>
      <c r="E343" s="523"/>
    </row>
    <row r="344" spans="1:5" s="524" customFormat="1" x14ac:dyDescent="0.2">
      <c r="A344" s="523"/>
      <c r="B344" s="523"/>
      <c r="C344" s="523"/>
      <c r="D344" s="523"/>
      <c r="E344" s="523"/>
    </row>
    <row r="345" spans="1:5" s="524" customFormat="1" x14ac:dyDescent="0.2">
      <c r="A345" s="523"/>
      <c r="B345" s="523"/>
      <c r="C345" s="523"/>
      <c r="D345" s="523"/>
      <c r="E345" s="523"/>
    </row>
    <row r="346" spans="1:5" s="524" customFormat="1" x14ac:dyDescent="0.2">
      <c r="A346" s="523"/>
      <c r="B346" s="523"/>
      <c r="C346" s="523"/>
      <c r="D346" s="523"/>
      <c r="E346" s="523"/>
    </row>
    <row r="347" spans="1:5" s="524" customFormat="1" x14ac:dyDescent="0.2">
      <c r="A347" s="523"/>
      <c r="B347" s="523"/>
      <c r="C347" s="523"/>
      <c r="D347" s="523"/>
      <c r="E347" s="523"/>
    </row>
    <row r="348" spans="1:5" s="524" customFormat="1" x14ac:dyDescent="0.2">
      <c r="A348" s="523"/>
      <c r="B348" s="523"/>
      <c r="C348" s="523"/>
      <c r="D348" s="523"/>
      <c r="E348" s="523"/>
    </row>
    <row r="349" spans="1:5" s="524" customFormat="1" x14ac:dyDescent="0.2">
      <c r="A349" s="523"/>
      <c r="B349" s="523"/>
      <c r="C349" s="523"/>
      <c r="D349" s="523"/>
      <c r="E349" s="523"/>
    </row>
    <row r="350" spans="1:5" s="524" customFormat="1" x14ac:dyDescent="0.2">
      <c r="A350" s="523"/>
      <c r="B350" s="523"/>
      <c r="C350" s="523"/>
      <c r="D350" s="523"/>
      <c r="E350" s="523"/>
    </row>
    <row r="351" spans="1:5" s="524" customFormat="1" x14ac:dyDescent="0.2">
      <c r="A351" s="523"/>
      <c r="B351" s="523"/>
      <c r="C351" s="523"/>
      <c r="D351" s="523"/>
      <c r="E351" s="523"/>
    </row>
    <row r="352" spans="1:5" s="524" customFormat="1" x14ac:dyDescent="0.2">
      <c r="A352" s="523"/>
      <c r="B352" s="523"/>
      <c r="C352" s="523"/>
      <c r="D352" s="523"/>
      <c r="E352" s="523"/>
    </row>
    <row r="353" spans="1:5" s="524" customFormat="1" x14ac:dyDescent="0.2">
      <c r="A353" s="523"/>
      <c r="B353" s="523"/>
      <c r="C353" s="523"/>
      <c r="D353" s="523"/>
      <c r="E353" s="523"/>
    </row>
    <row r="354" spans="1:5" s="524" customFormat="1" x14ac:dyDescent="0.2">
      <c r="A354" s="523"/>
      <c r="B354" s="523"/>
      <c r="C354" s="523"/>
      <c r="D354" s="523"/>
      <c r="E354" s="523"/>
    </row>
    <row r="355" spans="1:5" s="524" customFormat="1" x14ac:dyDescent="0.2">
      <c r="A355" s="523"/>
      <c r="B355" s="523"/>
      <c r="C355" s="523"/>
      <c r="D355" s="523"/>
      <c r="E355" s="523"/>
    </row>
    <row r="356" spans="1:5" s="524" customFormat="1" x14ac:dyDescent="0.2">
      <c r="A356" s="523"/>
      <c r="B356" s="523"/>
      <c r="C356" s="523"/>
      <c r="D356" s="523"/>
      <c r="E356" s="523"/>
    </row>
    <row r="357" spans="1:5" s="524" customFormat="1" x14ac:dyDescent="0.2">
      <c r="A357" s="523"/>
      <c r="B357" s="523"/>
      <c r="C357" s="523"/>
      <c r="D357" s="523"/>
      <c r="E357" s="523"/>
    </row>
    <row r="358" spans="1:5" s="524" customFormat="1" x14ac:dyDescent="0.2">
      <c r="A358" s="523"/>
      <c r="B358" s="523"/>
      <c r="C358" s="523"/>
      <c r="D358" s="523"/>
      <c r="E358" s="523"/>
    </row>
    <row r="359" spans="1:5" s="524" customFormat="1" x14ac:dyDescent="0.2">
      <c r="A359" s="523"/>
      <c r="B359" s="523"/>
      <c r="C359" s="523"/>
      <c r="D359" s="523"/>
      <c r="E359" s="523"/>
    </row>
    <row r="360" spans="1:5" s="524" customFormat="1" x14ac:dyDescent="0.2">
      <c r="A360" s="523"/>
      <c r="B360" s="523"/>
      <c r="C360" s="523"/>
      <c r="D360" s="523"/>
      <c r="E360" s="523"/>
    </row>
    <row r="361" spans="1:5" s="524" customFormat="1" x14ac:dyDescent="0.2">
      <c r="A361" s="523"/>
      <c r="B361" s="523"/>
      <c r="C361" s="523"/>
      <c r="D361" s="523"/>
      <c r="E361" s="523"/>
    </row>
    <row r="362" spans="1:5" s="524" customFormat="1" x14ac:dyDescent="0.2">
      <c r="A362" s="523"/>
      <c r="B362" s="523"/>
      <c r="C362" s="523"/>
      <c r="D362" s="523"/>
      <c r="E362" s="523"/>
    </row>
    <row r="363" spans="1:5" s="524" customFormat="1" x14ac:dyDescent="0.2">
      <c r="A363" s="523"/>
      <c r="B363" s="523"/>
      <c r="C363" s="523"/>
      <c r="D363" s="523"/>
      <c r="E363" s="523"/>
    </row>
    <row r="364" spans="1:5" s="524" customFormat="1" x14ac:dyDescent="0.2">
      <c r="A364" s="523"/>
      <c r="B364" s="523"/>
      <c r="C364" s="523"/>
      <c r="D364" s="523"/>
      <c r="E364" s="523"/>
    </row>
    <row r="365" spans="1:5" s="524" customFormat="1" x14ac:dyDescent="0.2">
      <c r="A365" s="523"/>
      <c r="B365" s="523"/>
      <c r="C365" s="523"/>
      <c r="D365" s="523"/>
      <c r="E365" s="523"/>
    </row>
    <row r="366" spans="1:5" s="524" customFormat="1" x14ac:dyDescent="0.2">
      <c r="A366" s="523"/>
      <c r="B366" s="523"/>
      <c r="C366" s="523"/>
      <c r="D366" s="523"/>
      <c r="E366" s="523"/>
    </row>
    <row r="367" spans="1:5" s="524" customFormat="1" x14ac:dyDescent="0.2">
      <c r="A367" s="523"/>
      <c r="B367" s="523"/>
      <c r="C367" s="523"/>
      <c r="D367" s="523"/>
      <c r="E367" s="523"/>
    </row>
    <row r="368" spans="1:5" s="524" customFormat="1" x14ac:dyDescent="0.2">
      <c r="A368" s="523"/>
      <c r="B368" s="523"/>
      <c r="C368" s="523"/>
      <c r="D368" s="523"/>
      <c r="E368" s="523"/>
    </row>
    <row r="369" spans="1:5" s="524" customFormat="1" x14ac:dyDescent="0.2">
      <c r="A369" s="523"/>
      <c r="B369" s="523"/>
      <c r="C369" s="523"/>
      <c r="D369" s="523"/>
      <c r="E369" s="523"/>
    </row>
    <row r="370" spans="1:5" s="524" customFormat="1" x14ac:dyDescent="0.2">
      <c r="A370" s="523"/>
      <c r="B370" s="523"/>
      <c r="C370" s="523"/>
      <c r="D370" s="523"/>
      <c r="E370" s="523"/>
    </row>
    <row r="371" spans="1:5" s="524" customFormat="1" x14ac:dyDescent="0.2">
      <c r="A371" s="523"/>
      <c r="B371" s="523"/>
      <c r="C371" s="523"/>
      <c r="D371" s="523"/>
      <c r="E371" s="523"/>
    </row>
    <row r="372" spans="1:5" s="524" customFormat="1" x14ac:dyDescent="0.2">
      <c r="A372" s="523"/>
      <c r="B372" s="523"/>
      <c r="C372" s="523"/>
      <c r="D372" s="523"/>
      <c r="E372" s="523"/>
    </row>
    <row r="373" spans="1:5" s="524" customFormat="1" x14ac:dyDescent="0.2">
      <c r="A373" s="523"/>
      <c r="B373" s="523"/>
      <c r="C373" s="523"/>
      <c r="D373" s="523"/>
      <c r="E373" s="523"/>
    </row>
    <row r="374" spans="1:5" s="524" customFormat="1" x14ac:dyDescent="0.2">
      <c r="A374" s="523"/>
      <c r="B374" s="523"/>
      <c r="C374" s="523"/>
      <c r="D374" s="523"/>
      <c r="E374" s="523"/>
    </row>
    <row r="375" spans="1:5" s="524" customFormat="1" x14ac:dyDescent="0.2">
      <c r="A375" s="523"/>
      <c r="B375" s="523"/>
      <c r="C375" s="523"/>
      <c r="D375" s="523"/>
      <c r="E375" s="523"/>
    </row>
    <row r="376" spans="1:5" s="524" customFormat="1" x14ac:dyDescent="0.2">
      <c r="A376" s="523"/>
      <c r="B376" s="523"/>
      <c r="C376" s="523"/>
      <c r="D376" s="523"/>
      <c r="E376" s="523"/>
    </row>
    <row r="377" spans="1:5" s="524" customFormat="1" x14ac:dyDescent="0.2">
      <c r="A377" s="523"/>
      <c r="B377" s="523"/>
      <c r="C377" s="523"/>
      <c r="D377" s="523"/>
      <c r="E377" s="523"/>
    </row>
    <row r="378" spans="1:5" s="524" customFormat="1" x14ac:dyDescent="0.2">
      <c r="A378" s="523"/>
      <c r="B378" s="523"/>
      <c r="C378" s="523"/>
      <c r="D378" s="523"/>
      <c r="E378" s="523"/>
    </row>
    <row r="379" spans="1:5" s="524" customFormat="1" x14ac:dyDescent="0.2">
      <c r="A379" s="523"/>
      <c r="B379" s="523"/>
      <c r="C379" s="523"/>
      <c r="D379" s="523"/>
      <c r="E379" s="523"/>
    </row>
    <row r="380" spans="1:5" s="524" customFormat="1" x14ac:dyDescent="0.2">
      <c r="A380" s="523"/>
      <c r="B380" s="523"/>
      <c r="C380" s="523"/>
      <c r="D380" s="523"/>
      <c r="E380" s="523"/>
    </row>
    <row r="381" spans="1:5" s="524" customFormat="1" x14ac:dyDescent="0.2">
      <c r="A381" s="523"/>
      <c r="B381" s="523"/>
      <c r="C381" s="523"/>
      <c r="D381" s="523"/>
      <c r="E381" s="523"/>
    </row>
    <row r="382" spans="1:5" s="524" customFormat="1" x14ac:dyDescent="0.2">
      <c r="A382" s="523"/>
      <c r="B382" s="523"/>
      <c r="C382" s="523"/>
      <c r="D382" s="523"/>
      <c r="E382" s="523"/>
    </row>
    <row r="383" spans="1:5" s="524" customFormat="1" x14ac:dyDescent="0.2">
      <c r="A383" s="523"/>
      <c r="B383" s="523"/>
      <c r="C383" s="523"/>
      <c r="D383" s="523"/>
      <c r="E383" s="523"/>
    </row>
    <row r="384" spans="1:5" s="524" customFormat="1" x14ac:dyDescent="0.2">
      <c r="A384" s="523"/>
      <c r="B384" s="523"/>
      <c r="C384" s="523"/>
      <c r="D384" s="523"/>
      <c r="E384" s="523"/>
    </row>
    <row r="385" spans="1:5" s="524" customFormat="1" x14ac:dyDescent="0.2">
      <c r="A385" s="523"/>
      <c r="B385" s="523"/>
      <c r="C385" s="523"/>
      <c r="D385" s="523"/>
      <c r="E385" s="523"/>
    </row>
    <row r="386" spans="1:5" s="524" customFormat="1" x14ac:dyDescent="0.2">
      <c r="A386" s="523"/>
      <c r="B386" s="523"/>
      <c r="C386" s="523"/>
      <c r="D386" s="523"/>
      <c r="E386" s="523"/>
    </row>
    <row r="387" spans="1:5" s="524" customFormat="1" x14ac:dyDescent="0.2">
      <c r="A387" s="523"/>
      <c r="B387" s="523"/>
      <c r="C387" s="523"/>
      <c r="D387" s="523"/>
      <c r="E387" s="523"/>
    </row>
    <row r="388" spans="1:5" s="524" customFormat="1" x14ac:dyDescent="0.2">
      <c r="A388" s="523"/>
      <c r="B388" s="523"/>
      <c r="C388" s="523"/>
      <c r="D388" s="523"/>
      <c r="E388" s="523"/>
    </row>
    <row r="389" spans="1:5" s="524" customFormat="1" x14ac:dyDescent="0.2">
      <c r="A389" s="523"/>
      <c r="B389" s="523"/>
      <c r="C389" s="523"/>
      <c r="D389" s="523"/>
      <c r="E389" s="523"/>
    </row>
    <row r="390" spans="1:5" s="524" customFormat="1" x14ac:dyDescent="0.2">
      <c r="A390" s="523"/>
      <c r="B390" s="523"/>
      <c r="C390" s="523"/>
      <c r="D390" s="523"/>
      <c r="E390" s="523"/>
    </row>
    <row r="391" spans="1:5" s="524" customFormat="1" x14ac:dyDescent="0.2">
      <c r="A391" s="523"/>
      <c r="B391" s="523"/>
      <c r="C391" s="523"/>
      <c r="D391" s="523"/>
      <c r="E391" s="523"/>
    </row>
    <row r="392" spans="1:5" s="524" customFormat="1" x14ac:dyDescent="0.2">
      <c r="A392" s="523"/>
      <c r="B392" s="523"/>
      <c r="C392" s="523"/>
      <c r="D392" s="523"/>
      <c r="E392" s="523"/>
    </row>
    <row r="393" spans="1:5" s="524" customFormat="1" x14ac:dyDescent="0.2">
      <c r="A393" s="523"/>
      <c r="B393" s="523"/>
      <c r="C393" s="523"/>
      <c r="D393" s="523"/>
      <c r="E393" s="523"/>
    </row>
    <row r="394" spans="1:5" s="524" customFormat="1" x14ac:dyDescent="0.2">
      <c r="A394" s="523"/>
      <c r="B394" s="523"/>
      <c r="C394" s="523"/>
      <c r="D394" s="523"/>
      <c r="E394" s="523"/>
    </row>
    <row r="395" spans="1:5" s="524" customFormat="1" x14ac:dyDescent="0.2">
      <c r="A395" s="523"/>
      <c r="B395" s="523"/>
      <c r="C395" s="523"/>
      <c r="D395" s="523"/>
      <c r="E395" s="523"/>
    </row>
    <row r="396" spans="1:5" s="524" customFormat="1" x14ac:dyDescent="0.2">
      <c r="A396" s="523"/>
      <c r="B396" s="523"/>
      <c r="C396" s="523"/>
      <c r="D396" s="523"/>
      <c r="E396" s="523"/>
    </row>
    <row r="397" spans="1:5" s="524" customFormat="1" x14ac:dyDescent="0.2">
      <c r="A397" s="523"/>
      <c r="B397" s="523"/>
      <c r="C397" s="523"/>
      <c r="D397" s="523"/>
      <c r="E397" s="523"/>
    </row>
    <row r="398" spans="1:5" s="524" customFormat="1" x14ac:dyDescent="0.2">
      <c r="A398" s="523"/>
      <c r="B398" s="523"/>
      <c r="C398" s="523"/>
      <c r="D398" s="523"/>
      <c r="E398" s="523"/>
    </row>
    <row r="399" spans="1:5" s="524" customFormat="1" x14ac:dyDescent="0.2">
      <c r="A399" s="523"/>
      <c r="B399" s="523"/>
      <c r="C399" s="523"/>
      <c r="D399" s="523"/>
      <c r="E399" s="523"/>
    </row>
    <row r="400" spans="1:5" s="524" customFormat="1" x14ac:dyDescent="0.2">
      <c r="A400" s="523"/>
      <c r="B400" s="523"/>
      <c r="C400" s="523"/>
      <c r="D400" s="523"/>
      <c r="E400" s="523"/>
    </row>
    <row r="401" spans="1:5" s="524" customFormat="1" x14ac:dyDescent="0.2">
      <c r="A401" s="523"/>
      <c r="B401" s="523"/>
      <c r="C401" s="523"/>
      <c r="D401" s="523"/>
      <c r="E401" s="523"/>
    </row>
    <row r="402" spans="1:5" s="524" customFormat="1" x14ac:dyDescent="0.2">
      <c r="A402" s="523"/>
      <c r="B402" s="523"/>
      <c r="C402" s="523"/>
      <c r="D402" s="523"/>
      <c r="E402" s="523"/>
    </row>
    <row r="403" spans="1:5" s="524" customFormat="1" x14ac:dyDescent="0.2">
      <c r="A403" s="523"/>
      <c r="B403" s="523"/>
      <c r="C403" s="523"/>
      <c r="D403" s="523"/>
      <c r="E403" s="523"/>
    </row>
    <row r="404" spans="1:5" s="524" customFormat="1" x14ac:dyDescent="0.2">
      <c r="A404" s="523"/>
      <c r="B404" s="523"/>
      <c r="C404" s="523"/>
      <c r="D404" s="523"/>
      <c r="E404" s="523"/>
    </row>
    <row r="405" spans="1:5" s="524" customFormat="1" x14ac:dyDescent="0.2">
      <c r="A405" s="523"/>
      <c r="B405" s="523"/>
      <c r="C405" s="523"/>
      <c r="D405" s="523"/>
      <c r="E405" s="523"/>
    </row>
    <row r="406" spans="1:5" s="524" customFormat="1" x14ac:dyDescent="0.2">
      <c r="A406" s="523"/>
      <c r="B406" s="523"/>
      <c r="C406" s="523"/>
      <c r="D406" s="523"/>
      <c r="E406" s="523"/>
    </row>
    <row r="407" spans="1:5" s="524" customFormat="1" x14ac:dyDescent="0.2">
      <c r="A407" s="523"/>
      <c r="B407" s="523"/>
      <c r="C407" s="523"/>
      <c r="D407" s="523"/>
      <c r="E407" s="523"/>
    </row>
    <row r="408" spans="1:5" s="524" customFormat="1" x14ac:dyDescent="0.2">
      <c r="A408" s="523"/>
      <c r="B408" s="523"/>
      <c r="C408" s="523"/>
      <c r="D408" s="523"/>
      <c r="E408" s="523"/>
    </row>
    <row r="409" spans="1:5" s="524" customFormat="1" x14ac:dyDescent="0.2">
      <c r="A409" s="523"/>
      <c r="B409" s="523"/>
      <c r="C409" s="523"/>
      <c r="D409" s="523"/>
      <c r="E409" s="523"/>
    </row>
    <row r="410" spans="1:5" s="524" customFormat="1" x14ac:dyDescent="0.2">
      <c r="A410" s="523"/>
      <c r="B410" s="523"/>
      <c r="C410" s="523"/>
      <c r="D410" s="523"/>
      <c r="E410" s="523"/>
    </row>
    <row r="411" spans="1:5" s="524" customFormat="1" x14ac:dyDescent="0.2">
      <c r="A411" s="523"/>
      <c r="B411" s="523"/>
      <c r="C411" s="523"/>
      <c r="D411" s="523"/>
      <c r="E411" s="523"/>
    </row>
    <row r="412" spans="1:5" s="524" customFormat="1" x14ac:dyDescent="0.2">
      <c r="A412" s="523"/>
      <c r="B412" s="523"/>
      <c r="C412" s="523"/>
      <c r="D412" s="523"/>
      <c r="E412" s="523"/>
    </row>
    <row r="413" spans="1:5" s="524" customFormat="1" x14ac:dyDescent="0.2">
      <c r="A413" s="523"/>
      <c r="B413" s="523"/>
      <c r="C413" s="523"/>
      <c r="D413" s="523"/>
      <c r="E413" s="523"/>
    </row>
    <row r="414" spans="1:5" s="524" customFormat="1" x14ac:dyDescent="0.2">
      <c r="A414" s="523"/>
      <c r="B414" s="523"/>
      <c r="C414" s="523"/>
      <c r="D414" s="523"/>
      <c r="E414" s="523"/>
    </row>
    <row r="415" spans="1:5" s="524" customFormat="1" x14ac:dyDescent="0.2">
      <c r="A415" s="523"/>
      <c r="B415" s="523"/>
      <c r="C415" s="523"/>
      <c r="D415" s="523"/>
      <c r="E415" s="523"/>
    </row>
    <row r="416" spans="1:5" s="524" customFormat="1" x14ac:dyDescent="0.2">
      <c r="A416" s="523"/>
      <c r="B416" s="523"/>
      <c r="C416" s="523"/>
      <c r="D416" s="523"/>
      <c r="E416" s="523"/>
    </row>
    <row r="417" spans="1:5" s="524" customFormat="1" x14ac:dyDescent="0.2">
      <c r="A417" s="523"/>
      <c r="B417" s="523"/>
      <c r="C417" s="523"/>
      <c r="D417" s="523"/>
      <c r="E417" s="523"/>
    </row>
    <row r="418" spans="1:5" s="524" customFormat="1" x14ac:dyDescent="0.2">
      <c r="A418" s="523"/>
      <c r="B418" s="523"/>
      <c r="C418" s="523"/>
      <c r="D418" s="523"/>
      <c r="E418" s="523"/>
    </row>
    <row r="419" spans="1:5" s="524" customFormat="1" x14ac:dyDescent="0.2">
      <c r="A419" s="523"/>
      <c r="B419" s="523"/>
      <c r="C419" s="523"/>
      <c r="D419" s="523"/>
      <c r="E419" s="523"/>
    </row>
    <row r="420" spans="1:5" s="524" customFormat="1" x14ac:dyDescent="0.2">
      <c r="A420" s="523"/>
      <c r="B420" s="523"/>
      <c r="C420" s="523"/>
      <c r="D420" s="523"/>
      <c r="E420" s="523"/>
    </row>
    <row r="421" spans="1:5" s="524" customFormat="1" x14ac:dyDescent="0.2">
      <c r="A421" s="523"/>
      <c r="B421" s="523"/>
      <c r="C421" s="523"/>
      <c r="D421" s="523"/>
      <c r="E421" s="523"/>
    </row>
    <row r="422" spans="1:5" s="524" customFormat="1" x14ac:dyDescent="0.2">
      <c r="A422" s="523"/>
      <c r="B422" s="523"/>
      <c r="C422" s="523"/>
      <c r="D422" s="523"/>
      <c r="E422" s="523"/>
    </row>
    <row r="423" spans="1:5" s="524" customFormat="1" x14ac:dyDescent="0.2">
      <c r="A423" s="523"/>
      <c r="B423" s="523"/>
      <c r="C423" s="523"/>
      <c r="D423" s="523"/>
      <c r="E423" s="523"/>
    </row>
    <row r="424" spans="1:5" s="524" customFormat="1" x14ac:dyDescent="0.2">
      <c r="A424" s="523"/>
      <c r="B424" s="523"/>
      <c r="C424" s="523"/>
      <c r="D424" s="523"/>
      <c r="E424" s="523"/>
    </row>
    <row r="425" spans="1:5" s="524" customFormat="1" x14ac:dyDescent="0.2">
      <c r="A425" s="523"/>
      <c r="B425" s="523"/>
      <c r="C425" s="523"/>
      <c r="D425" s="523"/>
      <c r="E425" s="523"/>
    </row>
    <row r="426" spans="1:5" s="524" customFormat="1" x14ac:dyDescent="0.2">
      <c r="A426" s="523"/>
      <c r="B426" s="523"/>
      <c r="C426" s="523"/>
      <c r="D426" s="523"/>
      <c r="E426" s="523"/>
    </row>
    <row r="427" spans="1:5" s="524" customFormat="1" x14ac:dyDescent="0.2">
      <c r="A427" s="523"/>
      <c r="B427" s="523"/>
      <c r="C427" s="523"/>
      <c r="D427" s="523"/>
      <c r="E427" s="523"/>
    </row>
    <row r="428" spans="1:5" s="524" customFormat="1" x14ac:dyDescent="0.2">
      <c r="A428" s="523"/>
      <c r="B428" s="523"/>
      <c r="C428" s="523"/>
      <c r="D428" s="523"/>
      <c r="E428" s="523"/>
    </row>
    <row r="429" spans="1:5" s="524" customFormat="1" x14ac:dyDescent="0.2">
      <c r="A429" s="523"/>
      <c r="B429" s="523"/>
      <c r="C429" s="523"/>
      <c r="D429" s="523"/>
      <c r="E429" s="523"/>
    </row>
    <row r="430" spans="1:5" s="524" customFormat="1" x14ac:dyDescent="0.2">
      <c r="A430" s="523"/>
      <c r="B430" s="523"/>
      <c r="C430" s="523"/>
      <c r="D430" s="523"/>
      <c r="E430" s="523"/>
    </row>
    <row r="431" spans="1:5" s="524" customFormat="1" x14ac:dyDescent="0.2">
      <c r="A431" s="523"/>
      <c r="B431" s="523"/>
      <c r="C431" s="523"/>
      <c r="D431" s="523"/>
      <c r="E431" s="523"/>
    </row>
    <row r="432" spans="1:5" s="524" customFormat="1" x14ac:dyDescent="0.2">
      <c r="A432" s="523"/>
      <c r="B432" s="523"/>
      <c r="C432" s="523"/>
      <c r="D432" s="523"/>
      <c r="E432" s="523"/>
    </row>
    <row r="433" spans="1:5" s="524" customFormat="1" x14ac:dyDescent="0.2">
      <c r="A433" s="523"/>
      <c r="B433" s="523"/>
      <c r="C433" s="523"/>
      <c r="D433" s="523"/>
      <c r="E433" s="523"/>
    </row>
    <row r="434" spans="1:5" s="524" customFormat="1" x14ac:dyDescent="0.2">
      <c r="A434" s="523"/>
      <c r="B434" s="523"/>
      <c r="C434" s="523"/>
      <c r="D434" s="523"/>
      <c r="E434" s="523"/>
    </row>
    <row r="435" spans="1:5" s="524" customFormat="1" x14ac:dyDescent="0.2">
      <c r="A435" s="523"/>
      <c r="B435" s="523"/>
      <c r="C435" s="523"/>
      <c r="D435" s="523"/>
      <c r="E435" s="523"/>
    </row>
    <row r="436" spans="1:5" s="524" customFormat="1" x14ac:dyDescent="0.2">
      <c r="A436" s="523"/>
      <c r="B436" s="523"/>
      <c r="C436" s="523"/>
      <c r="D436" s="523"/>
      <c r="E436" s="523"/>
    </row>
    <row r="437" spans="1:5" s="524" customFormat="1" x14ac:dyDescent="0.2">
      <c r="A437" s="523"/>
      <c r="B437" s="523"/>
      <c r="C437" s="523"/>
      <c r="D437" s="523"/>
      <c r="E437" s="523"/>
    </row>
    <row r="438" spans="1:5" s="524" customFormat="1" x14ac:dyDescent="0.2">
      <c r="A438" s="523"/>
      <c r="B438" s="523"/>
      <c r="C438" s="523"/>
      <c r="D438" s="523"/>
      <c r="E438" s="523"/>
    </row>
    <row r="439" spans="1:5" s="524" customFormat="1" x14ac:dyDescent="0.2">
      <c r="A439" s="523"/>
      <c r="B439" s="523"/>
      <c r="C439" s="523"/>
      <c r="D439" s="523"/>
      <c r="E439" s="523"/>
    </row>
    <row r="440" spans="1:5" s="524" customFormat="1" x14ac:dyDescent="0.2">
      <c r="A440" s="523"/>
      <c r="B440" s="523"/>
      <c r="C440" s="523"/>
      <c r="D440" s="523"/>
      <c r="E440" s="523"/>
    </row>
    <row r="441" spans="1:5" s="524" customFormat="1" x14ac:dyDescent="0.2">
      <c r="A441" s="523"/>
      <c r="B441" s="523"/>
      <c r="C441" s="523"/>
      <c r="D441" s="523"/>
      <c r="E441" s="523"/>
    </row>
    <row r="442" spans="1:5" s="524" customFormat="1" x14ac:dyDescent="0.2">
      <c r="A442" s="523"/>
      <c r="B442" s="523"/>
      <c r="C442" s="523"/>
      <c r="D442" s="523"/>
      <c r="E442" s="523"/>
    </row>
    <row r="443" spans="1:5" s="524" customFormat="1" x14ac:dyDescent="0.2">
      <c r="A443" s="523"/>
      <c r="B443" s="523"/>
      <c r="C443" s="523"/>
      <c r="D443" s="523"/>
      <c r="E443" s="523"/>
    </row>
    <row r="444" spans="1:5" s="524" customFormat="1" x14ac:dyDescent="0.2">
      <c r="A444" s="523"/>
      <c r="B444" s="523"/>
      <c r="C444" s="523"/>
      <c r="D444" s="523"/>
      <c r="E444" s="523"/>
    </row>
    <row r="445" spans="1:5" s="524" customFormat="1" x14ac:dyDescent="0.2">
      <c r="A445" s="523"/>
      <c r="B445" s="523"/>
      <c r="C445" s="523"/>
      <c r="D445" s="523"/>
      <c r="E445" s="523"/>
    </row>
    <row r="446" spans="1:5" s="524" customFormat="1" x14ac:dyDescent="0.2">
      <c r="A446" s="523"/>
      <c r="B446" s="523"/>
      <c r="C446" s="523"/>
      <c r="D446" s="523"/>
      <c r="E446" s="523"/>
    </row>
    <row r="447" spans="1:5" s="524" customFormat="1" x14ac:dyDescent="0.2">
      <c r="A447" s="523"/>
      <c r="B447" s="523"/>
      <c r="C447" s="523"/>
      <c r="D447" s="523"/>
      <c r="E447" s="523"/>
    </row>
    <row r="448" spans="1:5" s="524" customFormat="1" x14ac:dyDescent="0.2">
      <c r="A448" s="523"/>
      <c r="B448" s="523"/>
      <c r="C448" s="523"/>
      <c r="D448" s="523"/>
      <c r="E448" s="523"/>
    </row>
    <row r="449" spans="1:5" s="524" customFormat="1" x14ac:dyDescent="0.2">
      <c r="A449" s="523"/>
      <c r="B449" s="523"/>
      <c r="C449" s="523"/>
      <c r="D449" s="523"/>
      <c r="E449" s="523"/>
    </row>
    <row r="450" spans="1:5" s="524" customFormat="1" x14ac:dyDescent="0.2">
      <c r="A450" s="523"/>
      <c r="B450" s="523"/>
      <c r="C450" s="523"/>
      <c r="D450" s="523"/>
      <c r="E450" s="523"/>
    </row>
    <row r="451" spans="1:5" s="524" customFormat="1" x14ac:dyDescent="0.2">
      <c r="A451" s="523"/>
      <c r="B451" s="523"/>
      <c r="C451" s="523"/>
      <c r="D451" s="523"/>
      <c r="E451" s="523"/>
    </row>
    <row r="452" spans="1:5" s="524" customFormat="1" x14ac:dyDescent="0.2">
      <c r="A452" s="523"/>
      <c r="B452" s="523"/>
      <c r="C452" s="523"/>
      <c r="D452" s="523"/>
      <c r="E452" s="523"/>
    </row>
    <row r="453" spans="1:5" s="524" customFormat="1" x14ac:dyDescent="0.2">
      <c r="A453" s="523"/>
      <c r="B453" s="523"/>
      <c r="C453" s="523"/>
      <c r="D453" s="523"/>
      <c r="E453" s="523"/>
    </row>
    <row r="454" spans="1:5" s="524" customFormat="1" x14ac:dyDescent="0.2">
      <c r="A454" s="523"/>
      <c r="B454" s="523"/>
      <c r="C454" s="523"/>
      <c r="D454" s="523"/>
      <c r="E454" s="523"/>
    </row>
    <row r="455" spans="1:5" s="524" customFormat="1" x14ac:dyDescent="0.2">
      <c r="A455" s="523"/>
      <c r="B455" s="523"/>
      <c r="C455" s="523"/>
      <c r="D455" s="523"/>
      <c r="E455" s="523"/>
    </row>
    <row r="456" spans="1:5" s="524" customFormat="1" x14ac:dyDescent="0.2">
      <c r="A456" s="523"/>
      <c r="B456" s="523"/>
      <c r="C456" s="523"/>
      <c r="D456" s="523"/>
      <c r="E456" s="523"/>
    </row>
    <row r="457" spans="1:5" s="524" customFormat="1" x14ac:dyDescent="0.2">
      <c r="A457" s="523"/>
      <c r="B457" s="523"/>
      <c r="C457" s="523"/>
      <c r="D457" s="523"/>
      <c r="E457" s="523"/>
    </row>
    <row r="458" spans="1:5" s="524" customFormat="1" x14ac:dyDescent="0.2">
      <c r="A458" s="523"/>
      <c r="B458" s="523"/>
      <c r="C458" s="523"/>
      <c r="D458" s="523"/>
      <c r="E458" s="523"/>
    </row>
    <row r="459" spans="1:5" s="524" customFormat="1" x14ac:dyDescent="0.2">
      <c r="A459" s="523"/>
      <c r="B459" s="523"/>
      <c r="C459" s="523"/>
      <c r="D459" s="523"/>
      <c r="E459" s="523"/>
    </row>
    <row r="460" spans="1:5" s="524" customFormat="1" x14ac:dyDescent="0.2">
      <c r="A460" s="523"/>
      <c r="B460" s="523"/>
      <c r="C460" s="523"/>
      <c r="D460" s="523"/>
      <c r="E460" s="523"/>
    </row>
    <row r="461" spans="1:5" s="524" customFormat="1" x14ac:dyDescent="0.2">
      <c r="A461" s="523"/>
      <c r="B461" s="523"/>
      <c r="C461" s="523"/>
      <c r="D461" s="523"/>
      <c r="E461" s="523"/>
    </row>
    <row r="462" spans="1:5" s="524" customFormat="1" x14ac:dyDescent="0.2">
      <c r="A462" s="523"/>
      <c r="B462" s="523"/>
      <c r="C462" s="523"/>
      <c r="D462" s="523"/>
      <c r="E462" s="523"/>
    </row>
    <row r="463" spans="1:5" s="524" customFormat="1" x14ac:dyDescent="0.2">
      <c r="A463" s="523"/>
      <c r="B463" s="523"/>
      <c r="C463" s="523"/>
      <c r="D463" s="523"/>
      <c r="E463" s="523"/>
    </row>
    <row r="464" spans="1:5" s="524" customFormat="1" x14ac:dyDescent="0.2">
      <c r="A464" s="523"/>
      <c r="B464" s="523"/>
      <c r="C464" s="523"/>
      <c r="D464" s="523"/>
      <c r="E464" s="523"/>
    </row>
    <row r="465" spans="1:5" s="524" customFormat="1" x14ac:dyDescent="0.2">
      <c r="A465" s="523"/>
      <c r="B465" s="523"/>
      <c r="C465" s="523"/>
      <c r="D465" s="523"/>
      <c r="E465" s="523"/>
    </row>
    <row r="466" spans="1:5" s="524" customFormat="1" x14ac:dyDescent="0.2">
      <c r="A466" s="523"/>
      <c r="B466" s="523"/>
      <c r="C466" s="523"/>
      <c r="D466" s="523"/>
      <c r="E466" s="523"/>
    </row>
    <row r="467" spans="1:5" s="524" customFormat="1" x14ac:dyDescent="0.2">
      <c r="A467" s="523"/>
      <c r="B467" s="523"/>
      <c r="C467" s="523"/>
      <c r="D467" s="523"/>
      <c r="E467" s="523"/>
    </row>
    <row r="468" spans="1:5" s="524" customFormat="1" x14ac:dyDescent="0.2">
      <c r="A468" s="523"/>
      <c r="B468" s="523"/>
      <c r="C468" s="523"/>
      <c r="D468" s="523"/>
      <c r="E468" s="523"/>
    </row>
    <row r="469" spans="1:5" s="524" customFormat="1" x14ac:dyDescent="0.2">
      <c r="A469" s="523"/>
      <c r="B469" s="523"/>
      <c r="C469" s="523"/>
      <c r="D469" s="523"/>
      <c r="E469" s="523"/>
    </row>
    <row r="470" spans="1:5" s="524" customFormat="1" x14ac:dyDescent="0.2">
      <c r="A470" s="523"/>
      <c r="B470" s="523"/>
      <c r="C470" s="523"/>
      <c r="D470" s="523"/>
      <c r="E470" s="523"/>
    </row>
    <row r="471" spans="1:5" s="524" customFormat="1" x14ac:dyDescent="0.2">
      <c r="A471" s="523"/>
      <c r="B471" s="523"/>
      <c r="C471" s="523"/>
      <c r="D471" s="523"/>
      <c r="E471" s="523"/>
    </row>
    <row r="472" spans="1:5" s="524" customFormat="1" x14ac:dyDescent="0.2">
      <c r="A472" s="523"/>
      <c r="B472" s="523"/>
      <c r="C472" s="523"/>
      <c r="D472" s="523"/>
      <c r="E472" s="523"/>
    </row>
    <row r="473" spans="1:5" s="524" customFormat="1" x14ac:dyDescent="0.2">
      <c r="A473" s="523"/>
      <c r="B473" s="523"/>
      <c r="C473" s="523"/>
      <c r="D473" s="523"/>
      <c r="E473" s="523"/>
    </row>
    <row r="474" spans="1:5" s="524" customFormat="1" x14ac:dyDescent="0.2">
      <c r="A474" s="523"/>
      <c r="B474" s="523"/>
      <c r="C474" s="523"/>
      <c r="D474" s="523"/>
      <c r="E474" s="523"/>
    </row>
    <row r="475" spans="1:5" s="524" customFormat="1" x14ac:dyDescent="0.2">
      <c r="A475" s="523"/>
      <c r="B475" s="523"/>
      <c r="C475" s="523"/>
      <c r="D475" s="523"/>
      <c r="E475" s="523"/>
    </row>
    <row r="476" spans="1:5" s="524" customFormat="1" x14ac:dyDescent="0.2">
      <c r="A476" s="523"/>
      <c r="B476" s="523"/>
      <c r="C476" s="523"/>
      <c r="D476" s="523"/>
      <c r="E476" s="523"/>
    </row>
    <row r="477" spans="1:5" s="524" customFormat="1" x14ac:dyDescent="0.2">
      <c r="A477" s="523"/>
      <c r="B477" s="523"/>
      <c r="C477" s="523"/>
      <c r="D477" s="523"/>
      <c r="E477" s="523"/>
    </row>
    <row r="478" spans="1:5" s="524" customFormat="1" x14ac:dyDescent="0.2">
      <c r="A478" s="523"/>
      <c r="B478" s="523"/>
      <c r="C478" s="523"/>
      <c r="D478" s="523"/>
      <c r="E478" s="523"/>
    </row>
    <row r="479" spans="1:5" s="524" customFormat="1" x14ac:dyDescent="0.2">
      <c r="A479" s="523"/>
      <c r="B479" s="523"/>
      <c r="C479" s="523"/>
      <c r="D479" s="523"/>
      <c r="E479" s="523"/>
    </row>
    <row r="480" spans="1:5" s="524" customFormat="1" x14ac:dyDescent="0.2">
      <c r="A480" s="523"/>
      <c r="B480" s="523"/>
      <c r="C480" s="523"/>
      <c r="D480" s="523"/>
      <c r="E480" s="523"/>
    </row>
    <row r="481" spans="1:5" s="524" customFormat="1" x14ac:dyDescent="0.2">
      <c r="A481" s="523"/>
      <c r="B481" s="523"/>
      <c r="C481" s="523"/>
      <c r="D481" s="523"/>
      <c r="E481" s="523"/>
    </row>
    <row r="482" spans="1:5" s="524" customFormat="1" x14ac:dyDescent="0.2">
      <c r="A482" s="523"/>
      <c r="B482" s="523"/>
      <c r="C482" s="523"/>
      <c r="D482" s="523"/>
      <c r="E482" s="523"/>
    </row>
    <row r="483" spans="1:5" s="524" customFormat="1" x14ac:dyDescent="0.2">
      <c r="A483" s="523"/>
      <c r="B483" s="523"/>
      <c r="C483" s="523"/>
      <c r="D483" s="523"/>
      <c r="E483" s="523"/>
    </row>
    <row r="484" spans="1:5" s="524" customFormat="1" x14ac:dyDescent="0.2">
      <c r="A484" s="523"/>
      <c r="B484" s="523"/>
      <c r="C484" s="523"/>
      <c r="D484" s="523"/>
      <c r="E484" s="523"/>
    </row>
    <row r="485" spans="1:5" s="524" customFormat="1" x14ac:dyDescent="0.2">
      <c r="A485" s="523"/>
      <c r="B485" s="523"/>
      <c r="C485" s="523"/>
      <c r="D485" s="523"/>
      <c r="E485" s="523"/>
    </row>
    <row r="486" spans="1:5" s="524" customFormat="1" x14ac:dyDescent="0.2">
      <c r="A486" s="523"/>
      <c r="B486" s="523"/>
      <c r="C486" s="523"/>
      <c r="D486" s="523"/>
      <c r="E486" s="523"/>
    </row>
    <row r="487" spans="1:5" s="524" customFormat="1" x14ac:dyDescent="0.2">
      <c r="A487" s="523"/>
      <c r="B487" s="523"/>
      <c r="C487" s="523"/>
      <c r="D487" s="523"/>
      <c r="E487" s="523"/>
    </row>
    <row r="488" spans="1:5" s="524" customFormat="1" x14ac:dyDescent="0.2">
      <c r="A488" s="523"/>
      <c r="B488" s="523"/>
      <c r="C488" s="523"/>
      <c r="D488" s="523"/>
      <c r="E488" s="523"/>
    </row>
    <row r="489" spans="1:5" s="524" customFormat="1" x14ac:dyDescent="0.2">
      <c r="A489" s="523"/>
      <c r="B489" s="523"/>
      <c r="C489" s="523"/>
      <c r="D489" s="523"/>
      <c r="E489" s="523"/>
    </row>
    <row r="490" spans="1:5" s="524" customFormat="1" x14ac:dyDescent="0.2">
      <c r="A490" s="523"/>
      <c r="B490" s="523"/>
      <c r="C490" s="523"/>
      <c r="D490" s="523"/>
      <c r="E490" s="523"/>
    </row>
    <row r="491" spans="1:5" s="524" customFormat="1" x14ac:dyDescent="0.2">
      <c r="A491" s="523"/>
      <c r="B491" s="523"/>
      <c r="C491" s="523"/>
      <c r="D491" s="523"/>
      <c r="E491" s="523"/>
    </row>
    <row r="492" spans="1:5" s="524" customFormat="1" x14ac:dyDescent="0.2">
      <c r="A492" s="523"/>
      <c r="B492" s="523"/>
      <c r="C492" s="523"/>
      <c r="D492" s="523"/>
      <c r="E492" s="523"/>
    </row>
    <row r="493" spans="1:5" s="524" customFormat="1" x14ac:dyDescent="0.2">
      <c r="A493" s="523"/>
      <c r="B493" s="523"/>
      <c r="C493" s="523"/>
      <c r="D493" s="523"/>
      <c r="E493" s="523"/>
    </row>
    <row r="494" spans="1:5" s="524" customFormat="1" x14ac:dyDescent="0.2">
      <c r="A494" s="523"/>
      <c r="B494" s="523"/>
      <c r="C494" s="523"/>
      <c r="D494" s="523"/>
      <c r="E494" s="523"/>
    </row>
    <row r="495" spans="1:5" s="524" customFormat="1" x14ac:dyDescent="0.2">
      <c r="A495" s="523"/>
      <c r="B495" s="523"/>
      <c r="C495" s="523"/>
      <c r="D495" s="523"/>
      <c r="E495" s="523"/>
    </row>
    <row r="496" spans="1:5" s="524" customFormat="1" x14ac:dyDescent="0.2">
      <c r="A496" s="523"/>
      <c r="B496" s="523"/>
      <c r="C496" s="523"/>
      <c r="D496" s="523"/>
      <c r="E496" s="523"/>
    </row>
    <row r="497" spans="1:5" s="524" customFormat="1" x14ac:dyDescent="0.2">
      <c r="A497" s="523"/>
      <c r="B497" s="523"/>
      <c r="C497" s="523"/>
      <c r="D497" s="523"/>
      <c r="E497" s="523"/>
    </row>
    <row r="498" spans="1:5" s="524" customFormat="1" x14ac:dyDescent="0.2">
      <c r="A498" s="523"/>
      <c r="B498" s="523"/>
      <c r="C498" s="523"/>
      <c r="D498" s="523"/>
      <c r="E498" s="523"/>
    </row>
    <row r="499" spans="1:5" s="524" customFormat="1" x14ac:dyDescent="0.2">
      <c r="A499" s="523"/>
      <c r="B499" s="523"/>
      <c r="C499" s="523"/>
      <c r="D499" s="523"/>
      <c r="E499" s="523"/>
    </row>
    <row r="500" spans="1:5" s="524" customFormat="1" x14ac:dyDescent="0.2">
      <c r="A500" s="523"/>
      <c r="B500" s="523"/>
      <c r="C500" s="523"/>
      <c r="D500" s="523"/>
      <c r="E500" s="523"/>
    </row>
    <row r="501" spans="1:5" s="524" customFormat="1" x14ac:dyDescent="0.2">
      <c r="A501" s="523"/>
      <c r="B501" s="523"/>
      <c r="C501" s="523"/>
      <c r="D501" s="523"/>
      <c r="E501" s="523"/>
    </row>
    <row r="502" spans="1:5" s="524" customFormat="1" x14ac:dyDescent="0.2">
      <c r="A502" s="523"/>
      <c r="B502" s="523"/>
      <c r="C502" s="523"/>
      <c r="D502" s="523"/>
      <c r="E502" s="523"/>
    </row>
    <row r="503" spans="1:5" s="524" customFormat="1" x14ac:dyDescent="0.2">
      <c r="A503" s="523"/>
      <c r="B503" s="523"/>
      <c r="C503" s="523"/>
      <c r="D503" s="523"/>
      <c r="E503" s="523"/>
    </row>
    <row r="504" spans="1:5" s="524" customFormat="1" x14ac:dyDescent="0.2">
      <c r="A504" s="523"/>
      <c r="B504" s="523"/>
      <c r="C504" s="523"/>
      <c r="D504" s="523"/>
      <c r="E504" s="523"/>
    </row>
    <row r="505" spans="1:5" s="524" customFormat="1" x14ac:dyDescent="0.2">
      <c r="A505" s="523"/>
      <c r="B505" s="523"/>
      <c r="C505" s="523"/>
      <c r="D505" s="523"/>
      <c r="E505" s="523"/>
    </row>
    <row r="506" spans="1:5" s="524" customFormat="1" x14ac:dyDescent="0.2">
      <c r="A506" s="523"/>
      <c r="B506" s="523"/>
      <c r="C506" s="523"/>
      <c r="D506" s="523"/>
      <c r="E506" s="523"/>
    </row>
    <row r="507" spans="1:5" s="524" customFormat="1" x14ac:dyDescent="0.2">
      <c r="A507" s="523"/>
      <c r="B507" s="523"/>
      <c r="C507" s="523"/>
      <c r="D507" s="523"/>
      <c r="E507" s="523"/>
    </row>
    <row r="508" spans="1:5" s="524" customFormat="1" x14ac:dyDescent="0.2">
      <c r="A508" s="523"/>
      <c r="B508" s="523"/>
      <c r="C508" s="523"/>
      <c r="D508" s="523"/>
      <c r="E508" s="523"/>
    </row>
    <row r="509" spans="1:5" s="524" customFormat="1" x14ac:dyDescent="0.2">
      <c r="A509" s="523"/>
      <c r="B509" s="523"/>
      <c r="C509" s="523"/>
      <c r="D509" s="523"/>
      <c r="E509" s="523"/>
    </row>
    <row r="510" spans="1:5" s="524" customFormat="1" x14ac:dyDescent="0.2">
      <c r="A510" s="523"/>
      <c r="B510" s="523"/>
      <c r="C510" s="523"/>
      <c r="D510" s="523"/>
      <c r="E510" s="523"/>
    </row>
    <row r="511" spans="1:5" s="524" customFormat="1" x14ac:dyDescent="0.2">
      <c r="A511" s="523"/>
      <c r="B511" s="523"/>
      <c r="C511" s="523"/>
      <c r="D511" s="523"/>
      <c r="E511" s="523"/>
    </row>
    <row r="512" spans="1:5" s="524" customFormat="1" x14ac:dyDescent="0.2">
      <c r="A512" s="523"/>
      <c r="B512" s="523"/>
      <c r="C512" s="523"/>
      <c r="D512" s="523"/>
      <c r="E512" s="523"/>
    </row>
    <row r="513" spans="1:5" s="524" customFormat="1" x14ac:dyDescent="0.2">
      <c r="A513" s="523"/>
      <c r="B513" s="523"/>
      <c r="C513" s="523"/>
      <c r="D513" s="523"/>
      <c r="E513" s="523"/>
    </row>
    <row r="514" spans="1:5" s="524" customFormat="1" x14ac:dyDescent="0.2">
      <c r="A514" s="523"/>
      <c r="B514" s="523"/>
      <c r="C514" s="523"/>
      <c r="D514" s="523"/>
      <c r="E514" s="523"/>
    </row>
    <row r="515" spans="1:5" s="524" customFormat="1" x14ac:dyDescent="0.2">
      <c r="A515" s="523"/>
      <c r="B515" s="523"/>
      <c r="C515" s="523"/>
      <c r="D515" s="523"/>
      <c r="E515" s="523"/>
    </row>
    <row r="516" spans="1:5" s="524" customFormat="1" x14ac:dyDescent="0.2">
      <c r="A516" s="523"/>
      <c r="B516" s="523"/>
      <c r="C516" s="523"/>
      <c r="D516" s="523"/>
      <c r="E516" s="523"/>
    </row>
    <row r="517" spans="1:5" s="524" customFormat="1" x14ac:dyDescent="0.2">
      <c r="A517" s="523"/>
      <c r="B517" s="523"/>
      <c r="C517" s="523"/>
      <c r="D517" s="523"/>
      <c r="E517" s="523"/>
    </row>
    <row r="518" spans="1:5" s="524" customFormat="1" x14ac:dyDescent="0.2">
      <c r="A518" s="523"/>
      <c r="B518" s="523"/>
      <c r="C518" s="523"/>
      <c r="D518" s="523"/>
      <c r="E518" s="523"/>
    </row>
    <row r="519" spans="1:5" s="524" customFormat="1" x14ac:dyDescent="0.2">
      <c r="A519" s="523"/>
      <c r="B519" s="523"/>
      <c r="C519" s="523"/>
      <c r="D519" s="523"/>
      <c r="E519" s="523"/>
    </row>
    <row r="520" spans="1:5" s="524" customFormat="1" x14ac:dyDescent="0.2">
      <c r="A520" s="523"/>
      <c r="B520" s="523"/>
      <c r="C520" s="523"/>
      <c r="D520" s="523"/>
      <c r="E520" s="523"/>
    </row>
    <row r="521" spans="1:5" s="524" customFormat="1" x14ac:dyDescent="0.2">
      <c r="A521" s="523"/>
      <c r="B521" s="523"/>
      <c r="C521" s="523"/>
      <c r="D521" s="523"/>
      <c r="E521" s="523"/>
    </row>
    <row r="522" spans="1:5" s="524" customFormat="1" x14ac:dyDescent="0.2">
      <c r="A522" s="523"/>
      <c r="B522" s="523"/>
      <c r="C522" s="523"/>
      <c r="D522" s="523"/>
      <c r="E522" s="523"/>
    </row>
    <row r="523" spans="1:5" s="524" customFormat="1" x14ac:dyDescent="0.2">
      <c r="A523" s="523"/>
      <c r="B523" s="523"/>
      <c r="C523" s="523"/>
      <c r="D523" s="523"/>
      <c r="E523" s="523"/>
    </row>
    <row r="524" spans="1:5" s="524" customFormat="1" x14ac:dyDescent="0.2">
      <c r="A524" s="523"/>
      <c r="B524" s="523"/>
      <c r="C524" s="523"/>
      <c r="D524" s="523"/>
      <c r="E524" s="523"/>
    </row>
    <row r="525" spans="1:5" s="524" customFormat="1" x14ac:dyDescent="0.2">
      <c r="A525" s="523"/>
      <c r="B525" s="523"/>
      <c r="C525" s="523"/>
      <c r="D525" s="523"/>
      <c r="E525" s="523"/>
    </row>
    <row r="526" spans="1:5" s="524" customFormat="1" x14ac:dyDescent="0.2">
      <c r="A526" s="523"/>
      <c r="B526" s="523"/>
      <c r="C526" s="523"/>
      <c r="D526" s="523"/>
      <c r="E526" s="523"/>
    </row>
    <row r="527" spans="1:5" s="524" customFormat="1" x14ac:dyDescent="0.2">
      <c r="A527" s="523"/>
      <c r="B527" s="523"/>
      <c r="C527" s="523"/>
      <c r="D527" s="523"/>
      <c r="E527" s="523"/>
    </row>
    <row r="528" spans="1:5" s="524" customFormat="1" x14ac:dyDescent="0.2">
      <c r="A528" s="523"/>
      <c r="B528" s="523"/>
      <c r="C528" s="523"/>
      <c r="D528" s="523"/>
      <c r="E528" s="523"/>
    </row>
    <row r="529" spans="1:5" s="524" customFormat="1" x14ac:dyDescent="0.2">
      <c r="A529" s="523"/>
      <c r="B529" s="523"/>
      <c r="C529" s="523"/>
      <c r="D529" s="523"/>
      <c r="E529" s="523"/>
    </row>
    <row r="530" spans="1:5" s="524" customFormat="1" x14ac:dyDescent="0.2">
      <c r="A530" s="523"/>
      <c r="B530" s="523"/>
      <c r="C530" s="523"/>
      <c r="D530" s="523"/>
      <c r="E530" s="523"/>
    </row>
    <row r="531" spans="1:5" s="524" customFormat="1" x14ac:dyDescent="0.2">
      <c r="A531" s="523"/>
      <c r="B531" s="523"/>
      <c r="C531" s="523"/>
      <c r="D531" s="523"/>
      <c r="E531" s="523"/>
    </row>
    <row r="532" spans="1:5" s="524" customFormat="1" x14ac:dyDescent="0.2">
      <c r="A532" s="523"/>
      <c r="B532" s="523"/>
      <c r="C532" s="523"/>
      <c r="D532" s="523"/>
      <c r="E532" s="523"/>
    </row>
    <row r="533" spans="1:5" s="524" customFormat="1" x14ac:dyDescent="0.2">
      <c r="A533" s="523"/>
      <c r="B533" s="523"/>
      <c r="C533" s="523"/>
      <c r="D533" s="523"/>
      <c r="E533" s="523"/>
    </row>
    <row r="534" spans="1:5" s="524" customFormat="1" x14ac:dyDescent="0.2">
      <c r="A534" s="523"/>
      <c r="B534" s="523"/>
      <c r="C534" s="523"/>
      <c r="D534" s="523"/>
      <c r="E534" s="523"/>
    </row>
    <row r="535" spans="1:5" s="524" customFormat="1" x14ac:dyDescent="0.2">
      <c r="A535" s="523"/>
      <c r="B535" s="523"/>
      <c r="C535" s="523"/>
      <c r="D535" s="523"/>
      <c r="E535" s="523"/>
    </row>
    <row r="536" spans="1:5" s="524" customFormat="1" x14ac:dyDescent="0.2">
      <c r="A536" s="523"/>
      <c r="B536" s="523"/>
      <c r="C536" s="523"/>
      <c r="D536" s="523"/>
      <c r="E536" s="523"/>
    </row>
    <row r="537" spans="1:5" s="524" customFormat="1" x14ac:dyDescent="0.2">
      <c r="A537" s="523"/>
      <c r="B537" s="523"/>
      <c r="C537" s="523"/>
      <c r="D537" s="523"/>
      <c r="E537" s="523"/>
    </row>
    <row r="538" spans="1:5" s="524" customFormat="1" x14ac:dyDescent="0.2">
      <c r="A538" s="523"/>
      <c r="B538" s="523"/>
      <c r="C538" s="523"/>
      <c r="D538" s="523"/>
      <c r="E538" s="523"/>
    </row>
    <row r="539" spans="1:5" s="524" customFormat="1" x14ac:dyDescent="0.2">
      <c r="A539" s="523"/>
      <c r="B539" s="523"/>
      <c r="C539" s="523"/>
      <c r="D539" s="523"/>
      <c r="E539" s="523"/>
    </row>
    <row r="540" spans="1:5" s="524" customFormat="1" x14ac:dyDescent="0.2">
      <c r="A540" s="523"/>
      <c r="B540" s="523"/>
      <c r="C540" s="523"/>
      <c r="D540" s="523"/>
      <c r="E540" s="523"/>
    </row>
    <row r="541" spans="1:5" s="524" customFormat="1" x14ac:dyDescent="0.2">
      <c r="A541" s="523"/>
      <c r="B541" s="523"/>
      <c r="C541" s="523"/>
      <c r="D541" s="523"/>
      <c r="E541" s="523"/>
    </row>
    <row r="542" spans="1:5" s="524" customFormat="1" x14ac:dyDescent="0.2">
      <c r="A542" s="523"/>
      <c r="B542" s="523"/>
      <c r="C542" s="523"/>
      <c r="D542" s="523"/>
      <c r="E542" s="523"/>
    </row>
    <row r="543" spans="1:5" s="524" customFormat="1" x14ac:dyDescent="0.2">
      <c r="A543" s="523"/>
      <c r="B543" s="523"/>
      <c r="C543" s="523"/>
      <c r="D543" s="523"/>
      <c r="E543" s="523"/>
    </row>
    <row r="544" spans="1:5" s="524" customFormat="1" x14ac:dyDescent="0.2">
      <c r="A544" s="523"/>
      <c r="B544" s="523"/>
      <c r="C544" s="523"/>
      <c r="D544" s="523"/>
      <c r="E544" s="523"/>
    </row>
    <row r="545" spans="1:5" s="524" customFormat="1" x14ac:dyDescent="0.2">
      <c r="A545" s="523"/>
      <c r="B545" s="523"/>
      <c r="C545" s="523"/>
      <c r="D545" s="523"/>
      <c r="E545" s="523"/>
    </row>
    <row r="546" spans="1:5" s="524" customFormat="1" x14ac:dyDescent="0.2">
      <c r="A546" s="523"/>
      <c r="B546" s="523"/>
      <c r="C546" s="523"/>
      <c r="D546" s="523"/>
      <c r="E546" s="523"/>
    </row>
    <row r="547" spans="1:5" s="524" customFormat="1" x14ac:dyDescent="0.2">
      <c r="A547" s="523"/>
      <c r="B547" s="523"/>
      <c r="C547" s="523"/>
      <c r="D547" s="523"/>
      <c r="E547" s="523"/>
    </row>
    <row r="548" spans="1:5" s="524" customFormat="1" x14ac:dyDescent="0.2">
      <c r="A548" s="523"/>
      <c r="B548" s="523"/>
      <c r="C548" s="523"/>
      <c r="D548" s="523"/>
      <c r="E548" s="523"/>
    </row>
    <row r="549" spans="1:5" s="524" customFormat="1" x14ac:dyDescent="0.2">
      <c r="A549" s="523"/>
      <c r="B549" s="523"/>
      <c r="C549" s="523"/>
      <c r="D549" s="523"/>
      <c r="E549" s="523"/>
    </row>
    <row r="550" spans="1:5" s="524" customFormat="1" x14ac:dyDescent="0.2">
      <c r="A550" s="523"/>
      <c r="B550" s="523"/>
      <c r="C550" s="523"/>
      <c r="D550" s="523"/>
      <c r="E550" s="523"/>
    </row>
    <row r="551" spans="1:5" s="524" customFormat="1" x14ac:dyDescent="0.2">
      <c r="A551" s="523"/>
      <c r="B551" s="523"/>
      <c r="C551" s="523"/>
      <c r="D551" s="523"/>
      <c r="E551" s="523"/>
    </row>
    <row r="552" spans="1:5" s="524" customFormat="1" x14ac:dyDescent="0.2">
      <c r="A552" s="523"/>
      <c r="B552" s="523"/>
      <c r="C552" s="523"/>
      <c r="D552" s="523"/>
      <c r="E552" s="523"/>
    </row>
    <row r="553" spans="1:5" s="524" customFormat="1" x14ac:dyDescent="0.2">
      <c r="A553" s="523"/>
      <c r="B553" s="523"/>
      <c r="C553" s="523"/>
      <c r="D553" s="523"/>
      <c r="E553" s="523"/>
    </row>
    <row r="554" spans="1:5" s="524" customFormat="1" x14ac:dyDescent="0.2">
      <c r="A554" s="523"/>
      <c r="B554" s="523"/>
      <c r="C554" s="523"/>
      <c r="D554" s="523"/>
      <c r="E554" s="523"/>
    </row>
    <row r="555" spans="1:5" s="524" customFormat="1" x14ac:dyDescent="0.2">
      <c r="A555" s="523"/>
      <c r="B555" s="523"/>
      <c r="C555" s="523"/>
      <c r="D555" s="523"/>
      <c r="E555" s="523"/>
    </row>
    <row r="556" spans="1:5" s="524" customFormat="1" x14ac:dyDescent="0.2">
      <c r="A556" s="523"/>
      <c r="B556" s="523"/>
      <c r="C556" s="523"/>
      <c r="D556" s="523"/>
      <c r="E556" s="523"/>
    </row>
    <row r="557" spans="1:5" s="524" customFormat="1" x14ac:dyDescent="0.2">
      <c r="A557" s="523"/>
      <c r="B557" s="523"/>
      <c r="C557" s="523"/>
      <c r="D557" s="523"/>
      <c r="E557" s="523"/>
    </row>
    <row r="558" spans="1:5" s="524" customFormat="1" x14ac:dyDescent="0.2">
      <c r="A558" s="523"/>
      <c r="B558" s="523"/>
      <c r="C558" s="523"/>
      <c r="D558" s="523"/>
      <c r="E558" s="523"/>
    </row>
    <row r="559" spans="1:5" s="524" customFormat="1" x14ac:dyDescent="0.2">
      <c r="A559" s="523"/>
      <c r="B559" s="523"/>
      <c r="C559" s="523"/>
      <c r="D559" s="523"/>
      <c r="E559" s="523"/>
    </row>
    <row r="560" spans="1:5" s="524" customFormat="1" x14ac:dyDescent="0.2">
      <c r="A560" s="523"/>
      <c r="B560" s="523"/>
      <c r="C560" s="523"/>
      <c r="D560" s="523"/>
      <c r="E560" s="523"/>
    </row>
    <row r="561" spans="1:5" s="524" customFormat="1" x14ac:dyDescent="0.2">
      <c r="A561" s="523"/>
      <c r="B561" s="523"/>
      <c r="C561" s="523"/>
      <c r="D561" s="523"/>
      <c r="E561" s="523"/>
    </row>
    <row r="562" spans="1:5" s="524" customFormat="1" x14ac:dyDescent="0.2">
      <c r="A562" s="523"/>
      <c r="B562" s="523"/>
      <c r="C562" s="523"/>
      <c r="D562" s="523"/>
      <c r="E562" s="523"/>
    </row>
    <row r="563" spans="1:5" s="524" customFormat="1" x14ac:dyDescent="0.2">
      <c r="A563" s="523"/>
      <c r="B563" s="523"/>
      <c r="C563" s="523"/>
      <c r="D563" s="523"/>
      <c r="E563" s="523"/>
    </row>
    <row r="564" spans="1:5" s="524" customFormat="1" x14ac:dyDescent="0.2">
      <c r="A564" s="523"/>
      <c r="B564" s="523"/>
      <c r="C564" s="523"/>
      <c r="D564" s="523"/>
      <c r="E564" s="523"/>
    </row>
    <row r="565" spans="1:5" s="524" customFormat="1" x14ac:dyDescent="0.2">
      <c r="A565" s="523"/>
      <c r="B565" s="523"/>
      <c r="C565" s="523"/>
      <c r="D565" s="523"/>
      <c r="E565" s="523"/>
    </row>
    <row r="566" spans="1:5" s="524" customFormat="1" x14ac:dyDescent="0.2">
      <c r="A566" s="523"/>
      <c r="B566" s="523"/>
      <c r="C566" s="523"/>
      <c r="D566" s="523"/>
      <c r="E566" s="523"/>
    </row>
    <row r="567" spans="1:5" s="524" customFormat="1" x14ac:dyDescent="0.2">
      <c r="A567" s="523"/>
      <c r="B567" s="523"/>
      <c r="C567" s="523"/>
      <c r="D567" s="523"/>
      <c r="E567" s="523"/>
    </row>
    <row r="568" spans="1:5" s="524" customFormat="1" x14ac:dyDescent="0.2">
      <c r="A568" s="523"/>
      <c r="B568" s="523"/>
      <c r="C568" s="523"/>
      <c r="D568" s="523"/>
      <c r="E568" s="523"/>
    </row>
    <row r="569" spans="1:5" s="524" customFormat="1" x14ac:dyDescent="0.2">
      <c r="A569" s="523"/>
      <c r="B569" s="523"/>
      <c r="C569" s="523"/>
      <c r="D569" s="523"/>
      <c r="E569" s="523"/>
    </row>
    <row r="570" spans="1:5" s="524" customFormat="1" x14ac:dyDescent="0.2">
      <c r="A570" s="523"/>
      <c r="B570" s="523"/>
      <c r="C570" s="523"/>
      <c r="D570" s="523"/>
      <c r="E570" s="523"/>
    </row>
    <row r="571" spans="1:5" s="524" customFormat="1" x14ac:dyDescent="0.2">
      <c r="A571" s="523"/>
      <c r="B571" s="523"/>
      <c r="C571" s="523"/>
      <c r="D571" s="523"/>
      <c r="E571" s="523"/>
    </row>
    <row r="572" spans="1:5" s="524" customFormat="1" x14ac:dyDescent="0.2">
      <c r="A572" s="523"/>
      <c r="B572" s="523"/>
      <c r="C572" s="523"/>
      <c r="D572" s="523"/>
      <c r="E572" s="523"/>
    </row>
    <row r="573" spans="1:5" s="524" customFormat="1" x14ac:dyDescent="0.2">
      <c r="A573" s="523"/>
      <c r="B573" s="523"/>
      <c r="C573" s="523"/>
      <c r="D573" s="523"/>
      <c r="E573" s="523"/>
    </row>
    <row r="574" spans="1:5" s="524" customFormat="1" x14ac:dyDescent="0.2">
      <c r="A574" s="523"/>
      <c r="B574" s="523"/>
      <c r="C574" s="523"/>
      <c r="D574" s="523"/>
      <c r="E574" s="523"/>
    </row>
    <row r="575" spans="1:5" s="524" customFormat="1" x14ac:dyDescent="0.2">
      <c r="A575" s="523"/>
      <c r="B575" s="523"/>
      <c r="C575" s="523"/>
      <c r="D575" s="523"/>
      <c r="E575" s="523"/>
    </row>
    <row r="576" spans="1:5" s="524" customFormat="1" x14ac:dyDescent="0.2">
      <c r="A576" s="523"/>
      <c r="B576" s="523"/>
      <c r="C576" s="523"/>
      <c r="D576" s="523"/>
      <c r="E576" s="523"/>
    </row>
    <row r="577" spans="1:5" s="524" customFormat="1" x14ac:dyDescent="0.2">
      <c r="A577" s="523"/>
      <c r="B577" s="523"/>
      <c r="C577" s="523"/>
      <c r="D577" s="523"/>
      <c r="E577" s="523"/>
    </row>
    <row r="578" spans="1:5" s="524" customFormat="1" x14ac:dyDescent="0.2">
      <c r="A578" s="523"/>
      <c r="B578" s="523"/>
      <c r="C578" s="523"/>
      <c r="D578" s="523"/>
      <c r="E578" s="523"/>
    </row>
    <row r="579" spans="1:5" s="524" customFormat="1" x14ac:dyDescent="0.2">
      <c r="A579" s="523"/>
      <c r="B579" s="523"/>
      <c r="C579" s="523"/>
      <c r="D579" s="523"/>
      <c r="E579" s="523"/>
    </row>
    <row r="580" spans="1:5" s="524" customFormat="1" x14ac:dyDescent="0.2">
      <c r="A580" s="523"/>
      <c r="B580" s="523"/>
      <c r="C580" s="523"/>
      <c r="D580" s="523"/>
      <c r="E580" s="523"/>
    </row>
    <row r="581" spans="1:5" s="524" customFormat="1" x14ac:dyDescent="0.2">
      <c r="A581" s="523"/>
      <c r="B581" s="523"/>
      <c r="C581" s="523"/>
      <c r="D581" s="523"/>
      <c r="E581" s="523"/>
    </row>
    <row r="582" spans="1:5" s="524" customFormat="1" x14ac:dyDescent="0.2">
      <c r="A582" s="523"/>
      <c r="B582" s="523"/>
      <c r="C582" s="523"/>
      <c r="D582" s="523"/>
      <c r="E582" s="523"/>
    </row>
    <row r="583" spans="1:5" s="524" customFormat="1" x14ac:dyDescent="0.2">
      <c r="A583" s="523"/>
      <c r="B583" s="523"/>
      <c r="C583" s="523"/>
      <c r="D583" s="523"/>
      <c r="E583" s="523"/>
    </row>
    <row r="584" spans="1:5" s="524" customFormat="1" x14ac:dyDescent="0.2">
      <c r="A584" s="523"/>
      <c r="B584" s="523"/>
      <c r="C584" s="523"/>
      <c r="D584" s="523"/>
      <c r="E584" s="523"/>
    </row>
    <row r="585" spans="1:5" s="524" customFormat="1" x14ac:dyDescent="0.2">
      <c r="A585" s="523"/>
      <c r="B585" s="523"/>
      <c r="C585" s="523"/>
      <c r="D585" s="523"/>
      <c r="E585" s="523"/>
    </row>
    <row r="586" spans="1:5" s="524" customFormat="1" x14ac:dyDescent="0.2">
      <c r="A586" s="523"/>
      <c r="B586" s="523"/>
      <c r="C586" s="523"/>
      <c r="D586" s="523"/>
      <c r="E586" s="523"/>
    </row>
    <row r="587" spans="1:5" s="524" customFormat="1" x14ac:dyDescent="0.2">
      <c r="A587" s="523"/>
      <c r="B587" s="523"/>
      <c r="C587" s="523"/>
      <c r="D587" s="523"/>
      <c r="E587" s="523"/>
    </row>
    <row r="588" spans="1:5" s="524" customFormat="1" x14ac:dyDescent="0.2">
      <c r="A588" s="523"/>
      <c r="B588" s="523"/>
      <c r="C588" s="523"/>
      <c r="D588" s="523"/>
      <c r="E588" s="523"/>
    </row>
    <row r="589" spans="1:5" s="524" customFormat="1" x14ac:dyDescent="0.2">
      <c r="A589" s="523"/>
      <c r="B589" s="523"/>
      <c r="C589" s="523"/>
      <c r="D589" s="523"/>
      <c r="E589" s="523"/>
    </row>
    <row r="590" spans="1:5" s="524" customFormat="1" x14ac:dyDescent="0.2">
      <c r="A590" s="523"/>
      <c r="B590" s="523"/>
      <c r="C590" s="523"/>
      <c r="D590" s="523"/>
      <c r="E590" s="523"/>
    </row>
    <row r="591" spans="1:5" s="524" customFormat="1" x14ac:dyDescent="0.2">
      <c r="A591" s="523"/>
      <c r="B591" s="523"/>
      <c r="C591" s="523"/>
      <c r="D591" s="523"/>
      <c r="E591" s="523"/>
    </row>
    <row r="592" spans="1:5" s="524" customFormat="1" x14ac:dyDescent="0.2">
      <c r="A592" s="523"/>
      <c r="B592" s="523"/>
      <c r="C592" s="523"/>
      <c r="D592" s="523"/>
      <c r="E592" s="523"/>
    </row>
    <row r="593" spans="1:5" s="524" customFormat="1" x14ac:dyDescent="0.2">
      <c r="A593" s="523"/>
      <c r="B593" s="523"/>
      <c r="C593" s="523"/>
      <c r="D593" s="523"/>
      <c r="E593" s="523"/>
    </row>
    <row r="594" spans="1:5" s="524" customFormat="1" x14ac:dyDescent="0.2">
      <c r="A594" s="523"/>
      <c r="B594" s="523"/>
      <c r="C594" s="523"/>
      <c r="D594" s="523"/>
      <c r="E594" s="523"/>
    </row>
    <row r="595" spans="1:5" s="524" customFormat="1" x14ac:dyDescent="0.2">
      <c r="A595" s="523"/>
      <c r="B595" s="523"/>
      <c r="C595" s="523"/>
      <c r="D595" s="523"/>
      <c r="E595" s="523"/>
    </row>
    <row r="596" spans="1:5" s="524" customFormat="1" x14ac:dyDescent="0.2">
      <c r="A596" s="523"/>
      <c r="B596" s="523"/>
      <c r="C596" s="523"/>
      <c r="D596" s="523"/>
      <c r="E596" s="523"/>
    </row>
    <row r="597" spans="1:5" s="524" customFormat="1" x14ac:dyDescent="0.2">
      <c r="A597" s="523"/>
      <c r="B597" s="523"/>
      <c r="C597" s="523"/>
      <c r="D597" s="523"/>
      <c r="E597" s="523"/>
    </row>
    <row r="598" spans="1:5" s="524" customFormat="1" x14ac:dyDescent="0.2">
      <c r="A598" s="523"/>
      <c r="B598" s="523"/>
      <c r="C598" s="523"/>
      <c r="D598" s="523"/>
      <c r="E598" s="523"/>
    </row>
    <row r="599" spans="1:5" s="524" customFormat="1" x14ac:dyDescent="0.2">
      <c r="A599" s="523"/>
      <c r="B599" s="523"/>
      <c r="C599" s="523"/>
      <c r="D599" s="523"/>
      <c r="E599" s="523"/>
    </row>
    <row r="600" spans="1:5" s="524" customFormat="1" x14ac:dyDescent="0.2">
      <c r="A600" s="523"/>
      <c r="B600" s="523"/>
      <c r="C600" s="523"/>
      <c r="D600" s="523"/>
      <c r="E600" s="523"/>
    </row>
    <row r="601" spans="1:5" s="524" customFormat="1" x14ac:dyDescent="0.2">
      <c r="A601" s="523"/>
      <c r="B601" s="523"/>
      <c r="C601" s="523"/>
      <c r="D601" s="523"/>
      <c r="E601" s="523"/>
    </row>
    <row r="602" spans="1:5" s="524" customFormat="1" x14ac:dyDescent="0.2">
      <c r="A602" s="523"/>
      <c r="B602" s="523"/>
      <c r="C602" s="523"/>
      <c r="D602" s="523"/>
      <c r="E602" s="523"/>
    </row>
    <row r="603" spans="1:5" s="524" customFormat="1" x14ac:dyDescent="0.2">
      <c r="A603" s="523"/>
      <c r="B603" s="523"/>
      <c r="C603" s="523"/>
      <c r="D603" s="523"/>
      <c r="E603" s="523"/>
    </row>
    <row r="604" spans="1:5" s="524" customFormat="1" x14ac:dyDescent="0.2">
      <c r="A604" s="523"/>
      <c r="B604" s="523"/>
      <c r="C604" s="523"/>
      <c r="D604" s="523"/>
      <c r="E604" s="523"/>
    </row>
    <row r="605" spans="1:5" s="524" customFormat="1" x14ac:dyDescent="0.2">
      <c r="A605" s="523"/>
      <c r="B605" s="523"/>
      <c r="C605" s="523"/>
      <c r="D605" s="523"/>
      <c r="E605" s="523"/>
    </row>
    <row r="606" spans="1:5" s="524" customFormat="1" x14ac:dyDescent="0.2">
      <c r="A606" s="523"/>
      <c r="B606" s="523"/>
      <c r="C606" s="523"/>
      <c r="D606" s="523"/>
      <c r="E606" s="523"/>
    </row>
    <row r="607" spans="1:5" s="524" customFormat="1" x14ac:dyDescent="0.2">
      <c r="A607" s="523"/>
      <c r="B607" s="523"/>
      <c r="C607" s="523"/>
      <c r="D607" s="523"/>
      <c r="E607" s="523"/>
    </row>
    <row r="608" spans="1:5" s="524" customFormat="1" x14ac:dyDescent="0.2">
      <c r="A608" s="523"/>
      <c r="B608" s="523"/>
      <c r="C608" s="523"/>
      <c r="D608" s="523"/>
      <c r="E608" s="523"/>
    </row>
    <row r="609" spans="1:5" s="524" customFormat="1" x14ac:dyDescent="0.2">
      <c r="A609" s="523"/>
      <c r="B609" s="523"/>
      <c r="C609" s="523"/>
      <c r="D609" s="523"/>
      <c r="E609" s="523"/>
    </row>
    <row r="610" spans="1:5" s="524" customFormat="1" x14ac:dyDescent="0.2">
      <c r="A610" s="523"/>
      <c r="B610" s="523"/>
      <c r="C610" s="523"/>
      <c r="D610" s="523"/>
      <c r="E610" s="523"/>
    </row>
    <row r="611" spans="1:5" s="524" customFormat="1" x14ac:dyDescent="0.2">
      <c r="A611" s="523"/>
      <c r="B611" s="523"/>
      <c r="C611" s="523"/>
      <c r="D611" s="523"/>
      <c r="E611" s="523"/>
    </row>
    <row r="612" spans="1:5" s="524" customFormat="1" x14ac:dyDescent="0.2">
      <c r="A612" s="523"/>
      <c r="B612" s="523"/>
      <c r="C612" s="523"/>
      <c r="D612" s="523"/>
      <c r="E612" s="523"/>
    </row>
    <row r="613" spans="1:5" s="524" customFormat="1" x14ac:dyDescent="0.2">
      <c r="A613" s="523"/>
      <c r="B613" s="523"/>
      <c r="C613" s="523"/>
      <c r="D613" s="523"/>
      <c r="E613" s="523"/>
    </row>
    <row r="614" spans="1:5" s="524" customFormat="1" x14ac:dyDescent="0.2">
      <c r="A614" s="523"/>
      <c r="B614" s="523"/>
      <c r="C614" s="523"/>
      <c r="D614" s="523"/>
      <c r="E614" s="523"/>
    </row>
    <row r="615" spans="1:5" s="524" customFormat="1" x14ac:dyDescent="0.2">
      <c r="A615" s="523"/>
      <c r="B615" s="523"/>
      <c r="C615" s="523"/>
      <c r="D615" s="523"/>
      <c r="E615" s="523"/>
    </row>
    <row r="616" spans="1:5" s="524" customFormat="1" x14ac:dyDescent="0.2">
      <c r="A616" s="523"/>
      <c r="B616" s="523"/>
      <c r="C616" s="523"/>
      <c r="D616" s="523"/>
      <c r="E616" s="523"/>
    </row>
    <row r="617" spans="1:5" s="524" customFormat="1" x14ac:dyDescent="0.2">
      <c r="A617" s="523"/>
      <c r="B617" s="523"/>
      <c r="C617" s="523"/>
      <c r="D617" s="523"/>
      <c r="E617" s="523"/>
    </row>
    <row r="618" spans="1:5" s="524" customFormat="1" x14ac:dyDescent="0.2">
      <c r="A618" s="523"/>
      <c r="B618" s="523"/>
      <c r="C618" s="523"/>
      <c r="D618" s="523"/>
      <c r="E618" s="523"/>
    </row>
    <row r="619" spans="1:5" s="524" customFormat="1" x14ac:dyDescent="0.2">
      <c r="A619" s="523"/>
      <c r="B619" s="523"/>
      <c r="C619" s="523"/>
      <c r="D619" s="523"/>
      <c r="E619" s="523"/>
    </row>
    <row r="620" spans="1:5" s="524" customFormat="1" x14ac:dyDescent="0.2">
      <c r="A620" s="523"/>
      <c r="B620" s="523"/>
      <c r="C620" s="523"/>
      <c r="D620" s="523"/>
      <c r="E620" s="523"/>
    </row>
    <row r="621" spans="1:5" s="524" customFormat="1" x14ac:dyDescent="0.2">
      <c r="A621" s="523"/>
      <c r="B621" s="523"/>
      <c r="C621" s="523"/>
      <c r="D621" s="523"/>
      <c r="E621" s="523"/>
    </row>
    <row r="622" spans="1:5" s="524" customFormat="1" x14ac:dyDescent="0.2">
      <c r="A622" s="523"/>
      <c r="B622" s="523"/>
      <c r="C622" s="523"/>
      <c r="D622" s="523"/>
      <c r="E622" s="523"/>
    </row>
    <row r="623" spans="1:5" s="524" customFormat="1" x14ac:dyDescent="0.2">
      <c r="A623" s="523"/>
      <c r="B623" s="523"/>
      <c r="C623" s="523"/>
      <c r="D623" s="523"/>
      <c r="E623" s="523"/>
    </row>
    <row r="624" spans="1:5" s="524" customFormat="1" x14ac:dyDescent="0.2">
      <c r="A624" s="523"/>
      <c r="B624" s="523"/>
      <c r="C624" s="523"/>
      <c r="D624" s="523"/>
      <c r="E624" s="523"/>
    </row>
    <row r="625" spans="1:5" s="524" customFormat="1" x14ac:dyDescent="0.2">
      <c r="A625" s="523"/>
      <c r="B625" s="523"/>
      <c r="C625" s="523"/>
      <c r="D625" s="523"/>
      <c r="E625" s="523"/>
    </row>
    <row r="626" spans="1:5" s="524" customFormat="1" x14ac:dyDescent="0.2">
      <c r="A626" s="523"/>
      <c r="B626" s="523"/>
      <c r="C626" s="523"/>
      <c r="D626" s="523"/>
      <c r="E626" s="523"/>
    </row>
    <row r="627" spans="1:5" s="524" customFormat="1" x14ac:dyDescent="0.2">
      <c r="A627" s="523"/>
      <c r="B627" s="523"/>
      <c r="C627" s="523"/>
      <c r="D627" s="523"/>
      <c r="E627" s="523"/>
    </row>
    <row r="628" spans="1:5" s="524" customFormat="1" x14ac:dyDescent="0.2">
      <c r="A628" s="523"/>
      <c r="B628" s="523"/>
      <c r="C628" s="523"/>
      <c r="D628" s="523"/>
      <c r="E628" s="523"/>
    </row>
    <row r="629" spans="1:5" s="524" customFormat="1" x14ac:dyDescent="0.2">
      <c r="A629" s="523"/>
      <c r="B629" s="523"/>
      <c r="C629" s="523"/>
      <c r="D629" s="523"/>
      <c r="E629" s="523"/>
    </row>
    <row r="630" spans="1:5" s="524" customFormat="1" x14ac:dyDescent="0.2">
      <c r="A630" s="523"/>
      <c r="B630" s="523"/>
      <c r="C630" s="523"/>
      <c r="D630" s="523"/>
      <c r="E630" s="523"/>
    </row>
    <row r="631" spans="1:5" s="524" customFormat="1" x14ac:dyDescent="0.2">
      <c r="A631" s="523"/>
      <c r="B631" s="523"/>
      <c r="C631" s="523"/>
      <c r="D631" s="523"/>
      <c r="E631" s="523"/>
    </row>
    <row r="632" spans="1:5" s="524" customFormat="1" x14ac:dyDescent="0.2">
      <c r="A632" s="523"/>
      <c r="B632" s="523"/>
      <c r="C632" s="523"/>
      <c r="D632" s="523"/>
      <c r="E632" s="523"/>
    </row>
    <row r="633" spans="1:5" s="524" customFormat="1" x14ac:dyDescent="0.2">
      <c r="A633" s="523"/>
      <c r="B633" s="523"/>
      <c r="C633" s="523"/>
      <c r="D633" s="523"/>
      <c r="E633" s="523"/>
    </row>
    <row r="634" spans="1:5" s="524" customFormat="1" x14ac:dyDescent="0.2">
      <c r="A634" s="523"/>
      <c r="B634" s="523"/>
      <c r="C634" s="523"/>
      <c r="D634" s="523"/>
      <c r="E634" s="523"/>
    </row>
    <row r="635" spans="1:5" s="524" customFormat="1" x14ac:dyDescent="0.2">
      <c r="A635" s="523"/>
      <c r="B635" s="523"/>
      <c r="C635" s="523"/>
      <c r="D635" s="523"/>
      <c r="E635" s="523"/>
    </row>
    <row r="636" spans="1:5" s="524" customFormat="1" x14ac:dyDescent="0.2">
      <c r="A636" s="523"/>
      <c r="B636" s="523"/>
      <c r="C636" s="523"/>
      <c r="D636" s="523"/>
      <c r="E636" s="523"/>
    </row>
    <row r="637" spans="1:5" s="524" customFormat="1" x14ac:dyDescent="0.2">
      <c r="A637" s="523"/>
      <c r="B637" s="523"/>
      <c r="C637" s="523"/>
      <c r="D637" s="523"/>
      <c r="E637" s="523"/>
    </row>
    <row r="638" spans="1:5" s="524" customFormat="1" x14ac:dyDescent="0.2">
      <c r="A638" s="523"/>
      <c r="B638" s="523"/>
      <c r="C638" s="523"/>
      <c r="D638" s="523"/>
      <c r="E638" s="523"/>
    </row>
    <row r="639" spans="1:5" s="524" customFormat="1" x14ac:dyDescent="0.2">
      <c r="A639" s="523"/>
      <c r="B639" s="523"/>
      <c r="C639" s="523"/>
      <c r="D639" s="523"/>
      <c r="E639" s="523"/>
    </row>
    <row r="640" spans="1:5" s="524" customFormat="1" x14ac:dyDescent="0.2">
      <c r="A640" s="523"/>
      <c r="B640" s="523"/>
      <c r="C640" s="523"/>
      <c r="D640" s="523"/>
      <c r="E640" s="523"/>
    </row>
    <row r="641" spans="1:5" s="524" customFormat="1" x14ac:dyDescent="0.2">
      <c r="A641" s="523"/>
      <c r="B641" s="523"/>
      <c r="C641" s="523"/>
      <c r="D641" s="523"/>
      <c r="E641" s="523"/>
    </row>
    <row r="642" spans="1:5" s="524" customFormat="1" x14ac:dyDescent="0.2">
      <c r="A642" s="523"/>
      <c r="B642" s="523"/>
      <c r="C642" s="523"/>
      <c r="D642" s="523"/>
      <c r="E642" s="523"/>
    </row>
    <row r="643" spans="1:5" s="524" customFormat="1" x14ac:dyDescent="0.2">
      <c r="A643" s="523"/>
      <c r="B643" s="523"/>
      <c r="C643" s="523"/>
      <c r="D643" s="523"/>
      <c r="E643" s="523"/>
    </row>
    <row r="644" spans="1:5" s="524" customFormat="1" x14ac:dyDescent="0.2">
      <c r="A644" s="523"/>
      <c r="B644" s="523"/>
      <c r="C644" s="523"/>
      <c r="D644" s="523"/>
      <c r="E644" s="523"/>
    </row>
    <row r="645" spans="1:5" s="524" customFormat="1" x14ac:dyDescent="0.2">
      <c r="A645" s="523"/>
      <c r="B645" s="523"/>
      <c r="C645" s="523"/>
      <c r="D645" s="523"/>
      <c r="E645" s="523"/>
    </row>
    <row r="646" spans="1:5" s="524" customFormat="1" x14ac:dyDescent="0.2">
      <c r="A646" s="523"/>
      <c r="B646" s="523"/>
      <c r="C646" s="523"/>
      <c r="D646" s="523"/>
      <c r="E646" s="523"/>
    </row>
    <row r="647" spans="1:5" s="524" customFormat="1" x14ac:dyDescent="0.2">
      <c r="A647" s="523"/>
      <c r="B647" s="523"/>
      <c r="C647" s="523"/>
      <c r="D647" s="523"/>
      <c r="E647" s="523"/>
    </row>
    <row r="648" spans="1:5" s="524" customFormat="1" x14ac:dyDescent="0.2">
      <c r="A648" s="523"/>
      <c r="B648" s="523"/>
      <c r="C648" s="523"/>
      <c r="D648" s="523"/>
      <c r="E648" s="523"/>
    </row>
    <row r="649" spans="1:5" s="524" customFormat="1" x14ac:dyDescent="0.2">
      <c r="A649" s="523"/>
      <c r="B649" s="523"/>
      <c r="C649" s="523"/>
      <c r="D649" s="523"/>
      <c r="E649" s="523"/>
    </row>
    <row r="650" spans="1:5" s="524" customFormat="1" x14ac:dyDescent="0.2">
      <c r="A650" s="523"/>
      <c r="B650" s="523"/>
      <c r="C650" s="523"/>
      <c r="D650" s="523"/>
      <c r="E650" s="523"/>
    </row>
    <row r="651" spans="1:5" s="524" customFormat="1" x14ac:dyDescent="0.2">
      <c r="A651" s="523"/>
      <c r="B651" s="523"/>
      <c r="C651" s="523"/>
      <c r="D651" s="523"/>
      <c r="E651" s="523"/>
    </row>
    <row r="652" spans="1:5" s="524" customFormat="1" x14ac:dyDescent="0.2">
      <c r="A652" s="523"/>
      <c r="B652" s="523"/>
      <c r="C652" s="523"/>
      <c r="D652" s="523"/>
      <c r="E652" s="523"/>
    </row>
    <row r="653" spans="1:5" s="524" customFormat="1" x14ac:dyDescent="0.2">
      <c r="A653" s="523"/>
      <c r="B653" s="523"/>
      <c r="C653" s="523"/>
      <c r="D653" s="523"/>
      <c r="E653" s="523"/>
    </row>
    <row r="654" spans="1:5" s="524" customFormat="1" x14ac:dyDescent="0.2">
      <c r="A654" s="523"/>
      <c r="B654" s="523"/>
      <c r="C654" s="523"/>
      <c r="D654" s="523"/>
      <c r="E654" s="523"/>
    </row>
    <row r="655" spans="1:5" s="524" customFormat="1" x14ac:dyDescent="0.2">
      <c r="A655" s="523"/>
      <c r="B655" s="523"/>
      <c r="C655" s="523"/>
      <c r="D655" s="523"/>
      <c r="E655" s="523"/>
    </row>
    <row r="656" spans="1:5" s="524" customFormat="1" x14ac:dyDescent="0.2">
      <c r="A656" s="523"/>
      <c r="B656" s="523"/>
      <c r="C656" s="523"/>
      <c r="D656" s="523"/>
      <c r="E656" s="523"/>
    </row>
    <row r="657" spans="1:5" s="524" customFormat="1" x14ac:dyDescent="0.2">
      <c r="A657" s="523"/>
      <c r="B657" s="523"/>
      <c r="C657" s="523"/>
      <c r="D657" s="523"/>
      <c r="E657" s="523"/>
    </row>
    <row r="658" spans="1:5" s="524" customFormat="1" x14ac:dyDescent="0.2">
      <c r="A658" s="523"/>
      <c r="B658" s="523"/>
      <c r="C658" s="523"/>
      <c r="D658" s="523"/>
      <c r="E658" s="523"/>
    </row>
    <row r="659" spans="1:5" s="524" customFormat="1" x14ac:dyDescent="0.2">
      <c r="A659" s="523"/>
      <c r="B659" s="523"/>
      <c r="C659" s="523"/>
      <c r="D659" s="523"/>
      <c r="E659" s="523"/>
    </row>
    <row r="660" spans="1:5" s="524" customFormat="1" x14ac:dyDescent="0.2">
      <c r="A660" s="523"/>
      <c r="B660" s="523"/>
      <c r="C660" s="523"/>
      <c r="D660" s="523"/>
      <c r="E660" s="523"/>
    </row>
    <row r="661" spans="1:5" s="524" customFormat="1" x14ac:dyDescent="0.2">
      <c r="A661" s="523"/>
      <c r="B661" s="523"/>
      <c r="C661" s="523"/>
      <c r="D661" s="523"/>
      <c r="E661" s="523"/>
    </row>
    <row r="662" spans="1:5" s="524" customFormat="1" x14ac:dyDescent="0.2">
      <c r="A662" s="523"/>
      <c r="B662" s="523"/>
      <c r="C662" s="523"/>
      <c r="D662" s="523"/>
      <c r="E662" s="523"/>
    </row>
    <row r="663" spans="1:5" s="524" customFormat="1" x14ac:dyDescent="0.2">
      <c r="A663" s="523"/>
      <c r="B663" s="523"/>
      <c r="C663" s="523"/>
      <c r="D663" s="523"/>
      <c r="E663" s="523"/>
    </row>
    <row r="664" spans="1:5" s="524" customFormat="1" x14ac:dyDescent="0.2">
      <c r="A664" s="523"/>
      <c r="B664" s="523"/>
      <c r="C664" s="523"/>
      <c r="D664" s="523"/>
      <c r="E664" s="523"/>
    </row>
    <row r="665" spans="1:5" s="524" customFormat="1" x14ac:dyDescent="0.2">
      <c r="A665" s="523"/>
      <c r="B665" s="523"/>
      <c r="C665" s="523"/>
      <c r="D665" s="523"/>
      <c r="E665" s="523"/>
    </row>
    <row r="666" spans="1:5" s="524" customFormat="1" x14ac:dyDescent="0.2">
      <c r="A666" s="523"/>
      <c r="B666" s="523"/>
      <c r="C666" s="523"/>
      <c r="D666" s="523"/>
      <c r="E666" s="523"/>
    </row>
    <row r="667" spans="1:5" s="524" customFormat="1" x14ac:dyDescent="0.2">
      <c r="A667" s="523"/>
      <c r="B667" s="523"/>
      <c r="C667" s="523"/>
      <c r="D667" s="523"/>
      <c r="E667" s="523"/>
    </row>
    <row r="668" spans="1:5" s="524" customFormat="1" x14ac:dyDescent="0.2">
      <c r="A668" s="523"/>
      <c r="B668" s="523"/>
      <c r="C668" s="523"/>
      <c r="D668" s="523"/>
      <c r="E668" s="523"/>
    </row>
    <row r="669" spans="1:5" s="524" customFormat="1" x14ac:dyDescent="0.2">
      <c r="A669" s="523"/>
      <c r="B669" s="523"/>
      <c r="C669" s="523"/>
      <c r="D669" s="523"/>
      <c r="E669" s="523"/>
    </row>
    <row r="670" spans="1:5" s="524" customFormat="1" x14ac:dyDescent="0.2">
      <c r="A670" s="523"/>
      <c r="B670" s="523"/>
      <c r="C670" s="523"/>
      <c r="D670" s="523"/>
      <c r="E670" s="523"/>
    </row>
    <row r="671" spans="1:5" s="524" customFormat="1" x14ac:dyDescent="0.2">
      <c r="A671" s="523"/>
      <c r="B671" s="523"/>
      <c r="C671" s="523"/>
      <c r="D671" s="523"/>
      <c r="E671" s="523"/>
    </row>
    <row r="672" spans="1:5" s="524" customFormat="1" x14ac:dyDescent="0.2">
      <c r="A672" s="523"/>
      <c r="B672" s="523"/>
      <c r="C672" s="523"/>
      <c r="D672" s="523"/>
      <c r="E672" s="523"/>
    </row>
    <row r="673" spans="1:5" s="524" customFormat="1" x14ac:dyDescent="0.2">
      <c r="A673" s="523"/>
      <c r="B673" s="523"/>
      <c r="C673" s="523"/>
      <c r="D673" s="523"/>
      <c r="E673" s="523"/>
    </row>
    <row r="674" spans="1:5" s="524" customFormat="1" x14ac:dyDescent="0.2">
      <c r="A674" s="523"/>
      <c r="B674" s="523"/>
      <c r="C674" s="523"/>
      <c r="D674" s="523"/>
      <c r="E674" s="523"/>
    </row>
    <row r="675" spans="1:5" s="524" customFormat="1" x14ac:dyDescent="0.2">
      <c r="A675" s="523"/>
      <c r="B675" s="523"/>
      <c r="C675" s="523"/>
      <c r="D675" s="523"/>
      <c r="E675" s="523"/>
    </row>
    <row r="676" spans="1:5" s="524" customFormat="1" x14ac:dyDescent="0.2">
      <c r="A676" s="523"/>
      <c r="B676" s="523"/>
      <c r="C676" s="523"/>
      <c r="D676" s="523"/>
      <c r="E676" s="523"/>
    </row>
    <row r="677" spans="1:5" s="524" customFormat="1" x14ac:dyDescent="0.2">
      <c r="A677" s="523"/>
      <c r="B677" s="523"/>
      <c r="C677" s="523"/>
      <c r="D677" s="523"/>
      <c r="E677" s="523"/>
    </row>
    <row r="678" spans="1:5" s="524" customFormat="1" x14ac:dyDescent="0.2">
      <c r="A678" s="523"/>
      <c r="B678" s="523"/>
      <c r="C678" s="523"/>
      <c r="D678" s="523"/>
      <c r="E678" s="523"/>
    </row>
    <row r="679" spans="1:5" s="524" customFormat="1" x14ac:dyDescent="0.2">
      <c r="A679" s="523"/>
      <c r="B679" s="523"/>
      <c r="C679" s="523"/>
      <c r="D679" s="523"/>
      <c r="E679" s="523"/>
    </row>
    <row r="680" spans="1:5" s="524" customFormat="1" x14ac:dyDescent="0.2">
      <c r="A680" s="523"/>
      <c r="B680" s="523"/>
      <c r="C680" s="523"/>
      <c r="D680" s="523"/>
      <c r="E680" s="523"/>
    </row>
    <row r="681" spans="1:5" s="524" customFormat="1" x14ac:dyDescent="0.2">
      <c r="A681" s="523"/>
      <c r="B681" s="523"/>
      <c r="C681" s="523"/>
      <c r="D681" s="523"/>
      <c r="E681" s="523"/>
    </row>
    <row r="682" spans="1:5" s="524" customFormat="1" x14ac:dyDescent="0.2">
      <c r="A682" s="523"/>
      <c r="B682" s="523"/>
      <c r="C682" s="523"/>
      <c r="D682" s="523"/>
      <c r="E682" s="523"/>
    </row>
    <row r="683" spans="1:5" s="524" customFormat="1" x14ac:dyDescent="0.2">
      <c r="A683" s="523"/>
      <c r="B683" s="523"/>
      <c r="C683" s="523"/>
      <c r="D683" s="523"/>
      <c r="E683" s="523"/>
    </row>
    <row r="684" spans="1:5" s="524" customFormat="1" x14ac:dyDescent="0.2">
      <c r="A684" s="523"/>
      <c r="B684" s="523"/>
      <c r="C684" s="523"/>
      <c r="D684" s="523"/>
      <c r="E684" s="523"/>
    </row>
    <row r="685" spans="1:5" s="524" customFormat="1" x14ac:dyDescent="0.2">
      <c r="A685" s="523"/>
      <c r="B685" s="523"/>
      <c r="C685" s="523"/>
      <c r="D685" s="523"/>
      <c r="E685" s="523"/>
    </row>
    <row r="686" spans="1:5" s="524" customFormat="1" x14ac:dyDescent="0.2">
      <c r="A686" s="523"/>
      <c r="B686" s="523"/>
      <c r="C686" s="523"/>
      <c r="D686" s="523"/>
      <c r="E686" s="523"/>
    </row>
    <row r="687" spans="1:5" s="524" customFormat="1" x14ac:dyDescent="0.2">
      <c r="A687" s="523"/>
      <c r="B687" s="523"/>
      <c r="C687" s="523"/>
      <c r="D687" s="523"/>
      <c r="E687" s="523"/>
    </row>
    <row r="688" spans="1:5" s="524" customFormat="1" x14ac:dyDescent="0.2">
      <c r="A688" s="523"/>
      <c r="B688" s="523"/>
      <c r="C688" s="523"/>
      <c r="D688" s="523"/>
      <c r="E688" s="523"/>
    </row>
    <row r="689" spans="1:5" s="524" customFormat="1" x14ac:dyDescent="0.2">
      <c r="A689" s="523"/>
      <c r="B689" s="523"/>
      <c r="C689" s="523"/>
      <c r="D689" s="523"/>
      <c r="E689" s="523"/>
    </row>
    <row r="690" spans="1:5" s="524" customFormat="1" x14ac:dyDescent="0.2">
      <c r="A690" s="523"/>
      <c r="B690" s="523"/>
      <c r="C690" s="523"/>
      <c r="D690" s="523"/>
      <c r="E690" s="523"/>
    </row>
    <row r="691" spans="1:5" s="524" customFormat="1" x14ac:dyDescent="0.2">
      <c r="A691" s="523"/>
      <c r="B691" s="523"/>
      <c r="C691" s="523"/>
      <c r="D691" s="523"/>
      <c r="E691" s="523"/>
    </row>
    <row r="692" spans="1:5" s="524" customFormat="1" x14ac:dyDescent="0.2">
      <c r="A692" s="523"/>
      <c r="B692" s="523"/>
      <c r="C692" s="523"/>
      <c r="D692" s="523"/>
      <c r="E692" s="523"/>
    </row>
    <row r="693" spans="1:5" s="524" customFormat="1" x14ac:dyDescent="0.2">
      <c r="A693" s="523"/>
      <c r="B693" s="523"/>
      <c r="C693" s="523"/>
      <c r="D693" s="523"/>
      <c r="E693" s="523"/>
    </row>
    <row r="694" spans="1:5" s="524" customFormat="1" x14ac:dyDescent="0.2">
      <c r="A694" s="523"/>
      <c r="B694" s="523"/>
      <c r="C694" s="523"/>
      <c r="D694" s="523"/>
      <c r="E694" s="523"/>
    </row>
    <row r="695" spans="1:5" s="524" customFormat="1" x14ac:dyDescent="0.2">
      <c r="A695" s="523"/>
      <c r="B695" s="523"/>
      <c r="C695" s="523"/>
      <c r="D695" s="523"/>
      <c r="E695" s="523"/>
    </row>
    <row r="696" spans="1:5" s="524" customFormat="1" x14ac:dyDescent="0.2">
      <c r="A696" s="523"/>
      <c r="B696" s="523"/>
      <c r="C696" s="523"/>
      <c r="D696" s="523"/>
      <c r="E696" s="523"/>
    </row>
    <row r="697" spans="1:5" s="524" customFormat="1" x14ac:dyDescent="0.2">
      <c r="A697" s="523"/>
      <c r="B697" s="523"/>
      <c r="C697" s="523"/>
      <c r="D697" s="523"/>
      <c r="E697" s="523"/>
    </row>
    <row r="698" spans="1:5" s="524" customFormat="1" x14ac:dyDescent="0.2">
      <c r="A698" s="523"/>
      <c r="B698" s="523"/>
      <c r="C698" s="523"/>
      <c r="D698" s="523"/>
      <c r="E698" s="523"/>
    </row>
    <row r="699" spans="1:5" s="524" customFormat="1" x14ac:dyDescent="0.2">
      <c r="A699" s="523"/>
      <c r="B699" s="523"/>
      <c r="C699" s="523"/>
      <c r="D699" s="523"/>
      <c r="E699" s="523"/>
    </row>
    <row r="700" spans="1:5" s="524" customFormat="1" x14ac:dyDescent="0.2">
      <c r="A700" s="523"/>
      <c r="B700" s="523"/>
      <c r="C700" s="523"/>
      <c r="D700" s="523"/>
      <c r="E700" s="523"/>
    </row>
    <row r="701" spans="1:5" s="524" customFormat="1" x14ac:dyDescent="0.2">
      <c r="A701" s="523"/>
      <c r="B701" s="523"/>
      <c r="C701" s="523"/>
      <c r="D701" s="523"/>
      <c r="E701" s="523"/>
    </row>
    <row r="702" spans="1:5" s="524" customFormat="1" x14ac:dyDescent="0.2">
      <c r="A702" s="523"/>
      <c r="B702" s="523"/>
      <c r="C702" s="523"/>
      <c r="D702" s="523"/>
      <c r="E702" s="523"/>
    </row>
    <row r="703" spans="1:5" s="524" customFormat="1" x14ac:dyDescent="0.2">
      <c r="A703" s="523"/>
      <c r="B703" s="523"/>
      <c r="C703" s="523"/>
      <c r="D703" s="523"/>
      <c r="E703" s="523"/>
    </row>
    <row r="704" spans="1:5" s="524" customFormat="1" x14ac:dyDescent="0.2">
      <c r="A704" s="523"/>
      <c r="B704" s="523"/>
      <c r="C704" s="523"/>
      <c r="D704" s="523"/>
      <c r="E704" s="523"/>
    </row>
    <row r="705" spans="1:5" s="524" customFormat="1" x14ac:dyDescent="0.2">
      <c r="A705" s="523"/>
      <c r="B705" s="523"/>
      <c r="C705" s="523"/>
      <c r="D705" s="523"/>
      <c r="E705" s="523"/>
    </row>
    <row r="706" spans="1:5" s="524" customFormat="1" x14ac:dyDescent="0.2">
      <c r="A706" s="523"/>
      <c r="B706" s="523"/>
      <c r="C706" s="523"/>
      <c r="D706" s="523"/>
      <c r="E706" s="523"/>
    </row>
    <row r="707" spans="1:5" s="524" customFormat="1" x14ac:dyDescent="0.2">
      <c r="A707" s="523"/>
      <c r="B707" s="523"/>
      <c r="C707" s="523"/>
      <c r="D707" s="523"/>
      <c r="E707" s="523"/>
    </row>
    <row r="708" spans="1:5" s="524" customFormat="1" x14ac:dyDescent="0.2">
      <c r="A708" s="523"/>
      <c r="B708" s="523"/>
      <c r="C708" s="523"/>
      <c r="D708" s="523"/>
      <c r="E708" s="523"/>
    </row>
    <row r="709" spans="1:5" s="524" customFormat="1" x14ac:dyDescent="0.2">
      <c r="A709" s="523"/>
      <c r="B709" s="523"/>
      <c r="C709" s="523"/>
      <c r="D709" s="523"/>
      <c r="E709" s="523"/>
    </row>
    <row r="710" spans="1:5" s="524" customFormat="1" x14ac:dyDescent="0.2">
      <c r="A710" s="523"/>
      <c r="B710" s="523"/>
      <c r="C710" s="523"/>
      <c r="D710" s="523"/>
      <c r="E710" s="523"/>
    </row>
    <row r="711" spans="1:5" s="524" customFormat="1" x14ac:dyDescent="0.2">
      <c r="A711" s="523"/>
      <c r="B711" s="523"/>
      <c r="C711" s="523"/>
      <c r="D711" s="523"/>
      <c r="E711" s="523"/>
    </row>
    <row r="712" spans="1:5" s="524" customFormat="1" x14ac:dyDescent="0.2">
      <c r="A712" s="523"/>
      <c r="B712" s="523"/>
      <c r="C712" s="523"/>
      <c r="D712" s="523"/>
      <c r="E712" s="523"/>
    </row>
    <row r="713" spans="1:5" s="524" customFormat="1" x14ac:dyDescent="0.2">
      <c r="A713" s="523"/>
      <c r="B713" s="523"/>
      <c r="C713" s="523"/>
      <c r="D713" s="523"/>
      <c r="E713" s="523"/>
    </row>
    <row r="714" spans="1:5" s="524" customFormat="1" x14ac:dyDescent="0.2">
      <c r="A714" s="523"/>
      <c r="B714" s="523"/>
      <c r="C714" s="523"/>
      <c r="D714" s="523"/>
      <c r="E714" s="523"/>
    </row>
    <row r="715" spans="1:5" s="524" customFormat="1" x14ac:dyDescent="0.2">
      <c r="A715" s="523"/>
      <c r="B715" s="523"/>
      <c r="C715" s="523"/>
      <c r="D715" s="523"/>
      <c r="E715" s="523"/>
    </row>
    <row r="716" spans="1:5" s="524" customFormat="1" x14ac:dyDescent="0.2">
      <c r="A716" s="523"/>
      <c r="B716" s="523"/>
      <c r="C716" s="523"/>
      <c r="D716" s="523"/>
      <c r="E716" s="523"/>
    </row>
    <row r="717" spans="1:5" s="524" customFormat="1" x14ac:dyDescent="0.2">
      <c r="A717" s="523"/>
      <c r="B717" s="523"/>
      <c r="C717" s="523"/>
      <c r="D717" s="523"/>
      <c r="E717" s="523"/>
    </row>
    <row r="718" spans="1:5" s="524" customFormat="1" x14ac:dyDescent="0.2">
      <c r="A718" s="523"/>
      <c r="B718" s="523"/>
      <c r="C718" s="523"/>
      <c r="D718" s="523"/>
      <c r="E718" s="523"/>
    </row>
    <row r="719" spans="1:5" s="524" customFormat="1" x14ac:dyDescent="0.2">
      <c r="A719" s="523"/>
      <c r="B719" s="523"/>
      <c r="C719" s="523"/>
      <c r="D719" s="523"/>
      <c r="E719" s="523"/>
    </row>
    <row r="720" spans="1:5" s="524" customFormat="1" x14ac:dyDescent="0.2">
      <c r="A720" s="523"/>
      <c r="B720" s="523"/>
      <c r="C720" s="523"/>
      <c r="D720" s="523"/>
      <c r="E720" s="523"/>
    </row>
    <row r="721" spans="1:5" s="524" customFormat="1" x14ac:dyDescent="0.2">
      <c r="A721" s="523"/>
      <c r="B721" s="523"/>
      <c r="C721" s="523"/>
      <c r="D721" s="523"/>
      <c r="E721" s="523"/>
    </row>
    <row r="722" spans="1:5" s="524" customFormat="1" x14ac:dyDescent="0.2">
      <c r="A722" s="523"/>
      <c r="B722" s="523"/>
      <c r="C722" s="523"/>
      <c r="D722" s="523"/>
      <c r="E722" s="523"/>
    </row>
    <row r="723" spans="1:5" s="524" customFormat="1" x14ac:dyDescent="0.2">
      <c r="A723" s="523"/>
      <c r="B723" s="523"/>
      <c r="C723" s="523"/>
      <c r="D723" s="523"/>
      <c r="E723" s="523"/>
    </row>
    <row r="724" spans="1:5" s="524" customFormat="1" x14ac:dyDescent="0.2">
      <c r="A724" s="523"/>
      <c r="B724" s="523"/>
      <c r="C724" s="523"/>
      <c r="D724" s="523"/>
      <c r="E724" s="523"/>
    </row>
    <row r="725" spans="1:5" s="524" customFormat="1" x14ac:dyDescent="0.2">
      <c r="A725" s="523"/>
      <c r="B725" s="523"/>
      <c r="C725" s="523"/>
      <c r="D725" s="523"/>
      <c r="E725" s="523"/>
    </row>
    <row r="726" spans="1:5" s="524" customFormat="1" x14ac:dyDescent="0.2">
      <c r="A726" s="523"/>
      <c r="B726" s="523"/>
      <c r="C726" s="523"/>
      <c r="D726" s="523"/>
      <c r="E726" s="523"/>
    </row>
    <row r="727" spans="1:5" s="524" customFormat="1" x14ac:dyDescent="0.2">
      <c r="A727" s="523"/>
      <c r="B727" s="523"/>
      <c r="C727" s="523"/>
      <c r="D727" s="523"/>
      <c r="E727" s="523"/>
    </row>
    <row r="728" spans="1:5" s="524" customFormat="1" x14ac:dyDescent="0.2">
      <c r="A728" s="523"/>
      <c r="B728" s="523"/>
      <c r="C728" s="523"/>
      <c r="D728" s="523"/>
      <c r="E728" s="523"/>
    </row>
    <row r="729" spans="1:5" s="524" customFormat="1" x14ac:dyDescent="0.2">
      <c r="A729" s="523"/>
      <c r="B729" s="523"/>
      <c r="C729" s="523"/>
      <c r="D729" s="523"/>
      <c r="E729" s="523"/>
    </row>
    <row r="730" spans="1:5" s="524" customFormat="1" x14ac:dyDescent="0.2">
      <c r="A730" s="523"/>
      <c r="B730" s="523"/>
      <c r="C730" s="523"/>
      <c r="D730" s="523"/>
      <c r="E730" s="523"/>
    </row>
    <row r="731" spans="1:5" s="524" customFormat="1" x14ac:dyDescent="0.2">
      <c r="A731" s="523"/>
      <c r="B731" s="523"/>
      <c r="C731" s="523"/>
      <c r="D731" s="523"/>
      <c r="E731" s="523"/>
    </row>
    <row r="732" spans="1:5" s="524" customFormat="1" x14ac:dyDescent="0.2">
      <c r="A732" s="523"/>
      <c r="B732" s="523"/>
      <c r="C732" s="523"/>
      <c r="D732" s="523"/>
      <c r="E732" s="523"/>
    </row>
    <row r="733" spans="1:5" s="524" customFormat="1" x14ac:dyDescent="0.2">
      <c r="A733" s="523"/>
      <c r="B733" s="523"/>
      <c r="C733" s="523"/>
      <c r="D733" s="523"/>
      <c r="E733" s="523"/>
    </row>
    <row r="734" spans="1:5" s="524" customFormat="1" x14ac:dyDescent="0.2">
      <c r="A734" s="523"/>
      <c r="B734" s="523"/>
      <c r="C734" s="523"/>
      <c r="D734" s="523"/>
      <c r="E734" s="523"/>
    </row>
    <row r="735" spans="1:5" s="524" customFormat="1" x14ac:dyDescent="0.2">
      <c r="A735" s="523"/>
      <c r="B735" s="523"/>
      <c r="C735" s="523"/>
      <c r="D735" s="523"/>
      <c r="E735" s="523"/>
    </row>
    <row r="736" spans="1:5" s="524" customFormat="1" x14ac:dyDescent="0.2">
      <c r="A736" s="523"/>
      <c r="B736" s="523"/>
      <c r="C736" s="523"/>
      <c r="D736" s="523"/>
      <c r="E736" s="523"/>
    </row>
    <row r="737" spans="1:5" s="524" customFormat="1" x14ac:dyDescent="0.2">
      <c r="A737" s="523"/>
      <c r="B737" s="523"/>
      <c r="C737" s="523"/>
      <c r="D737" s="523"/>
      <c r="E737" s="523"/>
    </row>
    <row r="738" spans="1:5" s="524" customFormat="1" x14ac:dyDescent="0.2">
      <c r="A738" s="523"/>
      <c r="B738" s="523"/>
      <c r="C738" s="523"/>
      <c r="D738" s="523"/>
      <c r="E738" s="523"/>
    </row>
    <row r="739" spans="1:5" s="524" customFormat="1" x14ac:dyDescent="0.2">
      <c r="A739" s="523"/>
      <c r="B739" s="523"/>
      <c r="C739" s="523"/>
      <c r="D739" s="523"/>
      <c r="E739" s="523"/>
    </row>
    <row r="740" spans="1:5" s="524" customFormat="1" x14ac:dyDescent="0.2">
      <c r="A740" s="523"/>
      <c r="B740" s="523"/>
      <c r="C740" s="523"/>
      <c r="D740" s="523"/>
      <c r="E740" s="523"/>
    </row>
    <row r="741" spans="1:5" s="524" customFormat="1" x14ac:dyDescent="0.2">
      <c r="A741" s="523"/>
      <c r="B741" s="523"/>
      <c r="C741" s="523"/>
      <c r="D741" s="523"/>
      <c r="E741" s="523"/>
    </row>
    <row r="742" spans="1:5" s="524" customFormat="1" x14ac:dyDescent="0.2">
      <c r="A742" s="523"/>
      <c r="B742" s="523"/>
      <c r="C742" s="523"/>
      <c r="D742" s="523"/>
      <c r="E742" s="523"/>
    </row>
    <row r="743" spans="1:5" s="524" customFormat="1" x14ac:dyDescent="0.2">
      <c r="A743" s="523"/>
      <c r="B743" s="523"/>
      <c r="C743" s="523"/>
      <c r="D743" s="523"/>
      <c r="E743" s="523"/>
    </row>
    <row r="744" spans="1:5" s="524" customFormat="1" x14ac:dyDescent="0.2">
      <c r="A744" s="523"/>
      <c r="B744" s="523"/>
      <c r="C744" s="523"/>
      <c r="D744" s="523"/>
      <c r="E744" s="523"/>
    </row>
    <row r="745" spans="1:5" s="524" customFormat="1" x14ac:dyDescent="0.2">
      <c r="A745" s="523"/>
      <c r="B745" s="523"/>
      <c r="C745" s="523"/>
      <c r="D745" s="523"/>
      <c r="E745" s="523"/>
    </row>
    <row r="746" spans="1:5" s="524" customFormat="1" x14ac:dyDescent="0.2">
      <c r="A746" s="523"/>
      <c r="B746" s="523"/>
      <c r="C746" s="523"/>
      <c r="D746" s="523"/>
      <c r="E746" s="523"/>
    </row>
    <row r="747" spans="1:5" s="524" customFormat="1" x14ac:dyDescent="0.2">
      <c r="A747" s="523"/>
      <c r="B747" s="523"/>
      <c r="C747" s="523"/>
      <c r="D747" s="523"/>
      <c r="E747" s="523"/>
    </row>
    <row r="748" spans="1:5" s="524" customFormat="1" x14ac:dyDescent="0.2">
      <c r="A748" s="523"/>
      <c r="B748" s="523"/>
      <c r="C748" s="523"/>
      <c r="D748" s="523"/>
      <c r="E748" s="523"/>
    </row>
    <row r="749" spans="1:5" s="524" customFormat="1" x14ac:dyDescent="0.2">
      <c r="A749" s="523"/>
      <c r="B749" s="523"/>
      <c r="C749" s="523"/>
      <c r="D749" s="523"/>
      <c r="E749" s="523"/>
    </row>
    <row r="750" spans="1:5" s="524" customFormat="1" x14ac:dyDescent="0.2">
      <c r="A750" s="523"/>
      <c r="B750" s="523"/>
      <c r="C750" s="523"/>
      <c r="D750" s="523"/>
      <c r="E750" s="523"/>
    </row>
    <row r="751" spans="1:5" s="524" customFormat="1" x14ac:dyDescent="0.2">
      <c r="A751" s="523"/>
      <c r="B751" s="523"/>
      <c r="C751" s="523"/>
      <c r="D751" s="523"/>
      <c r="E751" s="523"/>
    </row>
    <row r="752" spans="1:5" s="524" customFormat="1" x14ac:dyDescent="0.2">
      <c r="A752" s="523"/>
      <c r="B752" s="523"/>
      <c r="C752" s="523"/>
      <c r="D752" s="523"/>
      <c r="E752" s="523"/>
    </row>
    <row r="753" spans="1:5" s="524" customFormat="1" x14ac:dyDescent="0.2">
      <c r="A753" s="523"/>
      <c r="B753" s="523"/>
      <c r="C753" s="523"/>
      <c r="D753" s="523"/>
      <c r="E753" s="523"/>
    </row>
    <row r="754" spans="1:5" s="524" customFormat="1" x14ac:dyDescent="0.2">
      <c r="A754" s="523"/>
      <c r="B754" s="523"/>
      <c r="C754" s="523"/>
      <c r="D754" s="523"/>
      <c r="E754" s="523"/>
    </row>
    <row r="755" spans="1:5" s="524" customFormat="1" x14ac:dyDescent="0.2">
      <c r="A755" s="523"/>
      <c r="B755" s="523"/>
      <c r="C755" s="523"/>
      <c r="D755" s="523"/>
      <c r="E755" s="523"/>
    </row>
    <row r="756" spans="1:5" s="524" customFormat="1" x14ac:dyDescent="0.2">
      <c r="A756" s="523"/>
      <c r="B756" s="523"/>
      <c r="C756" s="523"/>
      <c r="D756" s="523"/>
      <c r="E756" s="523"/>
    </row>
    <row r="757" spans="1:5" s="524" customFormat="1" x14ac:dyDescent="0.2">
      <c r="A757" s="523"/>
      <c r="B757" s="523"/>
      <c r="C757" s="523"/>
      <c r="D757" s="523"/>
      <c r="E757" s="523"/>
    </row>
    <row r="758" spans="1:5" s="524" customFormat="1" x14ac:dyDescent="0.2">
      <c r="A758" s="523"/>
      <c r="B758" s="523"/>
      <c r="C758" s="523"/>
      <c r="D758" s="523"/>
      <c r="E758" s="523"/>
    </row>
    <row r="759" spans="1:5" s="524" customFormat="1" x14ac:dyDescent="0.2">
      <c r="A759" s="523"/>
      <c r="B759" s="523"/>
      <c r="C759" s="523"/>
      <c r="D759" s="523"/>
      <c r="E759" s="523"/>
    </row>
    <row r="760" spans="1:5" s="524" customFormat="1" x14ac:dyDescent="0.2">
      <c r="A760" s="523"/>
      <c r="B760" s="523"/>
      <c r="C760" s="523"/>
      <c r="D760" s="523"/>
      <c r="E760" s="523"/>
    </row>
    <row r="761" spans="1:5" s="524" customFormat="1" x14ac:dyDescent="0.2">
      <c r="A761" s="523"/>
      <c r="B761" s="523"/>
      <c r="C761" s="523"/>
      <c r="D761" s="523"/>
      <c r="E761" s="523"/>
    </row>
    <row r="762" spans="1:5" s="524" customFormat="1" x14ac:dyDescent="0.2">
      <c r="A762" s="523"/>
      <c r="B762" s="523"/>
      <c r="C762" s="523"/>
      <c r="D762" s="523"/>
      <c r="E762" s="523"/>
    </row>
    <row r="763" spans="1:5" s="524" customFormat="1" x14ac:dyDescent="0.2">
      <c r="A763" s="523"/>
      <c r="B763" s="523"/>
      <c r="C763" s="523"/>
      <c r="D763" s="523"/>
      <c r="E763" s="523"/>
    </row>
    <row r="764" spans="1:5" s="524" customFormat="1" x14ac:dyDescent="0.2">
      <c r="A764" s="523"/>
      <c r="B764" s="523"/>
      <c r="C764" s="523"/>
      <c r="D764" s="523"/>
      <c r="E764" s="523"/>
    </row>
    <row r="765" spans="1:5" s="524" customFormat="1" x14ac:dyDescent="0.2">
      <c r="A765" s="523"/>
      <c r="B765" s="523"/>
      <c r="C765" s="523"/>
      <c r="D765" s="523"/>
      <c r="E765" s="523"/>
    </row>
    <row r="766" spans="1:5" s="524" customFormat="1" x14ac:dyDescent="0.2">
      <c r="A766" s="523"/>
      <c r="B766" s="523"/>
      <c r="C766" s="523"/>
      <c r="D766" s="523"/>
      <c r="E766" s="523"/>
    </row>
    <row r="767" spans="1:5" s="524" customFormat="1" x14ac:dyDescent="0.2">
      <c r="A767" s="523"/>
      <c r="B767" s="523"/>
      <c r="C767" s="523"/>
      <c r="D767" s="523"/>
      <c r="E767" s="523"/>
    </row>
    <row r="768" spans="1:5" s="524" customFormat="1" x14ac:dyDescent="0.2">
      <c r="A768" s="523"/>
      <c r="B768" s="523"/>
      <c r="C768" s="523"/>
      <c r="D768" s="523"/>
      <c r="E768" s="523"/>
    </row>
    <row r="769" spans="1:5" s="524" customFormat="1" x14ac:dyDescent="0.2">
      <c r="A769" s="523"/>
      <c r="B769" s="523"/>
      <c r="C769" s="523"/>
      <c r="D769" s="523"/>
      <c r="E769" s="523"/>
    </row>
    <row r="770" spans="1:5" s="524" customFormat="1" x14ac:dyDescent="0.2">
      <c r="A770" s="523"/>
      <c r="B770" s="523"/>
      <c r="C770" s="523"/>
      <c r="D770" s="523"/>
      <c r="E770" s="523"/>
    </row>
    <row r="771" spans="1:5" s="524" customFormat="1" x14ac:dyDescent="0.2">
      <c r="A771" s="523"/>
      <c r="B771" s="523"/>
      <c r="C771" s="523"/>
      <c r="D771" s="523"/>
      <c r="E771" s="523"/>
    </row>
    <row r="772" spans="1:5" s="524" customFormat="1" x14ac:dyDescent="0.2">
      <c r="A772" s="523"/>
      <c r="B772" s="523"/>
      <c r="C772" s="523"/>
      <c r="D772" s="523"/>
      <c r="E772" s="523"/>
    </row>
    <row r="773" spans="1:5" s="524" customFormat="1" x14ac:dyDescent="0.2">
      <c r="A773" s="523"/>
      <c r="B773" s="523"/>
      <c r="C773" s="523"/>
      <c r="D773" s="523"/>
      <c r="E773" s="523"/>
    </row>
    <row r="774" spans="1:5" s="524" customFormat="1" x14ac:dyDescent="0.2">
      <c r="A774" s="523"/>
      <c r="B774" s="523"/>
      <c r="C774" s="523"/>
      <c r="D774" s="523"/>
      <c r="E774" s="523"/>
    </row>
    <row r="775" spans="1:5" s="524" customFormat="1" x14ac:dyDescent="0.2">
      <c r="A775" s="523"/>
      <c r="B775" s="523"/>
      <c r="C775" s="523"/>
      <c r="D775" s="523"/>
      <c r="E775" s="523"/>
    </row>
    <row r="776" spans="1:5" s="524" customFormat="1" x14ac:dyDescent="0.2">
      <c r="A776" s="523"/>
      <c r="B776" s="523"/>
      <c r="C776" s="523"/>
      <c r="D776" s="523"/>
      <c r="E776" s="523"/>
    </row>
    <row r="777" spans="1:5" s="524" customFormat="1" x14ac:dyDescent="0.2">
      <c r="A777" s="523"/>
      <c r="B777" s="523"/>
      <c r="C777" s="523"/>
      <c r="D777" s="523"/>
      <c r="E777" s="523"/>
    </row>
    <row r="778" spans="1:5" s="524" customFormat="1" x14ac:dyDescent="0.2">
      <c r="A778" s="523"/>
      <c r="B778" s="523"/>
      <c r="C778" s="523"/>
      <c r="D778" s="523"/>
      <c r="E778" s="523"/>
    </row>
    <row r="779" spans="1:5" s="524" customFormat="1" x14ac:dyDescent="0.2">
      <c r="A779" s="523"/>
      <c r="B779" s="523"/>
      <c r="C779" s="523"/>
      <c r="D779" s="523"/>
      <c r="E779" s="523"/>
    </row>
    <row r="780" spans="1:5" s="524" customFormat="1" x14ac:dyDescent="0.2">
      <c r="A780" s="523"/>
      <c r="B780" s="523"/>
      <c r="C780" s="523"/>
      <c r="D780" s="523"/>
      <c r="E780" s="523"/>
    </row>
    <row r="781" spans="1:5" s="524" customFormat="1" x14ac:dyDescent="0.2">
      <c r="A781" s="523"/>
      <c r="B781" s="523"/>
      <c r="C781" s="523"/>
      <c r="D781" s="523"/>
      <c r="E781" s="523"/>
    </row>
    <row r="782" spans="1:5" s="524" customFormat="1" x14ac:dyDescent="0.2">
      <c r="A782" s="523"/>
      <c r="B782" s="523"/>
      <c r="C782" s="523"/>
      <c r="D782" s="523"/>
      <c r="E782" s="523"/>
    </row>
    <row r="783" spans="1:5" s="524" customFormat="1" x14ac:dyDescent="0.2">
      <c r="A783" s="523"/>
      <c r="B783" s="523"/>
      <c r="C783" s="523"/>
      <c r="D783" s="523"/>
      <c r="E783" s="523"/>
    </row>
    <row r="784" spans="1:5" s="524" customFormat="1" x14ac:dyDescent="0.2">
      <c r="A784" s="523"/>
      <c r="B784" s="523"/>
      <c r="C784" s="523"/>
      <c r="D784" s="523"/>
      <c r="E784" s="523"/>
    </row>
    <row r="785" spans="1:5" s="524" customFormat="1" x14ac:dyDescent="0.2">
      <c r="A785" s="523"/>
      <c r="B785" s="523"/>
      <c r="C785" s="523"/>
      <c r="D785" s="523"/>
      <c r="E785" s="523"/>
    </row>
    <row r="786" spans="1:5" s="524" customFormat="1" x14ac:dyDescent="0.2">
      <c r="A786" s="523"/>
      <c r="B786" s="523"/>
      <c r="C786" s="523"/>
      <c r="D786" s="523"/>
      <c r="E786" s="523"/>
    </row>
    <row r="787" spans="1:5" s="524" customFormat="1" x14ac:dyDescent="0.2">
      <c r="A787" s="523"/>
      <c r="B787" s="523"/>
      <c r="C787" s="523"/>
      <c r="D787" s="523"/>
      <c r="E787" s="523"/>
    </row>
    <row r="788" spans="1:5" s="524" customFormat="1" x14ac:dyDescent="0.2">
      <c r="A788" s="523"/>
      <c r="B788" s="523"/>
      <c r="C788" s="523"/>
      <c r="D788" s="523"/>
      <c r="E788" s="523"/>
    </row>
    <row r="789" spans="1:5" s="524" customFormat="1" x14ac:dyDescent="0.2">
      <c r="A789" s="523"/>
      <c r="B789" s="523"/>
      <c r="C789" s="523"/>
      <c r="D789" s="523"/>
      <c r="E789" s="523"/>
    </row>
    <row r="790" spans="1:5" s="524" customFormat="1" x14ac:dyDescent="0.2">
      <c r="A790" s="523"/>
      <c r="B790" s="523"/>
      <c r="C790" s="523"/>
      <c r="D790" s="523"/>
      <c r="E790" s="523"/>
    </row>
    <row r="791" spans="1:5" s="524" customFormat="1" x14ac:dyDescent="0.2">
      <c r="A791" s="523"/>
      <c r="B791" s="523"/>
      <c r="C791" s="523"/>
      <c r="D791" s="523"/>
      <c r="E791" s="523"/>
    </row>
    <row r="792" spans="1:5" s="524" customFormat="1" x14ac:dyDescent="0.2">
      <c r="A792" s="523"/>
      <c r="B792" s="523"/>
      <c r="C792" s="523"/>
      <c r="D792" s="523"/>
      <c r="E792" s="523"/>
    </row>
    <row r="793" spans="1:5" s="524" customFormat="1" x14ac:dyDescent="0.2">
      <c r="A793" s="523"/>
      <c r="B793" s="523"/>
      <c r="C793" s="523"/>
      <c r="D793" s="523"/>
      <c r="E793" s="523"/>
    </row>
    <row r="794" spans="1:5" s="524" customFormat="1" x14ac:dyDescent="0.2">
      <c r="A794" s="523"/>
      <c r="B794" s="523"/>
      <c r="C794" s="523"/>
      <c r="D794" s="523"/>
      <c r="E794" s="523"/>
    </row>
    <row r="795" spans="1:5" s="524" customFormat="1" x14ac:dyDescent="0.2">
      <c r="A795" s="523"/>
      <c r="B795" s="523"/>
      <c r="C795" s="523"/>
      <c r="D795" s="523"/>
      <c r="E795" s="523"/>
    </row>
    <row r="796" spans="1:5" s="524" customFormat="1" x14ac:dyDescent="0.2">
      <c r="A796" s="523"/>
      <c r="B796" s="523"/>
      <c r="C796" s="523"/>
      <c r="D796" s="523"/>
      <c r="E796" s="523"/>
    </row>
    <row r="797" spans="1:5" s="524" customFormat="1" x14ac:dyDescent="0.2">
      <c r="A797" s="523"/>
      <c r="B797" s="523"/>
      <c r="C797" s="523"/>
      <c r="D797" s="523"/>
      <c r="E797" s="523"/>
    </row>
    <row r="798" spans="1:5" s="524" customFormat="1" x14ac:dyDescent="0.2">
      <c r="A798" s="523"/>
      <c r="B798" s="523"/>
      <c r="C798" s="523"/>
      <c r="D798" s="523"/>
      <c r="E798" s="523"/>
    </row>
    <row r="799" spans="1:5" s="524" customFormat="1" x14ac:dyDescent="0.2">
      <c r="A799" s="523"/>
      <c r="B799" s="523"/>
      <c r="C799" s="523"/>
      <c r="D799" s="523"/>
      <c r="E799" s="523"/>
    </row>
    <row r="800" spans="1:5" s="524" customFormat="1" x14ac:dyDescent="0.2">
      <c r="A800" s="523"/>
      <c r="B800" s="523"/>
      <c r="C800" s="523"/>
      <c r="D800" s="523"/>
      <c r="E800" s="523"/>
    </row>
    <row r="801" spans="1:5" s="524" customFormat="1" x14ac:dyDescent="0.2">
      <c r="A801" s="523"/>
      <c r="B801" s="523"/>
      <c r="C801" s="523"/>
      <c r="D801" s="523"/>
      <c r="E801" s="523"/>
    </row>
    <row r="802" spans="1:5" s="524" customFormat="1" x14ac:dyDescent="0.2">
      <c r="A802" s="523"/>
      <c r="B802" s="523"/>
      <c r="C802" s="523"/>
      <c r="D802" s="523"/>
      <c r="E802" s="523"/>
    </row>
    <row r="803" spans="1:5" s="524" customFormat="1" x14ac:dyDescent="0.2">
      <c r="A803" s="523"/>
      <c r="B803" s="523"/>
      <c r="C803" s="523"/>
      <c r="D803" s="523"/>
      <c r="E803" s="523"/>
    </row>
    <row r="804" spans="1:5" s="524" customFormat="1" x14ac:dyDescent="0.2">
      <c r="A804" s="523"/>
      <c r="B804" s="523"/>
      <c r="C804" s="523"/>
      <c r="D804" s="523"/>
      <c r="E804" s="523"/>
    </row>
    <row r="805" spans="1:5" s="524" customFormat="1" x14ac:dyDescent="0.2">
      <c r="A805" s="523"/>
      <c r="B805" s="523"/>
      <c r="C805" s="523"/>
      <c r="D805" s="523"/>
      <c r="E805" s="523"/>
    </row>
    <row r="806" spans="1:5" s="524" customFormat="1" x14ac:dyDescent="0.2">
      <c r="A806" s="523"/>
      <c r="B806" s="523"/>
      <c r="C806" s="523"/>
      <c r="D806" s="523"/>
      <c r="E806" s="523"/>
    </row>
    <row r="807" spans="1:5" s="524" customFormat="1" x14ac:dyDescent="0.2">
      <c r="A807" s="523"/>
      <c r="B807" s="523"/>
      <c r="C807" s="523"/>
      <c r="D807" s="523"/>
      <c r="E807" s="523"/>
    </row>
    <row r="808" spans="1:5" s="524" customFormat="1" x14ac:dyDescent="0.2">
      <c r="A808" s="523"/>
      <c r="B808" s="523"/>
      <c r="C808" s="523"/>
      <c r="D808" s="523"/>
      <c r="E808" s="523"/>
    </row>
    <row r="809" spans="1:5" s="524" customFormat="1" x14ac:dyDescent="0.2">
      <c r="A809" s="523"/>
      <c r="B809" s="523"/>
      <c r="C809" s="523"/>
      <c r="D809" s="523"/>
      <c r="E809" s="523"/>
    </row>
    <row r="810" spans="1:5" s="524" customFormat="1" x14ac:dyDescent="0.2">
      <c r="A810" s="523"/>
      <c r="B810" s="523"/>
      <c r="C810" s="523"/>
      <c r="D810" s="523"/>
      <c r="E810" s="523"/>
    </row>
    <row r="811" spans="1:5" s="524" customFormat="1" x14ac:dyDescent="0.2">
      <c r="A811" s="523"/>
      <c r="B811" s="523"/>
      <c r="C811" s="523"/>
      <c r="D811" s="523"/>
      <c r="E811" s="523"/>
    </row>
    <row r="812" spans="1:5" s="524" customFormat="1" x14ac:dyDescent="0.2">
      <c r="A812" s="523"/>
      <c r="B812" s="523"/>
      <c r="C812" s="523"/>
      <c r="D812" s="523"/>
      <c r="E812" s="523"/>
    </row>
    <row r="813" spans="1:5" s="524" customFormat="1" x14ac:dyDescent="0.2">
      <c r="A813" s="523"/>
      <c r="B813" s="523"/>
      <c r="C813" s="523"/>
      <c r="D813" s="523"/>
      <c r="E813" s="523"/>
    </row>
    <row r="814" spans="1:5" s="524" customFormat="1" x14ac:dyDescent="0.2">
      <c r="A814" s="523"/>
      <c r="B814" s="523"/>
      <c r="C814" s="523"/>
      <c r="D814" s="523"/>
      <c r="E814" s="523"/>
    </row>
    <row r="815" spans="1:5" s="524" customFormat="1" x14ac:dyDescent="0.2">
      <c r="A815" s="523"/>
      <c r="B815" s="523"/>
      <c r="C815" s="523"/>
      <c r="D815" s="523"/>
      <c r="E815" s="523"/>
    </row>
    <row r="816" spans="1:5" s="524" customFormat="1" x14ac:dyDescent="0.2">
      <c r="A816" s="523"/>
      <c r="B816" s="523"/>
      <c r="C816" s="523"/>
      <c r="D816" s="523"/>
      <c r="E816" s="523"/>
    </row>
    <row r="817" spans="1:5" s="524" customFormat="1" x14ac:dyDescent="0.2">
      <c r="A817" s="523"/>
      <c r="B817" s="523"/>
      <c r="C817" s="523"/>
      <c r="D817" s="523"/>
      <c r="E817" s="523"/>
    </row>
    <row r="818" spans="1:5" s="524" customFormat="1" x14ac:dyDescent="0.2">
      <c r="A818" s="523"/>
      <c r="B818" s="523"/>
      <c r="C818" s="523"/>
      <c r="D818" s="523"/>
      <c r="E818" s="523"/>
    </row>
    <row r="819" spans="1:5" s="524" customFormat="1" x14ac:dyDescent="0.2">
      <c r="A819" s="523"/>
      <c r="B819" s="523"/>
      <c r="C819" s="523"/>
      <c r="D819" s="523"/>
      <c r="E819" s="523"/>
    </row>
    <row r="820" spans="1:5" s="524" customFormat="1" x14ac:dyDescent="0.2">
      <c r="A820" s="523"/>
      <c r="B820" s="523"/>
      <c r="C820" s="523"/>
      <c r="D820" s="523"/>
      <c r="E820" s="523"/>
    </row>
    <row r="821" spans="1:5" s="524" customFormat="1" x14ac:dyDescent="0.2">
      <c r="A821" s="523"/>
      <c r="B821" s="523"/>
      <c r="C821" s="523"/>
      <c r="D821" s="523"/>
      <c r="E821" s="523"/>
    </row>
    <row r="822" spans="1:5" s="524" customFormat="1" x14ac:dyDescent="0.2">
      <c r="A822" s="523"/>
      <c r="B822" s="523"/>
      <c r="C822" s="523"/>
      <c r="D822" s="523"/>
      <c r="E822" s="523"/>
    </row>
    <row r="823" spans="1:5" s="524" customFormat="1" x14ac:dyDescent="0.2">
      <c r="A823" s="523"/>
      <c r="B823" s="523"/>
      <c r="C823" s="523"/>
      <c r="D823" s="523"/>
      <c r="E823" s="523"/>
    </row>
    <row r="824" spans="1:5" s="524" customFormat="1" x14ac:dyDescent="0.2">
      <c r="A824" s="523"/>
      <c r="B824" s="523"/>
      <c r="C824" s="523"/>
      <c r="D824" s="523"/>
      <c r="E824" s="523"/>
    </row>
    <row r="825" spans="1:5" s="524" customFormat="1" x14ac:dyDescent="0.2">
      <c r="A825" s="523"/>
      <c r="B825" s="523"/>
      <c r="C825" s="523"/>
      <c r="D825" s="523"/>
      <c r="E825" s="523"/>
    </row>
    <row r="826" spans="1:5" s="524" customFormat="1" x14ac:dyDescent="0.2">
      <c r="A826" s="523"/>
      <c r="B826" s="523"/>
      <c r="C826" s="523"/>
      <c r="D826" s="523"/>
      <c r="E826" s="523"/>
    </row>
    <row r="827" spans="1:5" s="524" customFormat="1" x14ac:dyDescent="0.2">
      <c r="A827" s="523"/>
      <c r="B827" s="523"/>
      <c r="C827" s="523"/>
      <c r="D827" s="523"/>
      <c r="E827" s="523"/>
    </row>
    <row r="828" spans="1:5" s="524" customFormat="1" x14ac:dyDescent="0.2">
      <c r="A828" s="523"/>
      <c r="B828" s="523"/>
      <c r="C828" s="523"/>
      <c r="D828" s="523"/>
      <c r="E828" s="523"/>
    </row>
    <row r="829" spans="1:5" s="524" customFormat="1" x14ac:dyDescent="0.2">
      <c r="A829" s="523"/>
      <c r="B829" s="523"/>
      <c r="C829" s="523"/>
      <c r="D829" s="523"/>
      <c r="E829" s="523"/>
    </row>
    <row r="830" spans="1:5" s="524" customFormat="1" x14ac:dyDescent="0.2">
      <c r="A830" s="523"/>
      <c r="B830" s="523"/>
      <c r="C830" s="523"/>
      <c r="D830" s="523"/>
      <c r="E830" s="523"/>
    </row>
    <row r="831" spans="1:5" s="524" customFormat="1" x14ac:dyDescent="0.2">
      <c r="A831" s="523"/>
      <c r="B831" s="523"/>
      <c r="C831" s="523"/>
      <c r="D831" s="523"/>
      <c r="E831" s="523"/>
    </row>
    <row r="832" spans="1:5" s="524" customFormat="1" x14ac:dyDescent="0.2">
      <c r="A832" s="523"/>
      <c r="B832" s="523"/>
      <c r="C832" s="523"/>
      <c r="D832" s="523"/>
      <c r="E832" s="523"/>
    </row>
    <row r="833" spans="1:5" s="524" customFormat="1" x14ac:dyDescent="0.2">
      <c r="A833" s="523"/>
      <c r="B833" s="523"/>
      <c r="C833" s="523"/>
      <c r="D833" s="523"/>
      <c r="E833" s="523"/>
    </row>
    <row r="834" spans="1:5" s="524" customFormat="1" x14ac:dyDescent="0.2">
      <c r="A834" s="523"/>
      <c r="B834" s="523"/>
      <c r="C834" s="523"/>
      <c r="D834" s="523"/>
      <c r="E834" s="523"/>
    </row>
    <row r="835" spans="1:5" s="524" customFormat="1" x14ac:dyDescent="0.2">
      <c r="A835" s="523"/>
      <c r="B835" s="523"/>
      <c r="C835" s="523"/>
      <c r="D835" s="523"/>
      <c r="E835" s="523"/>
    </row>
    <row r="836" spans="1:5" s="524" customFormat="1" x14ac:dyDescent="0.2">
      <c r="A836" s="523"/>
      <c r="B836" s="523"/>
      <c r="C836" s="523"/>
      <c r="D836" s="523"/>
      <c r="E836" s="523"/>
    </row>
    <row r="837" spans="1:5" s="524" customFormat="1" x14ac:dyDescent="0.2">
      <c r="A837" s="523"/>
      <c r="B837" s="523"/>
      <c r="C837" s="523"/>
      <c r="D837" s="523"/>
      <c r="E837" s="523"/>
    </row>
    <row r="838" spans="1:5" s="524" customFormat="1" x14ac:dyDescent="0.2">
      <c r="A838" s="523"/>
      <c r="B838" s="523"/>
      <c r="C838" s="523"/>
      <c r="D838" s="523"/>
      <c r="E838" s="523"/>
    </row>
    <row r="839" spans="1:5" s="524" customFormat="1" x14ac:dyDescent="0.2">
      <c r="A839" s="523"/>
      <c r="B839" s="523"/>
      <c r="C839" s="523"/>
      <c r="D839" s="523"/>
      <c r="E839" s="523"/>
    </row>
    <row r="840" spans="1:5" s="524" customFormat="1" x14ac:dyDescent="0.2">
      <c r="A840" s="523"/>
      <c r="B840" s="523"/>
      <c r="C840" s="523"/>
      <c r="D840" s="523"/>
      <c r="E840" s="523"/>
    </row>
    <row r="841" spans="1:5" s="524" customFormat="1" x14ac:dyDescent="0.2">
      <c r="A841" s="523"/>
      <c r="B841" s="523"/>
      <c r="C841" s="523"/>
      <c r="D841" s="523"/>
      <c r="E841" s="523"/>
    </row>
    <row r="842" spans="1:5" s="524" customFormat="1" x14ac:dyDescent="0.2">
      <c r="A842" s="523"/>
      <c r="B842" s="523"/>
      <c r="C842" s="523"/>
      <c r="D842" s="523"/>
      <c r="E842" s="523"/>
    </row>
    <row r="843" spans="1:5" s="524" customFormat="1" x14ac:dyDescent="0.2">
      <c r="A843" s="523"/>
      <c r="B843" s="523"/>
      <c r="C843" s="523"/>
      <c r="D843" s="523"/>
      <c r="E843" s="523"/>
    </row>
    <row r="844" spans="1:5" s="524" customFormat="1" x14ac:dyDescent="0.2">
      <c r="A844" s="523"/>
      <c r="B844" s="523"/>
      <c r="C844" s="523"/>
      <c r="D844" s="523"/>
      <c r="E844" s="523"/>
    </row>
    <row r="845" spans="1:5" s="524" customFormat="1" x14ac:dyDescent="0.2">
      <c r="A845" s="523"/>
      <c r="B845" s="523"/>
      <c r="C845" s="523"/>
      <c r="D845" s="523"/>
      <c r="E845" s="523"/>
    </row>
    <row r="846" spans="1:5" s="524" customFormat="1" x14ac:dyDescent="0.2">
      <c r="A846" s="523"/>
      <c r="B846" s="523"/>
      <c r="C846" s="523"/>
      <c r="D846" s="523"/>
      <c r="E846" s="523"/>
    </row>
    <row r="847" spans="1:5" s="524" customFormat="1" x14ac:dyDescent="0.2">
      <c r="A847" s="523"/>
      <c r="B847" s="523"/>
      <c r="C847" s="523"/>
      <c r="D847" s="523"/>
      <c r="E847" s="523"/>
    </row>
    <row r="848" spans="1:5" s="524" customFormat="1" x14ac:dyDescent="0.2">
      <c r="A848" s="523"/>
      <c r="B848" s="523"/>
      <c r="C848" s="523"/>
      <c r="D848" s="523"/>
      <c r="E848" s="523"/>
    </row>
    <row r="849" spans="1:5" s="524" customFormat="1" x14ac:dyDescent="0.2">
      <c r="A849" s="523"/>
      <c r="B849" s="523"/>
      <c r="C849" s="523"/>
      <c r="D849" s="523"/>
      <c r="E849" s="523"/>
    </row>
    <row r="850" spans="1:5" s="524" customFormat="1" x14ac:dyDescent="0.2">
      <c r="A850" s="523"/>
      <c r="B850" s="523"/>
      <c r="C850" s="523"/>
      <c r="D850" s="523"/>
      <c r="E850" s="523"/>
    </row>
    <row r="851" spans="1:5" s="524" customFormat="1" x14ac:dyDescent="0.2">
      <c r="A851" s="523"/>
      <c r="B851" s="523"/>
      <c r="C851" s="523"/>
      <c r="D851" s="523"/>
      <c r="E851" s="523"/>
    </row>
    <row r="852" spans="1:5" s="524" customFormat="1" x14ac:dyDescent="0.2">
      <c r="A852" s="523"/>
      <c r="B852" s="523"/>
      <c r="C852" s="523"/>
      <c r="D852" s="523"/>
      <c r="E852" s="523"/>
    </row>
    <row r="853" spans="1:5" s="524" customFormat="1" x14ac:dyDescent="0.2">
      <c r="A853" s="523"/>
      <c r="B853" s="523"/>
      <c r="C853" s="523"/>
      <c r="D853" s="523"/>
      <c r="E853" s="523"/>
    </row>
    <row r="854" spans="1:5" s="524" customFormat="1" x14ac:dyDescent="0.2">
      <c r="A854" s="523"/>
      <c r="B854" s="523"/>
      <c r="C854" s="523"/>
      <c r="D854" s="523"/>
      <c r="E854" s="523"/>
    </row>
    <row r="855" spans="1:5" s="524" customFormat="1" x14ac:dyDescent="0.2">
      <c r="A855" s="523"/>
      <c r="B855" s="523"/>
      <c r="C855" s="523"/>
      <c r="D855" s="523"/>
      <c r="E855" s="523"/>
    </row>
    <row r="856" spans="1:5" s="524" customFormat="1" x14ac:dyDescent="0.2">
      <c r="A856" s="523"/>
      <c r="B856" s="523"/>
      <c r="C856" s="523"/>
      <c r="D856" s="523"/>
      <c r="E856" s="523"/>
    </row>
    <row r="857" spans="1:5" s="524" customFormat="1" x14ac:dyDescent="0.2">
      <c r="A857" s="523"/>
      <c r="B857" s="523"/>
      <c r="C857" s="523"/>
      <c r="D857" s="523"/>
      <c r="E857" s="523"/>
    </row>
    <row r="858" spans="1:5" s="524" customFormat="1" x14ac:dyDescent="0.2">
      <c r="A858" s="523"/>
      <c r="B858" s="523"/>
      <c r="C858" s="523"/>
      <c r="D858" s="523"/>
      <c r="E858" s="523"/>
    </row>
    <row r="859" spans="1:5" s="524" customFormat="1" x14ac:dyDescent="0.2">
      <c r="A859" s="523"/>
      <c r="B859" s="523"/>
      <c r="C859" s="523"/>
      <c r="D859" s="523"/>
      <c r="E859" s="523"/>
    </row>
    <row r="860" spans="1:5" s="524" customFormat="1" x14ac:dyDescent="0.2">
      <c r="A860" s="523"/>
      <c r="B860" s="523"/>
      <c r="C860" s="523"/>
      <c r="D860" s="523"/>
      <c r="E860" s="523"/>
    </row>
    <row r="861" spans="1:5" s="524" customFormat="1" x14ac:dyDescent="0.2">
      <c r="A861" s="523"/>
      <c r="B861" s="523"/>
      <c r="C861" s="523"/>
      <c r="D861" s="523"/>
      <c r="E861" s="523"/>
    </row>
    <row r="862" spans="1:5" s="524" customFormat="1" x14ac:dyDescent="0.2">
      <c r="A862" s="523"/>
      <c r="B862" s="523"/>
      <c r="C862" s="523"/>
      <c r="D862" s="523"/>
      <c r="E862" s="523"/>
    </row>
    <row r="863" spans="1:5" s="524" customFormat="1" x14ac:dyDescent="0.2">
      <c r="A863" s="523"/>
      <c r="B863" s="523"/>
      <c r="C863" s="523"/>
      <c r="D863" s="523"/>
      <c r="E863" s="523"/>
    </row>
    <row r="864" spans="1:5" s="524" customFormat="1" x14ac:dyDescent="0.2">
      <c r="A864" s="523"/>
      <c r="B864" s="523"/>
      <c r="C864" s="523"/>
      <c r="D864" s="523"/>
      <c r="E864" s="523"/>
    </row>
    <row r="865" spans="1:5" s="524" customFormat="1" x14ac:dyDescent="0.2">
      <c r="A865" s="523"/>
      <c r="B865" s="523"/>
      <c r="C865" s="523"/>
      <c r="D865" s="523"/>
      <c r="E865" s="523"/>
    </row>
    <row r="866" spans="1:5" s="524" customFormat="1" x14ac:dyDescent="0.2">
      <c r="A866" s="523"/>
      <c r="B866" s="523"/>
      <c r="C866" s="523"/>
      <c r="D866" s="523"/>
      <c r="E866" s="523"/>
    </row>
    <row r="867" spans="1:5" s="524" customFormat="1" x14ac:dyDescent="0.2">
      <c r="A867" s="523"/>
      <c r="B867" s="523"/>
      <c r="C867" s="523"/>
      <c r="D867" s="523"/>
      <c r="E867" s="523"/>
    </row>
    <row r="868" spans="1:5" s="524" customFormat="1" x14ac:dyDescent="0.2">
      <c r="A868" s="523"/>
      <c r="B868" s="523"/>
      <c r="C868" s="523"/>
      <c r="D868" s="523"/>
      <c r="E868" s="523"/>
    </row>
    <row r="869" spans="1:5" s="524" customFormat="1" x14ac:dyDescent="0.2">
      <c r="A869" s="523"/>
      <c r="B869" s="523"/>
      <c r="C869" s="523"/>
      <c r="D869" s="523"/>
      <c r="E869" s="523"/>
    </row>
    <row r="870" spans="1:5" s="524" customFormat="1" x14ac:dyDescent="0.2">
      <c r="A870" s="523"/>
      <c r="B870" s="523"/>
      <c r="C870" s="523"/>
      <c r="D870" s="523"/>
      <c r="E870" s="523"/>
    </row>
    <row r="871" spans="1:5" s="524" customFormat="1" x14ac:dyDescent="0.2">
      <c r="A871" s="523"/>
      <c r="B871" s="523"/>
      <c r="C871" s="523"/>
      <c r="D871" s="523"/>
      <c r="E871" s="523"/>
    </row>
    <row r="872" spans="1:5" s="524" customFormat="1" x14ac:dyDescent="0.2">
      <c r="A872" s="523"/>
      <c r="B872" s="523"/>
      <c r="C872" s="523"/>
      <c r="D872" s="523"/>
      <c r="E872" s="523"/>
    </row>
    <row r="873" spans="1:5" s="524" customFormat="1" x14ac:dyDescent="0.2">
      <c r="A873" s="523"/>
      <c r="B873" s="523"/>
      <c r="C873" s="523"/>
      <c r="D873" s="523"/>
      <c r="E873" s="523"/>
    </row>
    <row r="874" spans="1:5" s="524" customFormat="1" x14ac:dyDescent="0.2">
      <c r="A874" s="523"/>
      <c r="B874" s="523"/>
      <c r="C874" s="523"/>
      <c r="D874" s="523"/>
      <c r="E874" s="523"/>
    </row>
    <row r="875" spans="1:5" s="524" customFormat="1" x14ac:dyDescent="0.2">
      <c r="A875" s="523"/>
      <c r="B875" s="523"/>
      <c r="C875" s="523"/>
      <c r="D875" s="523"/>
      <c r="E875" s="523"/>
    </row>
    <row r="876" spans="1:5" s="524" customFormat="1" x14ac:dyDescent="0.2">
      <c r="A876" s="523"/>
      <c r="B876" s="523"/>
      <c r="C876" s="523"/>
      <c r="D876" s="523"/>
      <c r="E876" s="523"/>
    </row>
    <row r="877" spans="1:5" s="524" customFormat="1" x14ac:dyDescent="0.2">
      <c r="A877" s="523"/>
      <c r="B877" s="523"/>
      <c r="C877" s="523"/>
      <c r="D877" s="523"/>
      <c r="E877" s="523"/>
    </row>
    <row r="878" spans="1:5" s="524" customFormat="1" x14ac:dyDescent="0.2">
      <c r="A878" s="523"/>
      <c r="B878" s="523"/>
      <c r="C878" s="523"/>
      <c r="D878" s="523"/>
      <c r="E878" s="523"/>
    </row>
    <row r="879" spans="1:5" s="524" customFormat="1" x14ac:dyDescent="0.2">
      <c r="A879" s="523"/>
      <c r="B879" s="523"/>
      <c r="C879" s="523"/>
      <c r="D879" s="523"/>
      <c r="E879" s="523"/>
    </row>
    <row r="880" spans="1:5" s="524" customFormat="1" x14ac:dyDescent="0.2">
      <c r="A880" s="523"/>
      <c r="B880" s="523"/>
      <c r="C880" s="523"/>
      <c r="D880" s="523"/>
      <c r="E880" s="523"/>
    </row>
    <row r="881" spans="1:5" s="524" customFormat="1" x14ac:dyDescent="0.2">
      <c r="A881" s="523"/>
      <c r="B881" s="523"/>
      <c r="C881" s="523"/>
      <c r="D881" s="523"/>
      <c r="E881" s="523"/>
    </row>
    <row r="882" spans="1:5" s="524" customFormat="1" x14ac:dyDescent="0.2">
      <c r="A882" s="523"/>
      <c r="B882" s="523"/>
      <c r="C882" s="523"/>
      <c r="D882" s="523"/>
      <c r="E882" s="523"/>
    </row>
    <row r="883" spans="1:5" s="524" customFormat="1" x14ac:dyDescent="0.2">
      <c r="A883" s="523"/>
      <c r="B883" s="523"/>
      <c r="C883" s="523"/>
      <c r="D883" s="523"/>
      <c r="E883" s="523"/>
    </row>
    <row r="884" spans="1:5" s="524" customFormat="1" x14ac:dyDescent="0.2">
      <c r="A884" s="523"/>
      <c r="B884" s="523"/>
      <c r="C884" s="523"/>
      <c r="D884" s="523"/>
      <c r="E884" s="523"/>
    </row>
    <row r="885" spans="1:5" s="524" customFormat="1" x14ac:dyDescent="0.2">
      <c r="A885" s="523"/>
      <c r="B885" s="523"/>
      <c r="C885" s="523"/>
      <c r="D885" s="523"/>
      <c r="E885" s="523"/>
    </row>
    <row r="886" spans="1:5" s="524" customFormat="1" x14ac:dyDescent="0.2">
      <c r="A886" s="523"/>
      <c r="B886" s="523"/>
      <c r="C886" s="523"/>
      <c r="D886" s="523"/>
      <c r="E886" s="523"/>
    </row>
    <row r="887" spans="1:5" s="524" customFormat="1" x14ac:dyDescent="0.2">
      <c r="A887" s="523"/>
      <c r="B887" s="523"/>
      <c r="C887" s="523"/>
      <c r="D887" s="523"/>
      <c r="E887" s="523"/>
    </row>
    <row r="888" spans="1:5" s="524" customFormat="1" x14ac:dyDescent="0.2">
      <c r="A888" s="523"/>
      <c r="B888" s="523"/>
      <c r="C888" s="523"/>
      <c r="D888" s="523"/>
      <c r="E888" s="523"/>
    </row>
    <row r="889" spans="1:5" s="524" customFormat="1" x14ac:dyDescent="0.2">
      <c r="A889" s="523"/>
      <c r="B889" s="523"/>
      <c r="C889" s="523"/>
      <c r="D889" s="523"/>
      <c r="E889" s="523"/>
    </row>
    <row r="890" spans="1:5" s="524" customFormat="1" x14ac:dyDescent="0.2">
      <c r="A890" s="523"/>
      <c r="B890" s="523"/>
      <c r="C890" s="523"/>
      <c r="D890" s="523"/>
      <c r="E890" s="523"/>
    </row>
    <row r="891" spans="1:5" s="524" customFormat="1" x14ac:dyDescent="0.2">
      <c r="A891" s="523"/>
      <c r="B891" s="523"/>
      <c r="C891" s="523"/>
      <c r="D891" s="523"/>
      <c r="E891" s="523"/>
    </row>
    <row r="892" spans="1:5" s="524" customFormat="1" x14ac:dyDescent="0.2">
      <c r="A892" s="523"/>
      <c r="B892" s="523"/>
      <c r="C892" s="523"/>
      <c r="D892" s="523"/>
      <c r="E892" s="523"/>
    </row>
    <row r="893" spans="1:5" s="524" customFormat="1" x14ac:dyDescent="0.2">
      <c r="A893" s="523"/>
      <c r="B893" s="523"/>
      <c r="C893" s="523"/>
      <c r="D893" s="523"/>
      <c r="E893" s="523"/>
    </row>
    <row r="894" spans="1:5" s="524" customFormat="1" x14ac:dyDescent="0.2">
      <c r="A894" s="523"/>
      <c r="B894" s="523"/>
      <c r="C894" s="523"/>
      <c r="D894" s="523"/>
      <c r="E894" s="523"/>
    </row>
    <row r="895" spans="1:5" s="524" customFormat="1" x14ac:dyDescent="0.2">
      <c r="A895" s="523"/>
      <c r="B895" s="523"/>
      <c r="C895" s="523"/>
      <c r="D895" s="523"/>
      <c r="E895" s="523"/>
    </row>
    <row r="896" spans="1:5" s="524" customFormat="1" x14ac:dyDescent="0.2">
      <c r="A896" s="523"/>
      <c r="B896" s="523"/>
      <c r="C896" s="523"/>
      <c r="D896" s="523"/>
      <c r="E896" s="523"/>
    </row>
    <row r="897" spans="1:5" s="524" customFormat="1" x14ac:dyDescent="0.2">
      <c r="A897" s="523"/>
      <c r="B897" s="523"/>
      <c r="C897" s="523"/>
      <c r="D897" s="523"/>
      <c r="E897" s="523"/>
    </row>
    <row r="898" spans="1:5" s="524" customFormat="1" x14ac:dyDescent="0.2">
      <c r="A898" s="523"/>
      <c r="B898" s="523"/>
      <c r="C898" s="523"/>
      <c r="D898" s="523"/>
      <c r="E898" s="523"/>
    </row>
    <row r="899" spans="1:5" s="524" customFormat="1" x14ac:dyDescent="0.2">
      <c r="A899" s="523"/>
      <c r="B899" s="523"/>
      <c r="C899" s="523"/>
      <c r="D899" s="523"/>
      <c r="E899" s="523"/>
    </row>
    <row r="900" spans="1:5" s="524" customFormat="1" x14ac:dyDescent="0.2">
      <c r="A900" s="523"/>
      <c r="B900" s="523"/>
      <c r="C900" s="523"/>
      <c r="D900" s="523"/>
      <c r="E900" s="523"/>
    </row>
    <row r="901" spans="1:5" s="524" customFormat="1" x14ac:dyDescent="0.2">
      <c r="A901" s="523"/>
      <c r="B901" s="523"/>
      <c r="C901" s="523"/>
      <c r="D901" s="523"/>
      <c r="E901" s="523"/>
    </row>
    <row r="902" spans="1:5" s="524" customFormat="1" x14ac:dyDescent="0.2">
      <c r="A902" s="523"/>
      <c r="B902" s="523"/>
      <c r="C902" s="523"/>
      <c r="D902" s="523"/>
      <c r="E902" s="523"/>
    </row>
    <row r="903" spans="1:5" s="524" customFormat="1" x14ac:dyDescent="0.2">
      <c r="A903" s="523"/>
      <c r="B903" s="523"/>
      <c r="C903" s="523"/>
      <c r="D903" s="523"/>
      <c r="E903" s="523"/>
    </row>
    <row r="904" spans="1:5" s="524" customFormat="1" x14ac:dyDescent="0.2">
      <c r="A904" s="523"/>
      <c r="B904" s="523"/>
      <c r="C904" s="523"/>
      <c r="D904" s="523"/>
      <c r="E904" s="523"/>
    </row>
    <row r="905" spans="1:5" s="524" customFormat="1" x14ac:dyDescent="0.2">
      <c r="A905" s="523"/>
      <c r="B905" s="523"/>
      <c r="C905" s="523"/>
      <c r="D905" s="523"/>
      <c r="E905" s="523"/>
    </row>
    <row r="906" spans="1:5" s="524" customFormat="1" x14ac:dyDescent="0.2">
      <c r="A906" s="523"/>
      <c r="B906" s="523"/>
      <c r="C906" s="523"/>
      <c r="D906" s="523"/>
      <c r="E906" s="523"/>
    </row>
    <row r="907" spans="1:5" s="524" customFormat="1" x14ac:dyDescent="0.2">
      <c r="A907" s="523"/>
      <c r="B907" s="523"/>
      <c r="C907" s="523"/>
      <c r="D907" s="523"/>
      <c r="E907" s="523"/>
    </row>
    <row r="908" spans="1:5" s="524" customFormat="1" x14ac:dyDescent="0.2">
      <c r="A908" s="523"/>
      <c r="B908" s="523"/>
      <c r="C908" s="523"/>
      <c r="D908" s="523"/>
      <c r="E908" s="523"/>
    </row>
    <row r="909" spans="1:5" s="524" customFormat="1" x14ac:dyDescent="0.2">
      <c r="A909" s="523"/>
      <c r="B909" s="523"/>
      <c r="C909" s="523"/>
      <c r="D909" s="523"/>
      <c r="E909" s="523"/>
    </row>
    <row r="910" spans="1:5" s="524" customFormat="1" x14ac:dyDescent="0.2">
      <c r="A910" s="523"/>
      <c r="B910" s="523"/>
      <c r="C910" s="523"/>
      <c r="D910" s="523"/>
      <c r="E910" s="523"/>
    </row>
    <row r="911" spans="1:5" s="524" customFormat="1" x14ac:dyDescent="0.2">
      <c r="A911" s="523"/>
      <c r="B911" s="523"/>
      <c r="C911" s="523"/>
      <c r="D911" s="523"/>
      <c r="E911" s="523"/>
    </row>
    <row r="912" spans="1:5" s="524" customFormat="1" x14ac:dyDescent="0.2">
      <c r="A912" s="523"/>
      <c r="B912" s="523"/>
      <c r="C912" s="523"/>
      <c r="D912" s="523"/>
      <c r="E912" s="523"/>
    </row>
    <row r="913" spans="1:5" s="524" customFormat="1" x14ac:dyDescent="0.2">
      <c r="A913" s="523"/>
      <c r="B913" s="523"/>
      <c r="C913" s="523"/>
      <c r="D913" s="523"/>
      <c r="E913" s="523"/>
    </row>
    <row r="914" spans="1:5" s="524" customFormat="1" x14ac:dyDescent="0.2">
      <c r="A914" s="523"/>
      <c r="B914" s="523"/>
      <c r="C914" s="523"/>
      <c r="D914" s="523"/>
      <c r="E914" s="523"/>
    </row>
    <row r="915" spans="1:5" s="524" customFormat="1" x14ac:dyDescent="0.2">
      <c r="A915" s="523"/>
      <c r="B915" s="523"/>
      <c r="C915" s="523"/>
      <c r="D915" s="523"/>
      <c r="E915" s="523"/>
    </row>
    <row r="916" spans="1:5" s="524" customFormat="1" x14ac:dyDescent="0.2">
      <c r="A916" s="523"/>
      <c r="B916" s="523"/>
      <c r="C916" s="523"/>
      <c r="D916" s="523"/>
      <c r="E916" s="523"/>
    </row>
    <row r="917" spans="1:5" s="524" customFormat="1" x14ac:dyDescent="0.2">
      <c r="A917" s="523"/>
      <c r="B917" s="523"/>
      <c r="C917" s="523"/>
      <c r="D917" s="523"/>
      <c r="E917" s="523"/>
    </row>
    <row r="918" spans="1:5" s="524" customFormat="1" x14ac:dyDescent="0.2">
      <c r="A918" s="523"/>
      <c r="B918" s="523"/>
      <c r="C918" s="523"/>
      <c r="D918" s="523"/>
      <c r="E918" s="523"/>
    </row>
    <row r="919" spans="1:5" s="524" customFormat="1" x14ac:dyDescent="0.2">
      <c r="A919" s="523"/>
      <c r="B919" s="523"/>
      <c r="C919" s="523"/>
      <c r="D919" s="523"/>
      <c r="E919" s="523"/>
    </row>
    <row r="920" spans="1:5" s="524" customFormat="1" x14ac:dyDescent="0.2">
      <c r="A920" s="523"/>
      <c r="B920" s="523"/>
      <c r="C920" s="523"/>
      <c r="D920" s="523"/>
      <c r="E920" s="523"/>
    </row>
    <row r="921" spans="1:5" s="524" customFormat="1" x14ac:dyDescent="0.2">
      <c r="A921" s="523"/>
      <c r="B921" s="523"/>
      <c r="C921" s="523"/>
      <c r="D921" s="523"/>
      <c r="E921" s="523"/>
    </row>
    <row r="922" spans="1:5" s="524" customFormat="1" x14ac:dyDescent="0.2">
      <c r="A922" s="523"/>
      <c r="B922" s="523"/>
      <c r="C922" s="523"/>
      <c r="D922" s="523"/>
      <c r="E922" s="523"/>
    </row>
    <row r="923" spans="1:5" s="524" customFormat="1" x14ac:dyDescent="0.2">
      <c r="A923" s="523"/>
      <c r="B923" s="523"/>
      <c r="C923" s="523"/>
      <c r="D923" s="523"/>
      <c r="E923" s="523"/>
    </row>
    <row r="924" spans="1:5" s="524" customFormat="1" x14ac:dyDescent="0.2">
      <c r="A924" s="523"/>
      <c r="B924" s="523"/>
      <c r="C924" s="523"/>
      <c r="D924" s="523"/>
      <c r="E924" s="523"/>
    </row>
    <row r="925" spans="1:5" s="524" customFormat="1" x14ac:dyDescent="0.2">
      <c r="A925" s="523"/>
      <c r="B925" s="523"/>
      <c r="C925" s="523"/>
      <c r="D925" s="523"/>
      <c r="E925" s="523"/>
    </row>
    <row r="926" spans="1:5" s="524" customFormat="1" x14ac:dyDescent="0.2">
      <c r="A926" s="523"/>
      <c r="B926" s="523"/>
      <c r="C926" s="523"/>
      <c r="D926" s="523"/>
      <c r="E926" s="523"/>
    </row>
    <row r="927" spans="1:5" s="524" customFormat="1" x14ac:dyDescent="0.2">
      <c r="A927" s="523"/>
      <c r="B927" s="523"/>
      <c r="C927" s="523"/>
      <c r="D927" s="523"/>
      <c r="E927" s="523"/>
    </row>
    <row r="928" spans="1:5" s="524" customFormat="1" x14ac:dyDescent="0.2">
      <c r="A928" s="523"/>
      <c r="B928" s="523"/>
      <c r="C928" s="523"/>
      <c r="D928" s="523"/>
      <c r="E928" s="523"/>
    </row>
    <row r="929" spans="1:5" s="524" customFormat="1" x14ac:dyDescent="0.2">
      <c r="A929" s="523"/>
      <c r="B929" s="523"/>
      <c r="C929" s="523"/>
      <c r="D929" s="523"/>
      <c r="E929" s="523"/>
    </row>
    <row r="930" spans="1:5" s="524" customFormat="1" x14ac:dyDescent="0.2">
      <c r="A930" s="523"/>
      <c r="B930" s="523"/>
      <c r="C930" s="523"/>
      <c r="D930" s="523"/>
      <c r="E930" s="523"/>
    </row>
    <row r="931" spans="1:5" s="524" customFormat="1" x14ac:dyDescent="0.2">
      <c r="A931" s="523"/>
      <c r="B931" s="523"/>
      <c r="C931" s="523"/>
      <c r="D931" s="523"/>
      <c r="E931" s="523"/>
    </row>
    <row r="932" spans="1:5" s="524" customFormat="1" x14ac:dyDescent="0.2">
      <c r="A932" s="523"/>
      <c r="B932" s="523"/>
      <c r="C932" s="523"/>
      <c r="D932" s="523"/>
      <c r="E932" s="523"/>
    </row>
    <row r="933" spans="1:5" s="524" customFormat="1" x14ac:dyDescent="0.2">
      <c r="A933" s="523"/>
      <c r="B933" s="523"/>
      <c r="C933" s="523"/>
      <c r="D933" s="523"/>
      <c r="E933" s="523"/>
    </row>
    <row r="934" spans="1:5" s="524" customFormat="1" x14ac:dyDescent="0.2">
      <c r="A934" s="523"/>
      <c r="B934" s="523"/>
      <c r="C934" s="523"/>
      <c r="D934" s="523"/>
      <c r="E934" s="523"/>
    </row>
    <row r="935" spans="1:5" s="524" customFormat="1" x14ac:dyDescent="0.2">
      <c r="A935" s="523"/>
      <c r="B935" s="523"/>
      <c r="C935" s="523"/>
      <c r="D935" s="523"/>
      <c r="E935" s="523"/>
    </row>
    <row r="936" spans="1:5" s="524" customFormat="1" x14ac:dyDescent="0.2">
      <c r="A936" s="523"/>
      <c r="B936" s="523"/>
      <c r="C936" s="523"/>
      <c r="D936" s="523"/>
      <c r="E936" s="523"/>
    </row>
    <row r="937" spans="1:5" s="524" customFormat="1" x14ac:dyDescent="0.2">
      <c r="A937" s="523"/>
      <c r="B937" s="523"/>
      <c r="C937" s="523"/>
      <c r="D937" s="523"/>
      <c r="E937" s="523"/>
    </row>
    <row r="938" spans="1:5" s="524" customFormat="1" x14ac:dyDescent="0.2">
      <c r="A938" s="523"/>
      <c r="B938" s="523"/>
      <c r="C938" s="523"/>
      <c r="D938" s="523"/>
      <c r="E938" s="523"/>
    </row>
    <row r="939" spans="1:5" s="524" customFormat="1" x14ac:dyDescent="0.2">
      <c r="A939" s="523"/>
      <c r="B939" s="523"/>
      <c r="C939" s="523"/>
      <c r="D939" s="523"/>
      <c r="E939" s="523"/>
    </row>
    <row r="940" spans="1:5" s="524" customFormat="1" x14ac:dyDescent="0.2">
      <c r="A940" s="523"/>
      <c r="B940" s="523"/>
      <c r="C940" s="523"/>
      <c r="D940" s="523"/>
      <c r="E940" s="523"/>
    </row>
    <row r="941" spans="1:5" s="524" customFormat="1" x14ac:dyDescent="0.2">
      <c r="A941" s="523"/>
      <c r="B941" s="523"/>
      <c r="C941" s="523"/>
      <c r="D941" s="523"/>
      <c r="E941" s="523"/>
    </row>
    <row r="942" spans="1:5" s="524" customFormat="1" x14ac:dyDescent="0.2">
      <c r="A942" s="523"/>
      <c r="B942" s="523"/>
      <c r="C942" s="523"/>
      <c r="D942" s="523"/>
      <c r="E942" s="523"/>
    </row>
    <row r="943" spans="1:5" s="524" customFormat="1" x14ac:dyDescent="0.2">
      <c r="A943" s="523"/>
      <c r="B943" s="523"/>
      <c r="C943" s="523"/>
      <c r="D943" s="523"/>
      <c r="E943" s="523"/>
    </row>
    <row r="944" spans="1:5" s="524" customFormat="1" x14ac:dyDescent="0.2">
      <c r="A944" s="523"/>
      <c r="B944" s="523"/>
      <c r="C944" s="523"/>
      <c r="D944" s="523"/>
      <c r="E944" s="523"/>
    </row>
    <row r="945" spans="1:5" s="524" customFormat="1" x14ac:dyDescent="0.2">
      <c r="A945" s="523"/>
      <c r="B945" s="523"/>
      <c r="C945" s="523"/>
      <c r="D945" s="523"/>
      <c r="E945" s="523"/>
    </row>
    <row r="946" spans="1:5" s="524" customFormat="1" x14ac:dyDescent="0.2">
      <c r="A946" s="523"/>
      <c r="B946" s="523"/>
      <c r="C946" s="523"/>
      <c r="D946" s="523"/>
      <c r="E946" s="523"/>
    </row>
    <row r="947" spans="1:5" s="524" customFormat="1" x14ac:dyDescent="0.2">
      <c r="A947" s="523"/>
      <c r="B947" s="523"/>
      <c r="C947" s="523"/>
      <c r="D947" s="523"/>
      <c r="E947" s="523"/>
    </row>
    <row r="948" spans="1:5" s="524" customFormat="1" x14ac:dyDescent="0.2">
      <c r="A948" s="523"/>
      <c r="B948" s="523"/>
      <c r="C948" s="523"/>
      <c r="D948" s="523"/>
      <c r="E948" s="523"/>
    </row>
    <row r="949" spans="1:5" s="524" customFormat="1" x14ac:dyDescent="0.2">
      <c r="A949" s="523"/>
      <c r="B949" s="523"/>
      <c r="C949" s="523"/>
      <c r="D949" s="523"/>
      <c r="E949" s="523"/>
    </row>
    <row r="950" spans="1:5" s="524" customFormat="1" x14ac:dyDescent="0.2">
      <c r="A950" s="523"/>
      <c r="B950" s="523"/>
      <c r="C950" s="523"/>
      <c r="D950" s="523"/>
      <c r="E950" s="523"/>
    </row>
    <row r="951" spans="1:5" s="524" customFormat="1" x14ac:dyDescent="0.2">
      <c r="A951" s="523"/>
      <c r="B951" s="523"/>
      <c r="C951" s="523"/>
      <c r="D951" s="523"/>
      <c r="E951" s="523"/>
    </row>
    <row r="952" spans="1:5" s="524" customFormat="1" x14ac:dyDescent="0.2">
      <c r="A952" s="523"/>
      <c r="B952" s="523"/>
      <c r="C952" s="523"/>
      <c r="D952" s="523"/>
      <c r="E952" s="523"/>
    </row>
    <row r="953" spans="1:5" s="524" customFormat="1" x14ac:dyDescent="0.2">
      <c r="A953" s="523"/>
      <c r="B953" s="523"/>
      <c r="C953" s="523"/>
      <c r="D953" s="523"/>
      <c r="E953" s="523"/>
    </row>
    <row r="954" spans="1:5" s="524" customFormat="1" x14ac:dyDescent="0.2">
      <c r="A954" s="523"/>
      <c r="B954" s="523"/>
      <c r="C954" s="523"/>
      <c r="D954" s="523"/>
      <c r="E954" s="523"/>
    </row>
    <row r="955" spans="1:5" s="524" customFormat="1" x14ac:dyDescent="0.2">
      <c r="A955" s="523"/>
      <c r="B955" s="523"/>
      <c r="C955" s="523"/>
      <c r="D955" s="523"/>
      <c r="E955" s="523"/>
    </row>
    <row r="956" spans="1:5" s="524" customFormat="1" x14ac:dyDescent="0.2">
      <c r="A956" s="523"/>
      <c r="B956" s="523"/>
      <c r="C956" s="523"/>
      <c r="D956" s="523"/>
      <c r="E956" s="523"/>
    </row>
  </sheetData>
  <printOptions gridLines="1"/>
  <pageMargins left="0.7" right="0.7" top="0.75" bottom="0.75" header="0.3" footer="0.3"/>
  <pageSetup paperSize="9" scale="84" orientation="portrait" r:id="rId1"/>
  <headerFooter>
    <oddHeader>&amp;R&amp;"Times New Roman,Bold Italic"&amp;8&amp;UGENERAL SUMMARY</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7EC3-C26B-4B31-9EBC-3F895C93E9C1}">
  <dimension ref="A1:T1180"/>
  <sheetViews>
    <sheetView view="pageBreakPreview" topLeftCell="A820" zoomScaleNormal="100" zoomScaleSheetLayoutView="100" workbookViewId="0">
      <selection activeCell="F817" sqref="F817"/>
    </sheetView>
  </sheetViews>
  <sheetFormatPr defaultColWidth="9.140625" defaultRowHeight="16.5" x14ac:dyDescent="0.25"/>
  <cols>
    <col min="1" max="1" width="3.42578125" style="206" customWidth="1"/>
    <col min="2" max="2" width="47" style="214" customWidth="1"/>
    <col min="3" max="3" width="9.28515625" style="205" customWidth="1"/>
    <col min="4" max="4" width="6.85546875" style="206" bestFit="1" customWidth="1"/>
    <col min="5" max="5" width="17.85546875" style="304" bestFit="1" customWidth="1"/>
    <col min="6" max="7" width="16.42578125" style="207" customWidth="1"/>
    <col min="8" max="8" width="18" style="208" customWidth="1"/>
    <col min="9" max="9" width="35.5703125" style="208" customWidth="1"/>
    <col min="10" max="10" width="9.140625" style="208"/>
    <col min="11" max="11" width="22.42578125" style="208" customWidth="1"/>
    <col min="12" max="12" width="5.42578125" style="208" customWidth="1"/>
    <col min="13" max="13" width="9.5703125" style="208" customWidth="1"/>
    <col min="14" max="16" width="9.140625" style="208"/>
    <col min="17" max="17" width="12.5703125" style="208" bestFit="1" customWidth="1"/>
    <col min="18" max="18" width="9.140625" style="208"/>
    <col min="19" max="19" width="12.42578125" style="208" bestFit="1" customWidth="1"/>
    <col min="20" max="16384" width="9.140625" style="208"/>
  </cols>
  <sheetData>
    <row r="1" spans="1:10" x14ac:dyDescent="0.25">
      <c r="A1" s="203"/>
      <c r="B1" s="204" t="s">
        <v>508</v>
      </c>
    </row>
    <row r="2" spans="1:10" x14ac:dyDescent="0.25">
      <c r="B2" s="209"/>
    </row>
    <row r="3" spans="1:10" x14ac:dyDescent="0.25">
      <c r="B3" s="210" t="s">
        <v>509</v>
      </c>
    </row>
    <row r="4" spans="1:10" x14ac:dyDescent="0.25">
      <c r="B4" s="210"/>
    </row>
    <row r="5" spans="1:10" s="213" customFormat="1" x14ac:dyDescent="0.25">
      <c r="A5" s="206"/>
      <c r="B5" s="211" t="s">
        <v>44</v>
      </c>
      <c r="C5" s="205"/>
      <c r="D5" s="206"/>
      <c r="E5" s="304"/>
      <c r="F5" s="212"/>
      <c r="G5" s="212"/>
      <c r="H5" s="208"/>
    </row>
    <row r="6" spans="1:10" s="213" customFormat="1" x14ac:dyDescent="0.25">
      <c r="A6" s="206"/>
      <c r="B6" s="211"/>
      <c r="C6" s="205"/>
      <c r="D6" s="206"/>
      <c r="E6" s="304"/>
      <c r="F6" s="212"/>
      <c r="G6" s="212"/>
      <c r="H6" s="208"/>
    </row>
    <row r="7" spans="1:10" s="213" customFormat="1" x14ac:dyDescent="0.25">
      <c r="A7" s="206"/>
      <c r="B7" s="211" t="s">
        <v>510</v>
      </c>
      <c r="C7" s="205"/>
      <c r="D7" s="206"/>
      <c r="E7" s="304"/>
      <c r="F7" s="212"/>
      <c r="G7" s="212"/>
      <c r="H7" s="208"/>
    </row>
    <row r="8" spans="1:10" ht="17.25" customHeight="1" x14ac:dyDescent="0.25"/>
    <row r="9" spans="1:10" ht="40.5" customHeight="1" x14ac:dyDescent="0.25">
      <c r="A9" s="206" t="s">
        <v>2</v>
      </c>
      <c r="B9" s="215" t="s">
        <v>45</v>
      </c>
      <c r="C9" s="205">
        <f>'[30]Take off'!D10</f>
        <v>121</v>
      </c>
      <c r="D9" s="206" t="s">
        <v>511</v>
      </c>
      <c r="E9" s="304">
        <v>200</v>
      </c>
      <c r="F9" s="207">
        <f t="shared" ref="F9:F18" si="0">C9*E9</f>
        <v>24200</v>
      </c>
      <c r="G9" s="216"/>
      <c r="H9" s="284"/>
    </row>
    <row r="10" spans="1:10" ht="51.75" customHeight="1" x14ac:dyDescent="0.25">
      <c r="A10" s="206" t="s">
        <v>4</v>
      </c>
      <c r="B10" s="215" t="s">
        <v>512</v>
      </c>
      <c r="C10" s="205">
        <f>'[30]Take off'!D14</f>
        <v>66</v>
      </c>
      <c r="D10" s="206" t="s">
        <v>513</v>
      </c>
      <c r="E10" s="304">
        <v>1900</v>
      </c>
      <c r="F10" s="207">
        <f t="shared" si="0"/>
        <v>125400</v>
      </c>
      <c r="G10" s="216"/>
      <c r="H10" s="284"/>
    </row>
    <row r="11" spans="1:10" ht="45" customHeight="1" x14ac:dyDescent="0.25">
      <c r="A11" s="206" t="s">
        <v>5</v>
      </c>
      <c r="B11" s="215" t="s">
        <v>876</v>
      </c>
      <c r="C11" s="205">
        <f>'[30]Take off'!D52</f>
        <v>72</v>
      </c>
      <c r="D11" s="206" t="s">
        <v>513</v>
      </c>
      <c r="E11" s="304">
        <f>E10</f>
        <v>1900</v>
      </c>
      <c r="F11" s="207">
        <f t="shared" si="0"/>
        <v>136800</v>
      </c>
      <c r="G11" s="216"/>
      <c r="H11" s="284"/>
    </row>
    <row r="12" spans="1:10" ht="55.5" customHeight="1" x14ac:dyDescent="0.25">
      <c r="A12" s="206" t="s">
        <v>6</v>
      </c>
      <c r="B12" s="215" t="s">
        <v>514</v>
      </c>
      <c r="D12" s="206" t="s">
        <v>513</v>
      </c>
      <c r="E12" s="304">
        <f>E10</f>
        <v>1900</v>
      </c>
      <c r="F12" s="207">
        <f t="shared" si="0"/>
        <v>0</v>
      </c>
      <c r="G12" s="216"/>
    </row>
    <row r="13" spans="1:10" ht="30.75" customHeight="1" x14ac:dyDescent="0.25">
      <c r="A13" s="206" t="s">
        <v>7</v>
      </c>
      <c r="B13" s="215" t="s">
        <v>19</v>
      </c>
      <c r="C13" s="205">
        <v>167</v>
      </c>
      <c r="D13" s="206" t="s">
        <v>511</v>
      </c>
      <c r="E13" s="304">
        <f>'[31]AJIWE STRIP MALL '!E49</f>
        <v>250</v>
      </c>
      <c r="F13" s="207">
        <f t="shared" si="0"/>
        <v>41750</v>
      </c>
      <c r="G13" s="216"/>
      <c r="H13" s="284"/>
      <c r="I13" s="217"/>
    </row>
    <row r="14" spans="1:10" ht="30.75" customHeight="1" x14ac:dyDescent="0.25">
      <c r="A14" s="206" t="s">
        <v>8</v>
      </c>
      <c r="B14" s="215" t="s">
        <v>515</v>
      </c>
      <c r="C14" s="205">
        <f>(C11+C10)*0.4</f>
        <v>55.2</v>
      </c>
      <c r="D14" s="206" t="s">
        <v>513</v>
      </c>
      <c r="E14" s="304">
        <v>1400</v>
      </c>
      <c r="F14" s="207">
        <f t="shared" si="0"/>
        <v>77280</v>
      </c>
      <c r="G14" s="216"/>
      <c r="H14" s="284"/>
      <c r="J14" s="217"/>
    </row>
    <row r="15" spans="1:10" ht="44.25" customHeight="1" x14ac:dyDescent="0.25">
      <c r="A15" s="206" t="s">
        <v>9</v>
      </c>
      <c r="B15" s="215" t="s">
        <v>516</v>
      </c>
      <c r="C15" s="205">
        <f>(C11+C10)*0.6</f>
        <v>82.8</v>
      </c>
      <c r="D15" s="206" t="s">
        <v>513</v>
      </c>
      <c r="E15" s="304">
        <v>900</v>
      </c>
      <c r="F15" s="207">
        <f t="shared" si="0"/>
        <v>74520</v>
      </c>
      <c r="G15" s="216"/>
      <c r="H15" s="284"/>
    </row>
    <row r="16" spans="1:10" ht="44.25" customHeight="1" x14ac:dyDescent="0.25">
      <c r="A16" s="206" t="s">
        <v>10</v>
      </c>
      <c r="B16" s="218" t="s">
        <v>806</v>
      </c>
      <c r="C16" s="205">
        <f>'[30]Take off'!D75</f>
        <v>48</v>
      </c>
      <c r="D16" s="206" t="s">
        <v>513</v>
      </c>
      <c r="E16" s="304">
        <v>6500</v>
      </c>
      <c r="F16" s="207">
        <f>C16*E16</f>
        <v>312000</v>
      </c>
      <c r="G16" s="216"/>
      <c r="H16" s="284"/>
    </row>
    <row r="17" spans="1:8" ht="36" customHeight="1" x14ac:dyDescent="0.25">
      <c r="A17" s="206" t="s">
        <v>11</v>
      </c>
      <c r="B17" s="215" t="s">
        <v>663</v>
      </c>
      <c r="C17" s="205">
        <f>'[30]Take off'!D71</f>
        <v>121</v>
      </c>
      <c r="D17" s="206" t="s">
        <v>511</v>
      </c>
      <c r="E17" s="304">
        <v>2700</v>
      </c>
      <c r="F17" s="207">
        <f t="shared" si="0"/>
        <v>326700</v>
      </c>
      <c r="G17" s="216"/>
      <c r="H17" s="284"/>
    </row>
    <row r="18" spans="1:8" ht="36" customHeight="1" x14ac:dyDescent="0.25">
      <c r="A18" s="206" t="s">
        <v>12</v>
      </c>
      <c r="B18" s="215" t="s">
        <v>517</v>
      </c>
      <c r="D18" s="206" t="s">
        <v>511</v>
      </c>
      <c r="E18" s="304">
        <f>'[31]AJIWE STRIP MALL '!E54</f>
        <v>150</v>
      </c>
      <c r="F18" s="207">
        <f t="shared" si="0"/>
        <v>0</v>
      </c>
      <c r="G18" s="216"/>
      <c r="H18" s="284"/>
    </row>
    <row r="19" spans="1:8" x14ac:dyDescent="0.25">
      <c r="B19" s="211" t="s">
        <v>98</v>
      </c>
      <c r="G19" s="216"/>
    </row>
    <row r="20" spans="1:8" ht="17.25" customHeight="1" x14ac:dyDescent="0.25">
      <c r="B20" s="219" t="s">
        <v>664</v>
      </c>
      <c r="G20" s="216"/>
    </row>
    <row r="21" spans="1:8" ht="17.25" customHeight="1" x14ac:dyDescent="0.25">
      <c r="A21" s="206" t="s">
        <v>13</v>
      </c>
      <c r="B21" s="214" t="s">
        <v>807</v>
      </c>
      <c r="C21" s="205">
        <f>'[30]Take off'!D89</f>
        <v>191</v>
      </c>
      <c r="D21" s="206" t="s">
        <v>511</v>
      </c>
      <c r="E21" s="304">
        <v>4100</v>
      </c>
      <c r="F21" s="207">
        <f>C21*E21</f>
        <v>783100</v>
      </c>
      <c r="G21" s="216"/>
      <c r="H21" s="284"/>
    </row>
    <row r="22" spans="1:8" ht="28.9" customHeight="1" x14ac:dyDescent="0.25">
      <c r="B22" s="224" t="s">
        <v>665</v>
      </c>
      <c r="G22" s="216"/>
    </row>
    <row r="23" spans="1:8" ht="17.25" customHeight="1" x14ac:dyDescent="0.25">
      <c r="A23" s="206" t="s">
        <v>14</v>
      </c>
      <c r="B23" s="214" t="s">
        <v>518</v>
      </c>
      <c r="C23" s="205">
        <v>0</v>
      </c>
      <c r="D23" s="206" t="s">
        <v>513</v>
      </c>
      <c r="E23" s="304">
        <v>90000</v>
      </c>
      <c r="F23" s="207">
        <f>C23*E23</f>
        <v>0</v>
      </c>
      <c r="G23" s="216"/>
      <c r="H23" s="284"/>
    </row>
    <row r="24" spans="1:8" ht="17.25" customHeight="1" x14ac:dyDescent="0.25">
      <c r="A24" s="206" t="s">
        <v>15</v>
      </c>
      <c r="B24" s="214" t="s">
        <v>519</v>
      </c>
      <c r="C24" s="205">
        <f>'[30]Take off'!H6</f>
        <v>18</v>
      </c>
      <c r="D24" s="206" t="s">
        <v>513</v>
      </c>
      <c r="E24" s="304">
        <f>E23</f>
        <v>90000</v>
      </c>
      <c r="F24" s="207">
        <f>C24*E24</f>
        <v>1620000</v>
      </c>
      <c r="G24" s="216"/>
      <c r="H24" s="284"/>
    </row>
    <row r="25" spans="1:8" ht="17.25" customHeight="1" x14ac:dyDescent="0.25">
      <c r="G25" s="216"/>
      <c r="H25" s="284"/>
    </row>
    <row r="26" spans="1:8" ht="17.25" customHeight="1" x14ac:dyDescent="0.25">
      <c r="G26" s="216"/>
      <c r="H26" s="284"/>
    </row>
    <row r="27" spans="1:8" ht="17.25" customHeight="1" x14ac:dyDescent="0.25">
      <c r="G27" s="216"/>
      <c r="H27" s="284"/>
    </row>
    <row r="28" spans="1:8" ht="17.25" customHeight="1" x14ac:dyDescent="0.25">
      <c r="G28" s="216"/>
      <c r="H28" s="284"/>
    </row>
    <row r="29" spans="1:8" ht="17.25" customHeight="1" x14ac:dyDescent="0.25">
      <c r="G29" s="216"/>
      <c r="H29" s="284"/>
    </row>
    <row r="30" spans="1:8" ht="17.25" customHeight="1" x14ac:dyDescent="0.25">
      <c r="B30" s="220" t="s">
        <v>520</v>
      </c>
      <c r="C30" s="221"/>
      <c r="D30" s="209"/>
      <c r="E30" s="303" t="s">
        <v>15</v>
      </c>
      <c r="F30" s="285">
        <f>SUM(F2:F29)</f>
        <v>3521750</v>
      </c>
      <c r="G30" s="216"/>
    </row>
    <row r="31" spans="1:8" s="223" customFormat="1" ht="17.25" customHeight="1" x14ac:dyDescent="0.25">
      <c r="A31" s="209"/>
      <c r="B31" s="210" t="s">
        <v>521</v>
      </c>
      <c r="C31" s="221"/>
      <c r="D31" s="209"/>
      <c r="E31" s="303"/>
      <c r="F31" s="222"/>
      <c r="G31" s="216"/>
    </row>
    <row r="32" spans="1:8" ht="30.75" customHeight="1" x14ac:dyDescent="0.25">
      <c r="B32" s="219" t="s">
        <v>522</v>
      </c>
      <c r="G32" s="216"/>
    </row>
    <row r="33" spans="1:8" ht="22.9" customHeight="1" x14ac:dyDescent="0.25">
      <c r="B33" s="219" t="s">
        <v>666</v>
      </c>
      <c r="G33" s="216"/>
    </row>
    <row r="34" spans="1:8" ht="22.5" customHeight="1" x14ac:dyDescent="0.25">
      <c r="A34" s="206" t="s">
        <v>2</v>
      </c>
      <c r="B34" s="214" t="s">
        <v>667</v>
      </c>
      <c r="C34" s="205">
        <f>'[30]Take off'!H78</f>
        <v>1</v>
      </c>
      <c r="D34" s="206" t="s">
        <v>513</v>
      </c>
      <c r="E34" s="304">
        <v>94000</v>
      </c>
      <c r="F34" s="207">
        <f>C34*E34</f>
        <v>94000</v>
      </c>
      <c r="G34" s="216"/>
      <c r="H34" s="284"/>
    </row>
    <row r="35" spans="1:8" ht="21.75" customHeight="1" x14ac:dyDescent="0.25">
      <c r="A35" s="206" t="s">
        <v>4</v>
      </c>
      <c r="B35" s="214" t="s">
        <v>877</v>
      </c>
      <c r="C35" s="205">
        <f>'[30]Take off'!H52</f>
        <v>72</v>
      </c>
      <c r="D35" s="206" t="s">
        <v>513</v>
      </c>
      <c r="E35" s="304">
        <f>E34</f>
        <v>94000</v>
      </c>
      <c r="F35" s="207">
        <f>C35*E35</f>
        <v>6768000</v>
      </c>
      <c r="G35" s="216"/>
      <c r="H35" s="284"/>
    </row>
    <row r="36" spans="1:8" ht="21.75" customHeight="1" x14ac:dyDescent="0.25">
      <c r="A36" s="206" t="s">
        <v>5</v>
      </c>
      <c r="B36" s="214" t="s">
        <v>804</v>
      </c>
      <c r="C36" s="205">
        <f>'[30]Take off'!H27</f>
        <v>12</v>
      </c>
      <c r="D36" s="206" t="s">
        <v>513</v>
      </c>
      <c r="E36" s="304">
        <f>E34</f>
        <v>94000</v>
      </c>
      <c r="F36" s="207">
        <f>C36*E36</f>
        <v>1128000</v>
      </c>
      <c r="G36" s="216"/>
      <c r="H36" s="284"/>
    </row>
    <row r="37" spans="1:8" ht="21.75" customHeight="1" x14ac:dyDescent="0.25">
      <c r="A37" s="206" t="s">
        <v>5</v>
      </c>
      <c r="B37" s="214" t="s">
        <v>668</v>
      </c>
      <c r="C37" s="205">
        <v>0</v>
      </c>
      <c r="D37" s="206" t="s">
        <v>513</v>
      </c>
      <c r="E37" s="304">
        <f>E35</f>
        <v>94000</v>
      </c>
      <c r="F37" s="207">
        <f>C37*E37</f>
        <v>0</v>
      </c>
      <c r="G37" s="216"/>
      <c r="H37" s="284"/>
    </row>
    <row r="38" spans="1:8" x14ac:dyDescent="0.25">
      <c r="G38" s="216"/>
    </row>
    <row r="39" spans="1:8" ht="21" customHeight="1" x14ac:dyDescent="0.25">
      <c r="B39" s="211" t="s">
        <v>102</v>
      </c>
      <c r="G39" s="216"/>
    </row>
    <row r="40" spans="1:8" ht="38.25" customHeight="1" x14ac:dyDescent="0.25">
      <c r="B40" s="224" t="s">
        <v>878</v>
      </c>
      <c r="G40" s="216"/>
    </row>
    <row r="41" spans="1:8" ht="19.5" customHeight="1" x14ac:dyDescent="0.25">
      <c r="A41" s="206" t="s">
        <v>6</v>
      </c>
      <c r="B41" s="214" t="s">
        <v>879</v>
      </c>
      <c r="C41" s="205">
        <f>178+111+180+809+'[30]Take off'!L86+350+242</f>
        <v>2064.6769230769232</v>
      </c>
      <c r="D41" s="206" t="s">
        <v>75</v>
      </c>
      <c r="E41" s="304">
        <v>770</v>
      </c>
      <c r="F41" s="207">
        <f>C41*E41</f>
        <v>1589801.230769231</v>
      </c>
      <c r="G41" s="216"/>
      <c r="H41" s="284"/>
    </row>
    <row r="42" spans="1:8" ht="19.5" customHeight="1" x14ac:dyDescent="0.25">
      <c r="A42" s="206" t="s">
        <v>7</v>
      </c>
      <c r="B42" s="214" t="s">
        <v>880</v>
      </c>
      <c r="C42" s="205">
        <f>906+'[30]Take off'!H89+302</f>
        <v>1223.7866666666666</v>
      </c>
      <c r="D42" s="206" t="s">
        <v>75</v>
      </c>
      <c r="E42" s="304">
        <f>E41</f>
        <v>770</v>
      </c>
      <c r="F42" s="207">
        <f>C42*E42</f>
        <v>942315.73333333328</v>
      </c>
      <c r="G42" s="216"/>
      <c r="H42" s="284"/>
    </row>
    <row r="43" spans="1:8" ht="19.5" customHeight="1" x14ac:dyDescent="0.25">
      <c r="A43" s="206" t="s">
        <v>8</v>
      </c>
      <c r="B43" s="214" t="s">
        <v>672</v>
      </c>
      <c r="C43" s="205">
        <f>52+32+41+103</f>
        <v>228</v>
      </c>
      <c r="D43" s="206" t="s">
        <v>75</v>
      </c>
      <c r="E43" s="304">
        <f>E42</f>
        <v>770</v>
      </c>
      <c r="F43" s="207">
        <f>C43*E43</f>
        <v>175560</v>
      </c>
      <c r="G43" s="216"/>
      <c r="H43" s="284"/>
    </row>
    <row r="44" spans="1:8" ht="18.75" customHeight="1" x14ac:dyDescent="0.25">
      <c r="A44" s="206" t="s">
        <v>9</v>
      </c>
      <c r="B44" s="214" t="s">
        <v>881</v>
      </c>
      <c r="C44" s="205">
        <f>402+230+'[30]Take off'!P78+1980+600</f>
        <v>3400.0833333333335</v>
      </c>
      <c r="D44" s="206" t="s">
        <v>75</v>
      </c>
      <c r="E44" s="304">
        <f>E43</f>
        <v>770</v>
      </c>
      <c r="F44" s="207">
        <f>C44*E44</f>
        <v>2618064.166666667</v>
      </c>
      <c r="G44" s="216"/>
      <c r="H44" s="284"/>
    </row>
    <row r="45" spans="1:8" ht="19.5" customHeight="1" x14ac:dyDescent="0.25">
      <c r="G45" s="216"/>
      <c r="H45" s="284"/>
    </row>
    <row r="46" spans="1:8" ht="49.5" customHeight="1" x14ac:dyDescent="0.25">
      <c r="B46" s="224" t="s">
        <v>524</v>
      </c>
      <c r="G46" s="216"/>
    </row>
    <row r="47" spans="1:8" ht="20.25" customHeight="1" x14ac:dyDescent="0.25">
      <c r="A47" s="206" t="s">
        <v>10</v>
      </c>
      <c r="B47" s="218" t="s">
        <v>39</v>
      </c>
      <c r="C47" s="205">
        <f>C73</f>
        <v>121</v>
      </c>
      <c r="D47" s="206" t="s">
        <v>511</v>
      </c>
      <c r="E47" s="304">
        <v>1800</v>
      </c>
      <c r="F47" s="207">
        <f>C47*E47</f>
        <v>217800</v>
      </c>
      <c r="G47" s="216"/>
      <c r="H47" s="284"/>
    </row>
    <row r="48" spans="1:8" x14ac:dyDescent="0.25">
      <c r="B48" s="218"/>
      <c r="G48" s="216"/>
      <c r="H48" s="284"/>
    </row>
    <row r="49" spans="1:8" ht="21" customHeight="1" x14ac:dyDescent="0.25">
      <c r="B49" s="211" t="s">
        <v>67</v>
      </c>
      <c r="G49" s="216"/>
    </row>
    <row r="50" spans="1:8" ht="24.75" customHeight="1" x14ac:dyDescent="0.25">
      <c r="B50" s="219" t="s">
        <v>120</v>
      </c>
      <c r="G50" s="216"/>
    </row>
    <row r="51" spans="1:8" ht="21.75" customHeight="1" x14ac:dyDescent="0.25">
      <c r="A51" s="206" t="s">
        <v>11</v>
      </c>
      <c r="B51" s="214" t="s">
        <v>882</v>
      </c>
      <c r="C51" s="205">
        <f>'[30]Take off'!L77</f>
        <v>8</v>
      </c>
      <c r="D51" s="206" t="s">
        <v>511</v>
      </c>
      <c r="E51" s="304">
        <v>6600</v>
      </c>
      <c r="F51" s="207">
        <f>C51*E51</f>
        <v>52800</v>
      </c>
      <c r="G51" s="216"/>
      <c r="H51" s="284"/>
    </row>
    <row r="52" spans="1:8" ht="23.25" customHeight="1" x14ac:dyDescent="0.25">
      <c r="A52" s="206" t="s">
        <v>12</v>
      </c>
      <c r="B52" s="214" t="s">
        <v>800</v>
      </c>
      <c r="C52" s="205">
        <f>'[30]Take off'!K47+'[30]Take off'!K44+'[30]Take off'!K41</f>
        <v>31.32</v>
      </c>
      <c r="D52" s="206" t="s">
        <v>511</v>
      </c>
      <c r="E52" s="304">
        <f>E51</f>
        <v>6600</v>
      </c>
      <c r="F52" s="207">
        <f>C52*E52</f>
        <v>206712</v>
      </c>
      <c r="G52" s="216"/>
    </row>
    <row r="53" spans="1:8" ht="23.25" customHeight="1" x14ac:dyDescent="0.25">
      <c r="A53" s="206" t="s">
        <v>13</v>
      </c>
      <c r="B53" s="214" t="s">
        <v>883</v>
      </c>
      <c r="C53" s="205">
        <f>'[30]Take off'!L26</f>
        <v>106</v>
      </c>
      <c r="D53" s="206" t="s">
        <v>511</v>
      </c>
      <c r="E53" s="304">
        <f>E52</f>
        <v>6600</v>
      </c>
      <c r="F53" s="207">
        <f>C53*E53</f>
        <v>699600</v>
      </c>
      <c r="G53" s="216"/>
    </row>
    <row r="54" spans="1:8" ht="23.25" customHeight="1" x14ac:dyDescent="0.25">
      <c r="G54" s="216"/>
    </row>
    <row r="55" spans="1:8" x14ac:dyDescent="0.25">
      <c r="G55" s="216"/>
    </row>
    <row r="56" spans="1:8" x14ac:dyDescent="0.25">
      <c r="G56" s="216"/>
    </row>
    <row r="57" spans="1:8" x14ac:dyDescent="0.25">
      <c r="B57" s="225" t="s">
        <v>525</v>
      </c>
      <c r="E57" s="303" t="s">
        <v>15</v>
      </c>
      <c r="F57" s="222">
        <f>SUM(F33:F56)</f>
        <v>14492653.13076923</v>
      </c>
      <c r="G57" s="216"/>
    </row>
    <row r="58" spans="1:8" x14ac:dyDescent="0.25">
      <c r="B58" s="210" t="s">
        <v>521</v>
      </c>
      <c r="G58" s="216"/>
    </row>
    <row r="59" spans="1:8" x14ac:dyDescent="0.25">
      <c r="B59" s="210"/>
      <c r="G59" s="216"/>
    </row>
    <row r="60" spans="1:8" x14ac:dyDescent="0.25">
      <c r="B60" s="219" t="s">
        <v>120</v>
      </c>
      <c r="G60" s="216"/>
    </row>
    <row r="61" spans="1:8" x14ac:dyDescent="0.25">
      <c r="B61" s="219"/>
      <c r="G61" s="216"/>
    </row>
    <row r="62" spans="1:8" x14ac:dyDescent="0.25">
      <c r="A62" s="206" t="s">
        <v>2</v>
      </c>
      <c r="B62" s="214" t="s">
        <v>1</v>
      </c>
      <c r="C62" s="205">
        <f>'[30]Take off'!L5</f>
        <v>44</v>
      </c>
      <c r="D62" s="206" t="s">
        <v>22</v>
      </c>
      <c r="E62" s="304">
        <v>1200</v>
      </c>
      <c r="F62" s="207">
        <f>C62*E62</f>
        <v>52800</v>
      </c>
      <c r="G62" s="216"/>
      <c r="H62" s="284"/>
    </row>
    <row r="63" spans="1:8" x14ac:dyDescent="0.25">
      <c r="G63" s="216"/>
      <c r="H63" s="284"/>
    </row>
    <row r="64" spans="1:8" x14ac:dyDescent="0.25">
      <c r="B64" s="211" t="s">
        <v>84</v>
      </c>
      <c r="C64" s="221"/>
      <c r="D64" s="209"/>
      <c r="E64" s="303"/>
      <c r="F64" s="286"/>
      <c r="G64" s="216"/>
    </row>
    <row r="65" spans="1:8" x14ac:dyDescent="0.25">
      <c r="B65" s="226"/>
      <c r="C65" s="221"/>
      <c r="D65" s="209"/>
      <c r="E65" s="303"/>
      <c r="F65" s="286"/>
      <c r="G65" s="216"/>
    </row>
    <row r="66" spans="1:8" ht="57.75" customHeight="1" x14ac:dyDescent="0.25">
      <c r="B66" s="224" t="s">
        <v>526</v>
      </c>
      <c r="C66" s="221"/>
      <c r="D66" s="209"/>
      <c r="E66" s="303"/>
      <c r="F66" s="286"/>
      <c r="G66" s="216"/>
    </row>
    <row r="67" spans="1:8" x14ac:dyDescent="0.25">
      <c r="B67" s="224"/>
      <c r="C67" s="221"/>
      <c r="D67" s="209"/>
      <c r="E67" s="303"/>
      <c r="F67" s="286"/>
      <c r="G67" s="216"/>
    </row>
    <row r="68" spans="1:8" x14ac:dyDescent="0.25">
      <c r="A68" s="206" t="s">
        <v>4</v>
      </c>
      <c r="B68" s="218" t="s">
        <v>527</v>
      </c>
      <c r="C68" s="205">
        <v>0</v>
      </c>
      <c r="D68" s="206" t="s">
        <v>511</v>
      </c>
      <c r="E68" s="304">
        <v>8500</v>
      </c>
      <c r="F68" s="207">
        <f>C68*E68</f>
        <v>0</v>
      </c>
      <c r="G68" s="216"/>
      <c r="H68" s="284"/>
    </row>
    <row r="69" spans="1:8" x14ac:dyDescent="0.25">
      <c r="G69" s="216"/>
    </row>
    <row r="70" spans="1:8" x14ac:dyDescent="0.25">
      <c r="B70" s="219" t="s">
        <v>528</v>
      </c>
      <c r="F70" s="227"/>
      <c r="G70" s="216"/>
    </row>
    <row r="71" spans="1:8" x14ac:dyDescent="0.25">
      <c r="B71" s="219" t="s">
        <v>529</v>
      </c>
      <c r="F71" s="227"/>
      <c r="G71" s="216"/>
    </row>
    <row r="72" spans="1:8" x14ac:dyDescent="0.25">
      <c r="F72" s="227"/>
      <c r="G72" s="216"/>
    </row>
    <row r="73" spans="1:8" ht="29.25" customHeight="1" x14ac:dyDescent="0.25">
      <c r="A73" s="206" t="s">
        <v>5</v>
      </c>
      <c r="B73" s="215" t="s">
        <v>530</v>
      </c>
      <c r="C73" s="205">
        <f>'[30]Take off'!P9</f>
        <v>121</v>
      </c>
      <c r="D73" s="206" t="s">
        <v>511</v>
      </c>
      <c r="E73" s="304">
        <f>'[31]AJIWE STRIP MALL '!E117</f>
        <v>350</v>
      </c>
      <c r="F73" s="207">
        <f>C73*E73</f>
        <v>42350</v>
      </c>
      <c r="G73" s="216"/>
    </row>
    <row r="74" spans="1:8" x14ac:dyDescent="0.25">
      <c r="B74" s="215"/>
      <c r="F74" s="227"/>
      <c r="G74" s="216"/>
    </row>
    <row r="75" spans="1:8" x14ac:dyDescent="0.25">
      <c r="B75" s="228"/>
      <c r="F75" s="227"/>
      <c r="G75" s="216"/>
    </row>
    <row r="76" spans="1:8" ht="35.25" customHeight="1" x14ac:dyDescent="0.25">
      <c r="B76" s="215"/>
      <c r="F76" s="229"/>
      <c r="G76" s="216"/>
    </row>
    <row r="77" spans="1:8" x14ac:dyDescent="0.25">
      <c r="B77" s="215"/>
      <c r="F77" s="227"/>
      <c r="G77" s="216"/>
    </row>
    <row r="78" spans="1:8" ht="18.75" customHeight="1" x14ac:dyDescent="0.25">
      <c r="B78" s="225" t="s">
        <v>525</v>
      </c>
      <c r="E78" s="303" t="s">
        <v>15</v>
      </c>
      <c r="F78" s="222">
        <f>SUM(F60:F77)</f>
        <v>95150</v>
      </c>
      <c r="G78" s="216"/>
    </row>
    <row r="79" spans="1:8" x14ac:dyDescent="0.25">
      <c r="B79" s="215"/>
      <c r="F79" s="227"/>
      <c r="G79" s="216"/>
    </row>
    <row r="80" spans="1:8" x14ac:dyDescent="0.25">
      <c r="B80" s="225"/>
      <c r="E80" s="303"/>
      <c r="F80" s="285"/>
      <c r="G80" s="216"/>
    </row>
    <row r="81" spans="2:7" x14ac:dyDescent="0.25">
      <c r="B81" s="211" t="s">
        <v>531</v>
      </c>
      <c r="E81" s="303"/>
      <c r="F81" s="285"/>
      <c r="G81" s="216"/>
    </row>
    <row r="82" spans="2:7" x14ac:dyDescent="0.25">
      <c r="F82" s="230"/>
      <c r="G82" s="216"/>
    </row>
    <row r="83" spans="2:7" x14ac:dyDescent="0.25">
      <c r="F83" s="230"/>
      <c r="G83" s="216"/>
    </row>
    <row r="84" spans="2:7" x14ac:dyDescent="0.25">
      <c r="B84" s="231" t="s">
        <v>532</v>
      </c>
      <c r="E84" s="304">
        <f>F30</f>
        <v>3521750</v>
      </c>
      <c r="F84" s="230"/>
      <c r="G84" s="216"/>
    </row>
    <row r="85" spans="2:7" x14ac:dyDescent="0.25">
      <c r="B85" s="232"/>
      <c r="F85" s="230"/>
      <c r="G85" s="216"/>
    </row>
    <row r="86" spans="2:7" x14ac:dyDescent="0.25">
      <c r="B86" s="231" t="s">
        <v>451</v>
      </c>
      <c r="E86" s="304">
        <f>F57</f>
        <v>14492653.13076923</v>
      </c>
      <c r="F86" s="230"/>
      <c r="G86" s="216"/>
    </row>
    <row r="87" spans="2:7" x14ac:dyDescent="0.25">
      <c r="B87" s="231"/>
      <c r="F87" s="230"/>
      <c r="G87" s="216"/>
    </row>
    <row r="88" spans="2:7" x14ac:dyDescent="0.25">
      <c r="B88" s="231" t="s">
        <v>452</v>
      </c>
      <c r="E88" s="304">
        <f>F78</f>
        <v>95150</v>
      </c>
      <c r="F88" s="230"/>
      <c r="G88" s="216"/>
    </row>
    <row r="89" spans="2:7" x14ac:dyDescent="0.25">
      <c r="B89" s="233"/>
      <c r="F89" s="230"/>
      <c r="G89" s="216"/>
    </row>
    <row r="90" spans="2:7" x14ac:dyDescent="0.25">
      <c r="B90" s="233"/>
      <c r="F90" s="230"/>
      <c r="G90" s="216"/>
    </row>
    <row r="91" spans="2:7" x14ac:dyDescent="0.25">
      <c r="B91" s="233"/>
      <c r="F91" s="230"/>
      <c r="G91" s="216"/>
    </row>
    <row r="92" spans="2:7" x14ac:dyDescent="0.25">
      <c r="B92" s="233"/>
      <c r="F92" s="230"/>
      <c r="G92" s="216"/>
    </row>
    <row r="93" spans="2:7" x14ac:dyDescent="0.25">
      <c r="B93" s="233"/>
      <c r="F93" s="230"/>
      <c r="G93" s="216"/>
    </row>
    <row r="94" spans="2:7" x14ac:dyDescent="0.25">
      <c r="B94" s="233"/>
      <c r="F94" s="230"/>
      <c r="G94" s="216"/>
    </row>
    <row r="95" spans="2:7" x14ac:dyDescent="0.25">
      <c r="B95" s="233"/>
      <c r="F95" s="230"/>
      <c r="G95" s="216"/>
    </row>
    <row r="96" spans="2:7" x14ac:dyDescent="0.25">
      <c r="B96" s="233"/>
      <c r="F96" s="230"/>
      <c r="G96" s="216"/>
    </row>
    <row r="97" spans="1:8" x14ac:dyDescent="0.25">
      <c r="B97" s="233"/>
      <c r="F97" s="230"/>
      <c r="G97" s="216"/>
    </row>
    <row r="98" spans="1:8" x14ac:dyDescent="0.25">
      <c r="B98" s="233"/>
      <c r="F98" s="230"/>
      <c r="G98" s="216"/>
    </row>
    <row r="99" spans="1:8" x14ac:dyDescent="0.25">
      <c r="B99" s="234" t="s">
        <v>533</v>
      </c>
      <c r="C99" s="221"/>
      <c r="D99" s="209"/>
      <c r="F99" s="235"/>
      <c r="G99" s="216"/>
    </row>
    <row r="100" spans="1:8" x14ac:dyDescent="0.25">
      <c r="B100" s="220" t="s">
        <v>534</v>
      </c>
      <c r="C100" s="221"/>
      <c r="D100" s="209"/>
      <c r="E100" s="303" t="s">
        <v>15</v>
      </c>
      <c r="F100" s="286">
        <f>SUM(E84:E89)</f>
        <v>18109553.13076923</v>
      </c>
      <c r="G100" s="216"/>
    </row>
    <row r="101" spans="1:8" x14ac:dyDescent="0.25">
      <c r="B101" s="204" t="s">
        <v>535</v>
      </c>
    </row>
    <row r="103" spans="1:8" x14ac:dyDescent="0.25">
      <c r="B103" s="210" t="s">
        <v>108</v>
      </c>
    </row>
    <row r="104" spans="1:8" x14ac:dyDescent="0.25">
      <c r="B104" s="210"/>
    </row>
    <row r="105" spans="1:8" x14ac:dyDescent="0.25">
      <c r="B105" s="211" t="s">
        <v>98</v>
      </c>
    </row>
    <row r="107" spans="1:8" x14ac:dyDescent="0.25">
      <c r="B107" s="219" t="s">
        <v>536</v>
      </c>
    </row>
    <row r="108" spans="1:8" x14ac:dyDescent="0.25">
      <c r="B108" s="219"/>
    </row>
    <row r="109" spans="1:8" x14ac:dyDescent="0.25">
      <c r="B109" s="219" t="s">
        <v>666</v>
      </c>
    </row>
    <row r="111" spans="1:8" x14ac:dyDescent="0.25">
      <c r="A111" s="206" t="s">
        <v>2</v>
      </c>
      <c r="B111" s="214" t="s">
        <v>65</v>
      </c>
      <c r="C111" s="205">
        <f>'[30]Take off'!D114</f>
        <v>8</v>
      </c>
      <c r="D111" s="206" t="s">
        <v>513</v>
      </c>
      <c r="E111" s="304">
        <f>E35</f>
        <v>94000</v>
      </c>
      <c r="F111" s="207">
        <f>C111*E111</f>
        <v>752000</v>
      </c>
      <c r="H111" s="284"/>
    </row>
    <row r="113" spans="1:8" x14ac:dyDescent="0.25">
      <c r="A113" s="206" t="s">
        <v>4</v>
      </c>
      <c r="B113" s="214" t="s">
        <v>537</v>
      </c>
      <c r="C113" s="262">
        <f>'[30]Take off'!D128</f>
        <v>23</v>
      </c>
      <c r="D113" s="206" t="s">
        <v>513</v>
      </c>
      <c r="E113" s="304">
        <f>E111</f>
        <v>94000</v>
      </c>
      <c r="F113" s="207">
        <f>C113*E113</f>
        <v>2162000</v>
      </c>
      <c r="H113" s="284"/>
    </row>
    <row r="115" spans="1:8" x14ac:dyDescent="0.25">
      <c r="A115" s="206" t="s">
        <v>5</v>
      </c>
      <c r="B115" s="214" t="s">
        <v>669</v>
      </c>
      <c r="D115" s="206" t="s">
        <v>513</v>
      </c>
      <c r="E115" s="304">
        <f>E113</f>
        <v>94000</v>
      </c>
      <c r="F115" s="207">
        <f>C115*E115</f>
        <v>0</v>
      </c>
      <c r="H115" s="284"/>
    </row>
    <row r="116" spans="1:8" x14ac:dyDescent="0.25">
      <c r="H116" s="284"/>
    </row>
    <row r="117" spans="1:8" ht="24.75" customHeight="1" x14ac:dyDescent="0.25">
      <c r="B117" s="211" t="s">
        <v>102</v>
      </c>
    </row>
    <row r="119" spans="1:8" ht="30" x14ac:dyDescent="0.25">
      <c r="B119" s="224" t="s">
        <v>670</v>
      </c>
    </row>
    <row r="120" spans="1:8" x14ac:dyDescent="0.25">
      <c r="B120" s="224"/>
    </row>
    <row r="121" spans="1:8" x14ac:dyDescent="0.25">
      <c r="A121" s="206" t="s">
        <v>6</v>
      </c>
      <c r="B121" s="214" t="s">
        <v>671</v>
      </c>
      <c r="C121" s="205">
        <f>'[30]Take off'!D136+154</f>
        <v>354.41666666666663</v>
      </c>
      <c r="D121" s="206" t="s">
        <v>75</v>
      </c>
      <c r="E121" s="304">
        <f>E41</f>
        <v>770</v>
      </c>
      <c r="F121" s="207">
        <f>C124*E121</f>
        <v>0</v>
      </c>
      <c r="H121" s="284"/>
    </row>
    <row r="122" spans="1:8" x14ac:dyDescent="0.25">
      <c r="H122" s="284"/>
    </row>
    <row r="123" spans="1:8" x14ac:dyDescent="0.25">
      <c r="A123" s="206" t="s">
        <v>7</v>
      </c>
      <c r="B123" s="214" t="s">
        <v>538</v>
      </c>
      <c r="C123" s="205">
        <f>'[30]Take off'!D142+109</f>
        <v>849</v>
      </c>
      <c r="D123" s="206" t="s">
        <v>75</v>
      </c>
      <c r="E123" s="304">
        <f>E121</f>
        <v>770</v>
      </c>
      <c r="F123" s="207">
        <f>C123*E123</f>
        <v>653730</v>
      </c>
      <c r="H123" s="284"/>
    </row>
    <row r="124" spans="1:8" x14ac:dyDescent="0.25">
      <c r="H124" s="284"/>
    </row>
    <row r="125" spans="1:8" x14ac:dyDescent="0.25">
      <c r="A125" s="206" t="s">
        <v>8</v>
      </c>
      <c r="B125" s="214" t="s">
        <v>539</v>
      </c>
      <c r="C125" s="205">
        <f>'[30]Take off'!D149+133</f>
        <v>702.89866666666671</v>
      </c>
      <c r="D125" s="206" t="s">
        <v>75</v>
      </c>
      <c r="E125" s="304">
        <f>E123</f>
        <v>770</v>
      </c>
      <c r="F125" s="207">
        <f>C125*E125</f>
        <v>541231.97333333339</v>
      </c>
      <c r="H125" s="284"/>
    </row>
    <row r="127" spans="1:8" x14ac:dyDescent="0.25">
      <c r="A127" s="206" t="s">
        <v>9</v>
      </c>
      <c r="B127" s="214" t="s">
        <v>672</v>
      </c>
      <c r="C127" s="205">
        <v>49</v>
      </c>
      <c r="D127" s="206" t="s">
        <v>75</v>
      </c>
      <c r="E127" s="304">
        <f>E121</f>
        <v>770</v>
      </c>
      <c r="F127" s="207">
        <f>C127*E127</f>
        <v>37730</v>
      </c>
      <c r="H127" s="284"/>
    </row>
    <row r="129" spans="1:8" x14ac:dyDescent="0.25">
      <c r="A129" s="206" t="s">
        <v>10</v>
      </c>
      <c r="B129" s="214" t="s">
        <v>523</v>
      </c>
      <c r="C129" s="205">
        <f>'[30]Take off'!D161+621+567</f>
        <v>1707.85</v>
      </c>
      <c r="D129" s="206" t="s">
        <v>75</v>
      </c>
      <c r="E129" s="304">
        <f>E125</f>
        <v>770</v>
      </c>
      <c r="F129" s="207">
        <f>C129*E129</f>
        <v>1315044.5</v>
      </c>
      <c r="H129" s="284"/>
    </row>
    <row r="131" spans="1:8" x14ac:dyDescent="0.25">
      <c r="B131" s="211" t="s">
        <v>67</v>
      </c>
    </row>
    <row r="133" spans="1:8" x14ac:dyDescent="0.25">
      <c r="B133" s="219" t="s">
        <v>120</v>
      </c>
    </row>
    <row r="135" spans="1:8" x14ac:dyDescent="0.25">
      <c r="A135" s="206" t="s">
        <v>11</v>
      </c>
      <c r="B135" s="214" t="s">
        <v>540</v>
      </c>
      <c r="C135" s="205">
        <f>'[30]Take off'!H113</f>
        <v>132</v>
      </c>
      <c r="D135" s="206" t="s">
        <v>511</v>
      </c>
      <c r="E135" s="304">
        <f>E51</f>
        <v>6600</v>
      </c>
      <c r="F135" s="207">
        <f>C135*E135</f>
        <v>871200</v>
      </c>
      <c r="H135" s="284"/>
    </row>
    <row r="137" spans="1:8" x14ac:dyDescent="0.25">
      <c r="A137" s="206" t="s">
        <v>12</v>
      </c>
      <c r="B137" s="214" t="s">
        <v>541</v>
      </c>
      <c r="C137" s="205">
        <f>'[30]Take off'!H127</f>
        <v>244</v>
      </c>
      <c r="D137" s="206" t="s">
        <v>511</v>
      </c>
      <c r="E137" s="304">
        <f>E135</f>
        <v>6600</v>
      </c>
      <c r="F137" s="207">
        <f>C137*E137</f>
        <v>1610400</v>
      </c>
      <c r="H137" s="284"/>
    </row>
    <row r="139" spans="1:8" x14ac:dyDescent="0.25">
      <c r="A139" s="206" t="s">
        <v>13</v>
      </c>
      <c r="B139" s="214" t="s">
        <v>673</v>
      </c>
      <c r="D139" s="206" t="s">
        <v>511</v>
      </c>
      <c r="E139" s="304">
        <f>E172</f>
        <v>6600</v>
      </c>
      <c r="F139" s="207">
        <f>C139*E139</f>
        <v>0</v>
      </c>
    </row>
    <row r="147" spans="1:9" x14ac:dyDescent="0.25">
      <c r="B147" s="210" t="s">
        <v>108</v>
      </c>
    </row>
    <row r="148" spans="1:9" x14ac:dyDescent="0.25">
      <c r="B148" s="220" t="s">
        <v>542</v>
      </c>
      <c r="E148" s="303" t="s">
        <v>15</v>
      </c>
      <c r="F148" s="285">
        <f>SUM(F103:F147)</f>
        <v>7943336.4733333336</v>
      </c>
    </row>
    <row r="149" spans="1:9" x14ac:dyDescent="0.25">
      <c r="B149" s="204" t="s">
        <v>543</v>
      </c>
    </row>
    <row r="151" spans="1:9" x14ac:dyDescent="0.25">
      <c r="B151" s="210" t="s">
        <v>544</v>
      </c>
      <c r="F151" s="227"/>
    </row>
    <row r="152" spans="1:9" s="236" customFormat="1" x14ac:dyDescent="0.25">
      <c r="A152" s="206"/>
      <c r="B152" s="214"/>
      <c r="C152" s="205"/>
      <c r="D152" s="206"/>
      <c r="E152" s="304"/>
      <c r="F152" s="227"/>
      <c r="G152" s="207"/>
    </row>
    <row r="153" spans="1:9" x14ac:dyDescent="0.25">
      <c r="B153" s="211" t="s">
        <v>98</v>
      </c>
    </row>
    <row r="154" spans="1:9" s="236" customFormat="1" x14ac:dyDescent="0.25">
      <c r="A154" s="206"/>
      <c r="B154" s="214"/>
      <c r="C154" s="205"/>
      <c r="D154" s="206"/>
      <c r="E154" s="304"/>
      <c r="F154" s="207"/>
      <c r="G154" s="207"/>
    </row>
    <row r="155" spans="1:9" s="236" customFormat="1" x14ac:dyDescent="0.25">
      <c r="A155" s="206"/>
      <c r="B155" s="219" t="s">
        <v>536</v>
      </c>
      <c r="C155" s="205"/>
      <c r="D155" s="206"/>
      <c r="E155" s="304"/>
      <c r="F155" s="207"/>
      <c r="G155" s="207"/>
    </row>
    <row r="156" spans="1:9" s="236" customFormat="1" x14ac:dyDescent="0.25">
      <c r="A156" s="206"/>
      <c r="B156" s="219"/>
      <c r="C156" s="205"/>
      <c r="D156" s="206"/>
      <c r="E156" s="304"/>
      <c r="F156" s="207"/>
      <c r="G156" s="207"/>
    </row>
    <row r="157" spans="1:9" x14ac:dyDescent="0.25">
      <c r="B157" s="219" t="s">
        <v>666</v>
      </c>
    </row>
    <row r="158" spans="1:9" x14ac:dyDescent="0.25">
      <c r="I158" s="208">
        <f>354*0.15</f>
        <v>53.1</v>
      </c>
    </row>
    <row r="159" spans="1:9" x14ac:dyDescent="0.25">
      <c r="A159" s="206" t="s">
        <v>2</v>
      </c>
      <c r="B159" s="214" t="s">
        <v>545</v>
      </c>
      <c r="C159" s="205">
        <f>'[30]Take off'!D174+'[30]Take off'!L174</f>
        <v>50</v>
      </c>
      <c r="D159" s="206" t="s">
        <v>513</v>
      </c>
      <c r="E159" s="304">
        <f>E111</f>
        <v>94000</v>
      </c>
      <c r="F159" s="207">
        <f>C159*E159</f>
        <v>4700000</v>
      </c>
      <c r="H159" s="208">
        <f>C159/0.15</f>
        <v>333.33333333333337</v>
      </c>
    </row>
    <row r="160" spans="1:9" ht="17.25" customHeight="1" x14ac:dyDescent="0.25"/>
    <row r="161" spans="1:9" x14ac:dyDescent="0.25">
      <c r="F161" s="230"/>
      <c r="H161" s="284"/>
    </row>
    <row r="162" spans="1:9" x14ac:dyDescent="0.25">
      <c r="B162" s="211" t="s">
        <v>102</v>
      </c>
      <c r="I162" s="208">
        <f>C159*88.32</f>
        <v>4416</v>
      </c>
    </row>
    <row r="164" spans="1:9" ht="30" x14ac:dyDescent="0.25">
      <c r="B164" s="224" t="s">
        <v>674</v>
      </c>
    </row>
    <row r="165" spans="1:9" x14ac:dyDescent="0.25">
      <c r="B165" s="224"/>
    </row>
    <row r="166" spans="1:9" x14ac:dyDescent="0.25">
      <c r="A166" s="206" t="s">
        <v>4</v>
      </c>
      <c r="B166" s="214" t="s">
        <v>571</v>
      </c>
      <c r="C166" s="205">
        <f>C159*115</f>
        <v>5750</v>
      </c>
      <c r="D166" s="206" t="s">
        <v>75</v>
      </c>
      <c r="E166" s="304">
        <f>E121</f>
        <v>770</v>
      </c>
      <c r="F166" s="207">
        <f>C166*E166</f>
        <v>4427500</v>
      </c>
      <c r="H166" s="284"/>
    </row>
    <row r="167" spans="1:9" x14ac:dyDescent="0.25">
      <c r="H167" s="284"/>
    </row>
    <row r="168" spans="1:9" x14ac:dyDescent="0.25">
      <c r="B168" s="211" t="s">
        <v>67</v>
      </c>
      <c r="H168" s="284"/>
    </row>
    <row r="169" spans="1:9" x14ac:dyDescent="0.25">
      <c r="H169" s="284"/>
    </row>
    <row r="170" spans="1:9" x14ac:dyDescent="0.25">
      <c r="B170" s="219" t="s">
        <v>120</v>
      </c>
      <c r="E170" s="303"/>
      <c r="F170" s="285"/>
    </row>
    <row r="171" spans="1:9" x14ac:dyDescent="0.25">
      <c r="E171" s="303"/>
      <c r="F171" s="285"/>
    </row>
    <row r="172" spans="1:9" x14ac:dyDescent="0.25">
      <c r="A172" s="206" t="s">
        <v>5</v>
      </c>
      <c r="B172" s="214" t="s">
        <v>546</v>
      </c>
      <c r="C172" s="205">
        <f>'[30]Take off'!H174+'[30]Take off'!P173</f>
        <v>263</v>
      </c>
      <c r="D172" s="206" t="s">
        <v>511</v>
      </c>
      <c r="E172" s="304">
        <f>E135</f>
        <v>6600</v>
      </c>
      <c r="F172" s="207">
        <f>C172*E172</f>
        <v>1735800</v>
      </c>
    </row>
    <row r="174" spans="1:9" x14ac:dyDescent="0.25">
      <c r="A174" s="206" t="s">
        <v>6</v>
      </c>
      <c r="B174" s="214" t="s">
        <v>547</v>
      </c>
      <c r="C174" s="205">
        <f>'[30]Take off'!H179+'[30]Take off'!P178</f>
        <v>105</v>
      </c>
      <c r="D174" s="206" t="s">
        <v>22</v>
      </c>
      <c r="E174" s="304">
        <f>E62</f>
        <v>1200</v>
      </c>
      <c r="F174" s="207">
        <f>C174*E174</f>
        <v>126000</v>
      </c>
    </row>
    <row r="175" spans="1:9" x14ac:dyDescent="0.25">
      <c r="A175" s="209"/>
      <c r="C175" s="221"/>
      <c r="D175" s="209"/>
      <c r="E175" s="303"/>
      <c r="F175" s="285"/>
    </row>
    <row r="177" spans="1:7" x14ac:dyDescent="0.25">
      <c r="A177" s="209"/>
      <c r="C177" s="221"/>
      <c r="D177" s="209"/>
      <c r="E177" s="303"/>
      <c r="F177" s="285"/>
      <c r="G177" s="285"/>
    </row>
    <row r="178" spans="1:7" x14ac:dyDescent="0.25">
      <c r="A178" s="209"/>
      <c r="D178" s="209"/>
      <c r="E178" s="303"/>
      <c r="F178" s="285"/>
      <c r="G178" s="285"/>
    </row>
    <row r="179" spans="1:7" x14ac:dyDescent="0.25">
      <c r="A179" s="209"/>
      <c r="C179" s="221"/>
      <c r="D179" s="209"/>
      <c r="E179" s="303"/>
      <c r="F179" s="285"/>
      <c r="G179" s="285"/>
    </row>
    <row r="180" spans="1:7" x14ac:dyDescent="0.25">
      <c r="A180" s="209"/>
      <c r="C180" s="221"/>
      <c r="D180" s="209"/>
      <c r="E180" s="303"/>
      <c r="F180" s="285"/>
      <c r="G180" s="285"/>
    </row>
    <row r="181" spans="1:7" x14ac:dyDescent="0.25">
      <c r="A181" s="209"/>
      <c r="C181" s="221"/>
      <c r="D181" s="209"/>
      <c r="E181" s="303"/>
      <c r="F181" s="285"/>
      <c r="G181" s="285"/>
    </row>
    <row r="182" spans="1:7" x14ac:dyDescent="0.25">
      <c r="A182" s="209"/>
      <c r="C182" s="221"/>
      <c r="D182" s="209"/>
      <c r="E182" s="303"/>
      <c r="F182" s="285"/>
      <c r="G182" s="285"/>
    </row>
    <row r="183" spans="1:7" x14ac:dyDescent="0.25">
      <c r="A183" s="209"/>
      <c r="C183" s="221"/>
      <c r="D183" s="209"/>
      <c r="E183" s="303"/>
      <c r="F183" s="285"/>
      <c r="G183" s="285"/>
    </row>
    <row r="184" spans="1:7" x14ac:dyDescent="0.25">
      <c r="A184" s="209"/>
      <c r="C184" s="221"/>
      <c r="D184" s="209"/>
      <c r="E184" s="303"/>
      <c r="F184" s="285"/>
      <c r="G184" s="285"/>
    </row>
    <row r="185" spans="1:7" x14ac:dyDescent="0.25">
      <c r="A185" s="209"/>
      <c r="C185" s="221"/>
      <c r="D185" s="209"/>
      <c r="E185" s="303"/>
      <c r="F185" s="285"/>
      <c r="G185" s="285"/>
    </row>
    <row r="186" spans="1:7" x14ac:dyDescent="0.25">
      <c r="A186" s="209"/>
      <c r="C186" s="221"/>
      <c r="D186" s="209"/>
      <c r="E186" s="303"/>
      <c r="F186" s="285"/>
      <c r="G186" s="285"/>
    </row>
    <row r="187" spans="1:7" x14ac:dyDescent="0.25">
      <c r="A187" s="209"/>
      <c r="C187" s="221"/>
      <c r="D187" s="209"/>
      <c r="E187" s="303"/>
      <c r="F187" s="285"/>
      <c r="G187" s="285"/>
    </row>
    <row r="188" spans="1:7" x14ac:dyDescent="0.25">
      <c r="A188" s="209"/>
      <c r="C188" s="221"/>
      <c r="D188" s="209"/>
      <c r="E188" s="303"/>
      <c r="F188" s="285"/>
      <c r="G188" s="285"/>
    </row>
    <row r="189" spans="1:7" x14ac:dyDescent="0.25">
      <c r="A189" s="209"/>
      <c r="C189" s="221"/>
      <c r="D189" s="209"/>
      <c r="E189" s="303"/>
      <c r="F189" s="285"/>
      <c r="G189" s="285"/>
    </row>
    <row r="190" spans="1:7" x14ac:dyDescent="0.25">
      <c r="A190" s="209"/>
      <c r="C190" s="221"/>
      <c r="D190" s="209"/>
      <c r="E190" s="303"/>
      <c r="F190" s="285"/>
      <c r="G190" s="285"/>
    </row>
    <row r="191" spans="1:7" x14ac:dyDescent="0.25">
      <c r="B191" s="210" t="s">
        <v>453</v>
      </c>
    </row>
    <row r="192" spans="1:7" x14ac:dyDescent="0.25">
      <c r="B192" s="220" t="s">
        <v>534</v>
      </c>
      <c r="E192" s="303" t="s">
        <v>15</v>
      </c>
      <c r="F192" s="285">
        <f>SUM(F151:F191)</f>
        <v>10989300</v>
      </c>
      <c r="G192" s="285"/>
    </row>
    <row r="193" spans="1:8" x14ac:dyDescent="0.25">
      <c r="B193" s="204" t="s">
        <v>548</v>
      </c>
      <c r="F193" s="230"/>
      <c r="G193" s="230"/>
    </row>
    <row r="194" spans="1:8" x14ac:dyDescent="0.25">
      <c r="B194" s="206"/>
      <c r="F194" s="230"/>
      <c r="G194" s="230"/>
    </row>
    <row r="195" spans="1:8" x14ac:dyDescent="0.25">
      <c r="B195" s="210" t="s">
        <v>549</v>
      </c>
      <c r="F195" s="230"/>
      <c r="G195" s="230"/>
    </row>
    <row r="196" spans="1:8" ht="10.5" customHeight="1" x14ac:dyDescent="0.25">
      <c r="A196" s="237"/>
      <c r="B196" s="210"/>
      <c r="F196" s="230"/>
      <c r="G196" s="230"/>
    </row>
    <row r="197" spans="1:8" x14ac:dyDescent="0.25">
      <c r="A197" s="237"/>
      <c r="B197" s="211" t="s">
        <v>98</v>
      </c>
      <c r="F197" s="230"/>
      <c r="G197" s="230"/>
    </row>
    <row r="198" spans="1:8" x14ac:dyDescent="0.25">
      <c r="A198" s="237"/>
      <c r="F198" s="230"/>
      <c r="G198" s="230"/>
    </row>
    <row r="199" spans="1:8" x14ac:dyDescent="0.25">
      <c r="B199" s="219" t="s">
        <v>536</v>
      </c>
      <c r="E199" s="304" t="s">
        <v>20</v>
      </c>
      <c r="F199" s="230"/>
      <c r="G199" s="230"/>
    </row>
    <row r="200" spans="1:8" ht="11.25" customHeight="1" x14ac:dyDescent="0.25">
      <c r="A200" s="237"/>
      <c r="B200" s="219"/>
      <c r="F200" s="230"/>
      <c r="G200" s="206"/>
    </row>
    <row r="201" spans="1:8" x14ac:dyDescent="0.25">
      <c r="A201" s="237"/>
      <c r="B201" s="219" t="s">
        <v>666</v>
      </c>
      <c r="F201" s="230"/>
      <c r="G201" s="206"/>
    </row>
    <row r="202" spans="1:8" ht="9" customHeight="1" x14ac:dyDescent="0.25">
      <c r="A202" s="237"/>
      <c r="F202" s="230"/>
      <c r="G202" s="206"/>
    </row>
    <row r="203" spans="1:8" x14ac:dyDescent="0.25">
      <c r="A203" s="206" t="s">
        <v>2</v>
      </c>
      <c r="B203" s="214" t="s">
        <v>550</v>
      </c>
      <c r="C203" s="262">
        <f>'[30]Take off'!D258</f>
        <v>9</v>
      </c>
      <c r="D203" s="206" t="s">
        <v>513</v>
      </c>
      <c r="E203" s="304">
        <f>E111</f>
        <v>94000</v>
      </c>
      <c r="F203" s="287">
        <f>C203*E203</f>
        <v>846000</v>
      </c>
      <c r="G203" s="206"/>
      <c r="H203" s="284"/>
    </row>
    <row r="204" spans="1:8" ht="10.5" customHeight="1" x14ac:dyDescent="0.25">
      <c r="F204" s="287"/>
      <c r="G204" s="206"/>
      <c r="H204" s="284"/>
    </row>
    <row r="205" spans="1:8" ht="12.75" customHeight="1" x14ac:dyDescent="0.25">
      <c r="A205" s="237"/>
      <c r="B205" s="211" t="s">
        <v>102</v>
      </c>
      <c r="F205" s="230"/>
      <c r="G205" s="206"/>
    </row>
    <row r="206" spans="1:8" ht="9.75" customHeight="1" x14ac:dyDescent="0.25">
      <c r="F206" s="230"/>
      <c r="G206" s="206"/>
    </row>
    <row r="207" spans="1:8" ht="30" x14ac:dyDescent="0.25">
      <c r="B207" s="224" t="s">
        <v>551</v>
      </c>
      <c r="G207" s="206"/>
    </row>
    <row r="208" spans="1:8" ht="15.75" customHeight="1" x14ac:dyDescent="0.25">
      <c r="B208" s="224"/>
      <c r="G208" s="206"/>
    </row>
    <row r="209" spans="1:8" ht="17.25" customHeight="1" x14ac:dyDescent="0.25">
      <c r="A209" s="206" t="s">
        <v>4</v>
      </c>
      <c r="B209" s="214" t="s">
        <v>672</v>
      </c>
      <c r="C209" s="205">
        <v>568</v>
      </c>
      <c r="D209" s="206" t="s">
        <v>75</v>
      </c>
      <c r="E209" s="304">
        <f>E166</f>
        <v>770</v>
      </c>
      <c r="F209" s="207">
        <f>C209*E209</f>
        <v>437360</v>
      </c>
      <c r="G209" s="206"/>
      <c r="H209" s="284"/>
    </row>
    <row r="210" spans="1:8" x14ac:dyDescent="0.25">
      <c r="B210" s="224"/>
      <c r="G210" s="206"/>
    </row>
    <row r="211" spans="1:8" s="236" customFormat="1" x14ac:dyDescent="0.25">
      <c r="A211" s="238"/>
      <c r="B211" s="218"/>
      <c r="C211" s="239"/>
      <c r="D211" s="240"/>
      <c r="E211" s="305"/>
      <c r="F211" s="241"/>
      <c r="G211" s="206"/>
    </row>
    <row r="212" spans="1:8" x14ac:dyDescent="0.25">
      <c r="A212" s="237"/>
      <c r="B212" s="211" t="s">
        <v>67</v>
      </c>
      <c r="F212" s="230"/>
      <c r="G212" s="206"/>
    </row>
    <row r="213" spans="1:8" x14ac:dyDescent="0.25">
      <c r="F213" s="230"/>
      <c r="G213" s="206"/>
    </row>
    <row r="214" spans="1:8" x14ac:dyDescent="0.25">
      <c r="B214" s="219" t="s">
        <v>120</v>
      </c>
      <c r="F214" s="230"/>
      <c r="G214" s="206"/>
    </row>
    <row r="215" spans="1:8" x14ac:dyDescent="0.25">
      <c r="F215" s="230"/>
      <c r="G215" s="206"/>
    </row>
    <row r="216" spans="1:8" x14ac:dyDescent="0.25">
      <c r="A216" s="206" t="s">
        <v>5</v>
      </c>
      <c r="B216" s="214" t="s">
        <v>552</v>
      </c>
      <c r="C216" s="205">
        <f>'[30]Take off'!H244</f>
        <v>30</v>
      </c>
      <c r="D216" s="206" t="s">
        <v>511</v>
      </c>
      <c r="E216" s="304">
        <f>E51</f>
        <v>6600</v>
      </c>
      <c r="F216" s="207">
        <f>C216*E216</f>
        <v>198000</v>
      </c>
      <c r="G216" s="206"/>
      <c r="H216" s="284"/>
    </row>
    <row r="217" spans="1:8" x14ac:dyDescent="0.25">
      <c r="F217" s="230"/>
      <c r="G217" s="206"/>
    </row>
    <row r="218" spans="1:8" x14ac:dyDescent="0.25">
      <c r="A218" s="206" t="s">
        <v>6</v>
      </c>
      <c r="B218" s="214" t="s">
        <v>553</v>
      </c>
      <c r="C218" s="205">
        <f>'[30]Take off'!H256</f>
        <v>9</v>
      </c>
      <c r="D218" s="206" t="s">
        <v>511</v>
      </c>
      <c r="E218" s="304">
        <f>E216</f>
        <v>6600</v>
      </c>
      <c r="F218" s="207">
        <f>C218*E218</f>
        <v>59400</v>
      </c>
      <c r="G218" s="206"/>
      <c r="H218" s="284"/>
    </row>
    <row r="219" spans="1:8" x14ac:dyDescent="0.25">
      <c r="G219" s="206"/>
      <c r="H219" s="284"/>
    </row>
    <row r="220" spans="1:8" x14ac:dyDescent="0.25">
      <c r="A220" s="206" t="s">
        <v>7</v>
      </c>
      <c r="B220" s="214" t="s">
        <v>554</v>
      </c>
      <c r="C220" s="205">
        <f>'[30]Take off'!H264</f>
        <v>5</v>
      </c>
      <c r="D220" s="206" t="s">
        <v>511</v>
      </c>
      <c r="E220" s="304">
        <f>E218</f>
        <v>6600</v>
      </c>
      <c r="F220" s="207">
        <f>C220*E220</f>
        <v>33000</v>
      </c>
      <c r="G220" s="206"/>
      <c r="H220" s="284"/>
    </row>
    <row r="221" spans="1:8" x14ac:dyDescent="0.25">
      <c r="F221" s="230"/>
      <c r="G221" s="206"/>
    </row>
    <row r="222" spans="1:8" ht="30" x14ac:dyDescent="0.25">
      <c r="A222" s="206" t="s">
        <v>8</v>
      </c>
      <c r="B222" s="215" t="s">
        <v>555</v>
      </c>
      <c r="C222" s="205">
        <f>'[30]Take off'!H248</f>
        <v>7</v>
      </c>
      <c r="D222" s="206" t="s">
        <v>511</v>
      </c>
      <c r="E222" s="304">
        <f>E218</f>
        <v>6600</v>
      </c>
      <c r="F222" s="207">
        <f>C222*E222</f>
        <v>46200</v>
      </c>
      <c r="G222" s="206"/>
      <c r="H222" s="284"/>
    </row>
    <row r="223" spans="1:8" x14ac:dyDescent="0.25">
      <c r="B223" s="215"/>
      <c r="F223" s="230"/>
      <c r="G223" s="206"/>
    </row>
    <row r="224" spans="1:8" x14ac:dyDescent="0.25">
      <c r="A224" s="206" t="s">
        <v>9</v>
      </c>
      <c r="B224" s="214" t="s">
        <v>133</v>
      </c>
      <c r="C224" s="205">
        <f>'[30]Take off'!H252</f>
        <v>106</v>
      </c>
      <c r="D224" s="206" t="s">
        <v>22</v>
      </c>
      <c r="E224" s="304">
        <f>E174</f>
        <v>1200</v>
      </c>
      <c r="F224" s="207">
        <f>C224*E224</f>
        <v>127200</v>
      </c>
      <c r="G224" s="206"/>
      <c r="H224" s="284"/>
    </row>
    <row r="225" spans="1:8" x14ac:dyDescent="0.25">
      <c r="G225" s="206"/>
    </row>
    <row r="226" spans="1:8" x14ac:dyDescent="0.25">
      <c r="A226" s="206" t="s">
        <v>10</v>
      </c>
      <c r="B226" s="214" t="s">
        <v>556</v>
      </c>
      <c r="C226" s="205">
        <f>'[30]Take off'!H260</f>
        <v>17</v>
      </c>
      <c r="D226" s="206" t="s">
        <v>22</v>
      </c>
      <c r="E226" s="304">
        <f>E224</f>
        <v>1200</v>
      </c>
      <c r="F226" s="207">
        <f>C226*E226</f>
        <v>20400</v>
      </c>
      <c r="G226" s="206"/>
      <c r="H226" s="284"/>
    </row>
    <row r="227" spans="1:8" x14ac:dyDescent="0.25">
      <c r="G227" s="206"/>
    </row>
    <row r="228" spans="1:8" x14ac:dyDescent="0.25">
      <c r="G228" s="206"/>
    </row>
    <row r="229" spans="1:8" x14ac:dyDescent="0.25">
      <c r="G229" s="206"/>
    </row>
    <row r="230" spans="1:8" x14ac:dyDescent="0.25">
      <c r="G230" s="206"/>
    </row>
    <row r="231" spans="1:8" x14ac:dyDescent="0.25">
      <c r="G231" s="206"/>
    </row>
    <row r="232" spans="1:8" x14ac:dyDescent="0.25">
      <c r="G232" s="206"/>
    </row>
    <row r="233" spans="1:8" x14ac:dyDescent="0.25">
      <c r="G233" s="206"/>
    </row>
    <row r="234" spans="1:8" x14ac:dyDescent="0.25">
      <c r="G234" s="206"/>
    </row>
    <row r="235" spans="1:8" x14ac:dyDescent="0.25">
      <c r="G235" s="206"/>
    </row>
    <row r="236" spans="1:8" x14ac:dyDescent="0.25">
      <c r="G236" s="206"/>
    </row>
    <row r="237" spans="1:8" ht="19.5" customHeight="1" x14ac:dyDescent="0.25">
      <c r="B237" s="220" t="s">
        <v>520</v>
      </c>
      <c r="C237" s="221"/>
      <c r="D237" s="209"/>
      <c r="E237" s="303" t="s">
        <v>15</v>
      </c>
      <c r="F237" s="207">
        <f>SUM(F195:F236)</f>
        <v>1767560</v>
      </c>
      <c r="G237" s="206"/>
    </row>
    <row r="238" spans="1:8" x14ac:dyDescent="0.25">
      <c r="B238" s="210" t="s">
        <v>557</v>
      </c>
      <c r="G238" s="206"/>
    </row>
    <row r="239" spans="1:8" x14ac:dyDescent="0.25">
      <c r="B239" s="210"/>
      <c r="G239" s="206"/>
    </row>
    <row r="240" spans="1:8" x14ac:dyDescent="0.25">
      <c r="B240" s="211" t="s">
        <v>137</v>
      </c>
      <c r="F240" s="288"/>
      <c r="G240" s="206"/>
    </row>
    <row r="241" spans="1:8" x14ac:dyDescent="0.25">
      <c r="F241" s="288"/>
      <c r="G241" s="206"/>
    </row>
    <row r="242" spans="1:8" x14ac:dyDescent="0.25">
      <c r="B242" s="242" t="s">
        <v>702</v>
      </c>
      <c r="F242" s="230"/>
      <c r="G242" s="206"/>
    </row>
    <row r="243" spans="1:8" x14ac:dyDescent="0.25">
      <c r="B243" s="211"/>
      <c r="F243" s="230"/>
      <c r="G243" s="206"/>
    </row>
    <row r="244" spans="1:8" x14ac:dyDescent="0.25">
      <c r="A244" s="206" t="s">
        <v>2</v>
      </c>
      <c r="B244" s="233" t="s">
        <v>558</v>
      </c>
      <c r="C244" s="205">
        <f>C218</f>
        <v>9</v>
      </c>
      <c r="D244" s="206" t="s">
        <v>511</v>
      </c>
      <c r="E244" s="306">
        <v>39800</v>
      </c>
      <c r="F244" s="207">
        <f>C244*E244</f>
        <v>358200</v>
      </c>
      <c r="G244" s="206"/>
      <c r="H244" s="284"/>
    </row>
    <row r="245" spans="1:8" x14ac:dyDescent="0.25">
      <c r="B245" s="233"/>
      <c r="F245" s="230"/>
      <c r="G245" s="206"/>
    </row>
    <row r="246" spans="1:8" x14ac:dyDescent="0.25">
      <c r="A246" s="206" t="s">
        <v>4</v>
      </c>
      <c r="B246" s="214" t="s">
        <v>139</v>
      </c>
      <c r="C246" s="205">
        <v>50</v>
      </c>
      <c r="D246" s="206" t="s">
        <v>22</v>
      </c>
      <c r="E246" s="306">
        <f>E244*0.3</f>
        <v>11940</v>
      </c>
      <c r="F246" s="207">
        <f>C246*E246</f>
        <v>597000</v>
      </c>
      <c r="G246" s="206"/>
      <c r="H246" s="284"/>
    </row>
    <row r="247" spans="1:8" x14ac:dyDescent="0.25">
      <c r="E247" s="306"/>
      <c r="G247" s="206"/>
      <c r="H247" s="284"/>
    </row>
    <row r="248" spans="1:8" x14ac:dyDescent="0.25">
      <c r="A248" s="206" t="s">
        <v>5</v>
      </c>
      <c r="B248" s="214" t="s">
        <v>140</v>
      </c>
      <c r="C248" s="205">
        <f>C224</f>
        <v>106</v>
      </c>
      <c r="D248" s="206" t="s">
        <v>22</v>
      </c>
      <c r="E248" s="306">
        <f>E244*0.15</f>
        <v>5970</v>
      </c>
      <c r="F248" s="207">
        <f>C248*E248</f>
        <v>632820</v>
      </c>
      <c r="G248" s="206"/>
      <c r="H248" s="284"/>
    </row>
    <row r="249" spans="1:8" x14ac:dyDescent="0.25">
      <c r="F249" s="230"/>
      <c r="G249" s="206"/>
      <c r="H249" s="284"/>
    </row>
    <row r="250" spans="1:8" s="223" customFormat="1" ht="15" customHeight="1" x14ac:dyDescent="0.25">
      <c r="A250" s="206" t="s">
        <v>6</v>
      </c>
      <c r="B250" s="218" t="s">
        <v>141</v>
      </c>
      <c r="C250" s="205">
        <v>20</v>
      </c>
      <c r="D250" s="206" t="s">
        <v>22</v>
      </c>
      <c r="E250" s="306">
        <f>E244*0.08</f>
        <v>3184</v>
      </c>
      <c r="F250" s="207">
        <f>C250*E250</f>
        <v>63680</v>
      </c>
      <c r="G250" s="206"/>
      <c r="H250" s="284"/>
    </row>
    <row r="251" spans="1:8" s="223" customFormat="1" ht="15" customHeight="1" x14ac:dyDescent="0.25">
      <c r="A251" s="206"/>
      <c r="B251" s="218"/>
      <c r="C251" s="205"/>
      <c r="D251" s="206"/>
      <c r="E251" s="304"/>
      <c r="F251" s="207"/>
      <c r="G251" s="206"/>
      <c r="H251" s="284"/>
    </row>
    <row r="252" spans="1:8" ht="35.25" customHeight="1" x14ac:dyDescent="0.25">
      <c r="B252" s="242" t="s">
        <v>559</v>
      </c>
      <c r="C252" s="221"/>
      <c r="D252" s="209"/>
      <c r="E252" s="303"/>
      <c r="F252" s="286"/>
      <c r="G252" s="206"/>
    </row>
    <row r="253" spans="1:8" x14ac:dyDescent="0.25">
      <c r="B253" s="220"/>
      <c r="C253" s="221"/>
      <c r="D253" s="209"/>
      <c r="E253" s="303"/>
      <c r="F253" s="286"/>
      <c r="G253" s="206"/>
    </row>
    <row r="254" spans="1:8" x14ac:dyDescent="0.25">
      <c r="B254" s="219" t="s">
        <v>560</v>
      </c>
      <c r="F254" s="230"/>
      <c r="G254" s="206"/>
    </row>
    <row r="255" spans="1:8" x14ac:dyDescent="0.25">
      <c r="B255" s="219"/>
      <c r="F255" s="230"/>
      <c r="G255" s="206"/>
    </row>
    <row r="256" spans="1:8" x14ac:dyDescent="0.25">
      <c r="A256" s="206" t="s">
        <v>7</v>
      </c>
      <c r="B256" s="233" t="s">
        <v>561</v>
      </c>
      <c r="C256" s="205">
        <f>C244</f>
        <v>9</v>
      </c>
      <c r="D256" s="206" t="s">
        <v>511</v>
      </c>
      <c r="E256" s="304">
        <v>4500</v>
      </c>
      <c r="F256" s="207">
        <f>C256*E256</f>
        <v>40500</v>
      </c>
      <c r="G256" s="206"/>
      <c r="H256" s="284"/>
    </row>
    <row r="257" spans="1:8" x14ac:dyDescent="0.25">
      <c r="B257" s="219"/>
      <c r="F257" s="230"/>
      <c r="G257" s="206"/>
    </row>
    <row r="258" spans="1:8" ht="15" x14ac:dyDescent="0.25">
      <c r="A258" s="206" t="s">
        <v>8</v>
      </c>
      <c r="B258" s="233" t="s">
        <v>145</v>
      </c>
      <c r="C258" s="205">
        <f>C248</f>
        <v>106</v>
      </c>
      <c r="D258" s="206" t="s">
        <v>22</v>
      </c>
      <c r="E258" s="304">
        <v>1500</v>
      </c>
      <c r="F258" s="212">
        <f>C258*E258</f>
        <v>159000</v>
      </c>
      <c r="G258" s="206"/>
      <c r="H258" s="284"/>
    </row>
    <row r="259" spans="1:8" x14ac:dyDescent="0.25">
      <c r="B259" s="233"/>
      <c r="G259" s="206"/>
      <c r="H259" s="284"/>
    </row>
    <row r="260" spans="1:8" ht="15" x14ac:dyDescent="0.25">
      <c r="A260" s="206" t="s">
        <v>9</v>
      </c>
      <c r="B260" s="233" t="s">
        <v>562</v>
      </c>
      <c r="C260" s="205">
        <f>C246</f>
        <v>50</v>
      </c>
      <c r="D260" s="206" t="s">
        <v>22</v>
      </c>
      <c r="E260" s="304">
        <v>2500</v>
      </c>
      <c r="F260" s="212">
        <f>C260*E260</f>
        <v>125000</v>
      </c>
      <c r="G260" s="206"/>
      <c r="H260" s="284"/>
    </row>
    <row r="261" spans="1:8" ht="15" x14ac:dyDescent="0.25">
      <c r="B261" s="233"/>
      <c r="F261" s="212"/>
      <c r="G261" s="206"/>
      <c r="H261" s="284"/>
    </row>
    <row r="262" spans="1:8" ht="15" x14ac:dyDescent="0.25">
      <c r="A262" s="206" t="s">
        <v>10</v>
      </c>
      <c r="B262" s="233" t="s">
        <v>146</v>
      </c>
      <c r="C262" s="205">
        <f>C250</f>
        <v>20</v>
      </c>
      <c r="D262" s="206" t="s">
        <v>22</v>
      </c>
      <c r="E262" s="304">
        <f>E256*0.45</f>
        <v>2025</v>
      </c>
      <c r="F262" s="212">
        <f>C262*E262</f>
        <v>40500</v>
      </c>
      <c r="G262" s="206"/>
      <c r="H262" s="284"/>
    </row>
    <row r="263" spans="1:8" x14ac:dyDescent="0.25">
      <c r="F263" s="230"/>
      <c r="G263" s="206"/>
    </row>
    <row r="264" spans="1:8" x14ac:dyDescent="0.25">
      <c r="B264" s="211" t="s">
        <v>147</v>
      </c>
      <c r="F264" s="230"/>
      <c r="G264" s="206"/>
    </row>
    <row r="265" spans="1:8" x14ac:dyDescent="0.25">
      <c r="F265" s="230"/>
      <c r="G265" s="206"/>
    </row>
    <row r="266" spans="1:8" ht="30" x14ac:dyDescent="0.25">
      <c r="B266" s="224" t="s">
        <v>563</v>
      </c>
      <c r="F266" s="230"/>
      <c r="G266" s="206"/>
    </row>
    <row r="267" spans="1:8" x14ac:dyDescent="0.25">
      <c r="B267" s="224"/>
      <c r="F267" s="230"/>
      <c r="G267" s="206"/>
    </row>
    <row r="268" spans="1:8" x14ac:dyDescent="0.25">
      <c r="A268" s="206" t="s">
        <v>11</v>
      </c>
      <c r="B268" s="233" t="s">
        <v>149</v>
      </c>
      <c r="C268" s="205">
        <f>C216</f>
        <v>30</v>
      </c>
      <c r="D268" s="206" t="s">
        <v>511</v>
      </c>
      <c r="E268" s="304">
        <v>1890</v>
      </c>
      <c r="F268" s="207">
        <f>C268*E268</f>
        <v>56700</v>
      </c>
      <c r="G268" s="206"/>
      <c r="H268" s="284"/>
    </row>
    <row r="269" spans="1:8" x14ac:dyDescent="0.25">
      <c r="B269" s="233"/>
      <c r="G269" s="206"/>
    </row>
    <row r="270" spans="1:8" x14ac:dyDescent="0.25">
      <c r="A270" s="206" t="s">
        <v>12</v>
      </c>
      <c r="B270" s="214" t="s">
        <v>38</v>
      </c>
      <c r="C270" s="205">
        <f>C218</f>
        <v>9</v>
      </c>
      <c r="D270" s="206" t="s">
        <v>511</v>
      </c>
      <c r="E270" s="304">
        <f>E268</f>
        <v>1890</v>
      </c>
      <c r="F270" s="207">
        <f>C270*E270</f>
        <v>17010</v>
      </c>
      <c r="G270" s="206"/>
      <c r="H270" s="284"/>
    </row>
    <row r="271" spans="1:8" x14ac:dyDescent="0.25">
      <c r="G271" s="206"/>
    </row>
    <row r="272" spans="1:8" x14ac:dyDescent="0.25">
      <c r="A272" s="206" t="s">
        <v>13</v>
      </c>
      <c r="B272" s="214" t="s">
        <v>37</v>
      </c>
      <c r="C272" s="205">
        <f>C222</f>
        <v>7</v>
      </c>
      <c r="D272" s="206" t="s">
        <v>511</v>
      </c>
      <c r="E272" s="304">
        <f>E270</f>
        <v>1890</v>
      </c>
      <c r="F272" s="207">
        <f>C272*E272</f>
        <v>13230</v>
      </c>
      <c r="G272" s="206"/>
      <c r="H272" s="284"/>
    </row>
    <row r="273" spans="2:7" x14ac:dyDescent="0.25">
      <c r="F273" s="230"/>
      <c r="G273" s="206"/>
    </row>
    <row r="274" spans="2:7" x14ac:dyDescent="0.25">
      <c r="F274" s="230"/>
      <c r="G274" s="206"/>
    </row>
    <row r="275" spans="2:7" x14ac:dyDescent="0.25">
      <c r="F275" s="230"/>
      <c r="G275" s="206"/>
    </row>
    <row r="276" spans="2:7" x14ac:dyDescent="0.25">
      <c r="F276" s="230"/>
      <c r="G276" s="206"/>
    </row>
    <row r="277" spans="2:7" x14ac:dyDescent="0.25">
      <c r="F277" s="230"/>
      <c r="G277" s="206"/>
    </row>
    <row r="278" spans="2:7" x14ac:dyDescent="0.25">
      <c r="F278" s="230"/>
      <c r="G278" s="206"/>
    </row>
    <row r="279" spans="2:7" x14ac:dyDescent="0.25">
      <c r="F279" s="230"/>
      <c r="G279" s="206"/>
    </row>
    <row r="280" spans="2:7" x14ac:dyDescent="0.25">
      <c r="F280" s="230"/>
      <c r="G280" s="206"/>
    </row>
    <row r="281" spans="2:7" x14ac:dyDescent="0.25">
      <c r="F281" s="230"/>
      <c r="G281" s="206"/>
    </row>
    <row r="282" spans="2:7" x14ac:dyDescent="0.25">
      <c r="F282" s="230"/>
      <c r="G282" s="206"/>
    </row>
    <row r="283" spans="2:7" x14ac:dyDescent="0.25">
      <c r="B283" s="220" t="s">
        <v>520</v>
      </c>
      <c r="C283" s="221"/>
      <c r="D283" s="209"/>
      <c r="E283" s="303" t="s">
        <v>15</v>
      </c>
      <c r="F283" s="230">
        <f>SUM(F240:F282)</f>
        <v>2103640</v>
      </c>
      <c r="G283" s="209"/>
    </row>
    <row r="284" spans="2:7" x14ac:dyDescent="0.25">
      <c r="B284" s="210" t="s">
        <v>557</v>
      </c>
      <c r="F284" s="230"/>
      <c r="G284" s="230"/>
    </row>
    <row r="285" spans="2:7" x14ac:dyDescent="0.25">
      <c r="F285" s="230"/>
      <c r="G285" s="230"/>
    </row>
    <row r="286" spans="2:7" x14ac:dyDescent="0.25">
      <c r="B286" s="210" t="s">
        <v>564</v>
      </c>
      <c r="F286" s="230"/>
      <c r="G286" s="230"/>
    </row>
    <row r="287" spans="2:7" x14ac:dyDescent="0.25">
      <c r="F287" s="230"/>
      <c r="G287" s="230"/>
    </row>
    <row r="288" spans="2:7" ht="30" x14ac:dyDescent="0.25">
      <c r="B288" s="224" t="s">
        <v>565</v>
      </c>
      <c r="F288" s="230"/>
      <c r="G288" s="230"/>
    </row>
    <row r="289" spans="1:8" x14ac:dyDescent="0.25">
      <c r="F289" s="230"/>
      <c r="G289" s="230"/>
    </row>
    <row r="290" spans="1:8" x14ac:dyDescent="0.25">
      <c r="A290" s="206" t="s">
        <v>2</v>
      </c>
      <c r="B290" s="233" t="s">
        <v>149</v>
      </c>
      <c r="C290" s="205">
        <f>C268</f>
        <v>30</v>
      </c>
      <c r="D290" s="206" t="s">
        <v>511</v>
      </c>
      <c r="E290" s="304">
        <v>1100</v>
      </c>
      <c r="F290" s="207">
        <f>C290*E290</f>
        <v>33000</v>
      </c>
      <c r="H290" s="284"/>
    </row>
    <row r="291" spans="1:8" x14ac:dyDescent="0.25">
      <c r="B291" s="233"/>
    </row>
    <row r="292" spans="1:8" x14ac:dyDescent="0.25">
      <c r="A292" s="206" t="s">
        <v>4</v>
      </c>
      <c r="B292" s="214" t="s">
        <v>38</v>
      </c>
      <c r="C292" s="205">
        <f>C270</f>
        <v>9</v>
      </c>
      <c r="D292" s="206" t="s">
        <v>511</v>
      </c>
      <c r="E292" s="304">
        <f>E290</f>
        <v>1100</v>
      </c>
      <c r="F292" s="207">
        <f>C292*E292</f>
        <v>9900</v>
      </c>
      <c r="H292" s="284"/>
    </row>
    <row r="294" spans="1:8" x14ac:dyDescent="0.25">
      <c r="A294" s="206" t="s">
        <v>5</v>
      </c>
      <c r="B294" s="214" t="s">
        <v>37</v>
      </c>
      <c r="C294" s="205">
        <f>C272</f>
        <v>7</v>
      </c>
      <c r="D294" s="206" t="s">
        <v>511</v>
      </c>
      <c r="E294" s="304">
        <f>E292</f>
        <v>1100</v>
      </c>
      <c r="F294" s="207">
        <f>C294*E294</f>
        <v>7700</v>
      </c>
      <c r="H294" s="284"/>
    </row>
    <row r="295" spans="1:8" x14ac:dyDescent="0.25">
      <c r="B295" s="233"/>
      <c r="F295" s="230"/>
      <c r="G295" s="230"/>
    </row>
    <row r="296" spans="1:8" x14ac:dyDescent="0.25">
      <c r="B296" s="211" t="s">
        <v>152</v>
      </c>
      <c r="F296" s="230"/>
      <c r="G296" s="230"/>
    </row>
    <row r="297" spans="1:8" x14ac:dyDescent="0.25">
      <c r="F297" s="230"/>
      <c r="G297" s="230"/>
    </row>
    <row r="298" spans="1:8" ht="30" x14ac:dyDescent="0.25">
      <c r="B298" s="224" t="s">
        <v>675</v>
      </c>
      <c r="F298" s="230"/>
      <c r="G298" s="230"/>
    </row>
    <row r="299" spans="1:8" x14ac:dyDescent="0.25">
      <c r="F299" s="230"/>
      <c r="G299" s="230"/>
    </row>
    <row r="300" spans="1:8" x14ac:dyDescent="0.25">
      <c r="A300" s="206" t="s">
        <v>6</v>
      </c>
      <c r="B300" s="233" t="s">
        <v>149</v>
      </c>
      <c r="C300" s="205">
        <f>C290</f>
        <v>30</v>
      </c>
      <c r="D300" s="206" t="s">
        <v>511</v>
      </c>
      <c r="E300" s="304">
        <v>1500</v>
      </c>
      <c r="F300" s="207">
        <f>C300*E300</f>
        <v>45000</v>
      </c>
      <c r="H300" s="284"/>
    </row>
    <row r="301" spans="1:8" x14ac:dyDescent="0.25">
      <c r="B301" s="233"/>
    </row>
    <row r="302" spans="1:8" x14ac:dyDescent="0.25">
      <c r="A302" s="206" t="s">
        <v>7</v>
      </c>
      <c r="B302" s="214" t="s">
        <v>38</v>
      </c>
      <c r="C302" s="205">
        <f>C292</f>
        <v>9</v>
      </c>
      <c r="D302" s="206" t="s">
        <v>511</v>
      </c>
      <c r="E302" s="304">
        <f>E300</f>
        <v>1500</v>
      </c>
      <c r="F302" s="207">
        <f>C302*E302</f>
        <v>13500</v>
      </c>
      <c r="H302" s="284"/>
    </row>
    <row r="304" spans="1:8" x14ac:dyDescent="0.25">
      <c r="A304" s="206" t="s">
        <v>8</v>
      </c>
      <c r="B304" s="214" t="s">
        <v>37</v>
      </c>
      <c r="C304" s="205">
        <f>C294</f>
        <v>7</v>
      </c>
      <c r="D304" s="206" t="s">
        <v>511</v>
      </c>
      <c r="E304" s="304">
        <f>E302</f>
        <v>1500</v>
      </c>
      <c r="F304" s="207">
        <f>C304*E304</f>
        <v>10500</v>
      </c>
      <c r="H304" s="284"/>
    </row>
    <row r="306" spans="2:7" x14ac:dyDescent="0.25">
      <c r="F306" s="230"/>
      <c r="G306" s="230"/>
    </row>
    <row r="307" spans="2:7" x14ac:dyDescent="0.25">
      <c r="B307" s="220" t="s">
        <v>520</v>
      </c>
      <c r="E307" s="303" t="s">
        <v>15</v>
      </c>
      <c r="F307" s="222">
        <f>SUM(F287:F306)</f>
        <v>119600</v>
      </c>
      <c r="G307" s="222"/>
    </row>
    <row r="309" spans="2:7" x14ac:dyDescent="0.25">
      <c r="B309" s="219" t="s">
        <v>531</v>
      </c>
      <c r="F309" s="230"/>
      <c r="G309" s="230"/>
    </row>
    <row r="310" spans="2:7" x14ac:dyDescent="0.25">
      <c r="B310" s="231" t="s">
        <v>566</v>
      </c>
      <c r="E310" s="304">
        <f>F237</f>
        <v>1767560</v>
      </c>
      <c r="F310" s="230"/>
      <c r="G310" s="230"/>
    </row>
    <row r="311" spans="2:7" x14ac:dyDescent="0.25">
      <c r="B311" s="243"/>
      <c r="F311" s="230"/>
      <c r="G311" s="230"/>
    </row>
    <row r="312" spans="2:7" x14ac:dyDescent="0.25">
      <c r="B312" s="231" t="s">
        <v>567</v>
      </c>
      <c r="E312" s="304">
        <f>F283</f>
        <v>2103640</v>
      </c>
      <c r="F312" s="230"/>
      <c r="G312" s="230"/>
    </row>
    <row r="313" spans="2:7" x14ac:dyDescent="0.25">
      <c r="B313" s="244"/>
      <c r="F313" s="230"/>
      <c r="G313" s="230"/>
    </row>
    <row r="314" spans="2:7" x14ac:dyDescent="0.25">
      <c r="B314" s="231" t="s">
        <v>568</v>
      </c>
      <c r="E314" s="304">
        <f>F307</f>
        <v>119600</v>
      </c>
      <c r="F314" s="230"/>
      <c r="G314" s="230"/>
    </row>
    <row r="315" spans="2:7" x14ac:dyDescent="0.25">
      <c r="B315" s="231"/>
      <c r="F315" s="230"/>
      <c r="G315" s="230"/>
    </row>
    <row r="316" spans="2:7" x14ac:dyDescent="0.25">
      <c r="B316" s="231"/>
      <c r="F316" s="230"/>
      <c r="G316" s="230"/>
    </row>
    <row r="317" spans="2:7" x14ac:dyDescent="0.25">
      <c r="B317" s="231"/>
      <c r="F317" s="230"/>
      <c r="G317" s="230"/>
    </row>
    <row r="318" spans="2:7" x14ac:dyDescent="0.25">
      <c r="B318" s="231"/>
      <c r="F318" s="230"/>
      <c r="G318" s="230"/>
    </row>
    <row r="319" spans="2:7" x14ac:dyDescent="0.25">
      <c r="B319" s="231"/>
      <c r="F319" s="230"/>
      <c r="G319" s="230"/>
    </row>
    <row r="320" spans="2:7" x14ac:dyDescent="0.25">
      <c r="B320" s="231"/>
      <c r="F320" s="230"/>
      <c r="G320" s="230"/>
    </row>
    <row r="321" spans="2:7" x14ac:dyDescent="0.25">
      <c r="B321" s="231"/>
      <c r="F321" s="230"/>
      <c r="G321" s="230"/>
    </row>
    <row r="322" spans="2:7" x14ac:dyDescent="0.25">
      <c r="B322" s="231"/>
      <c r="F322" s="230"/>
      <c r="G322" s="230"/>
    </row>
    <row r="323" spans="2:7" x14ac:dyDescent="0.25">
      <c r="B323" s="231"/>
      <c r="F323" s="230"/>
      <c r="G323" s="230"/>
    </row>
    <row r="324" spans="2:7" x14ac:dyDescent="0.25">
      <c r="B324" s="231"/>
      <c r="F324" s="230"/>
      <c r="G324" s="230"/>
    </row>
    <row r="325" spans="2:7" x14ac:dyDescent="0.25">
      <c r="B325" s="231"/>
      <c r="F325" s="230"/>
      <c r="G325" s="230"/>
    </row>
    <row r="326" spans="2:7" x14ac:dyDescent="0.25">
      <c r="B326" s="231"/>
      <c r="F326" s="230"/>
      <c r="G326" s="230"/>
    </row>
    <row r="327" spans="2:7" x14ac:dyDescent="0.25">
      <c r="B327" s="231"/>
      <c r="F327" s="230"/>
      <c r="G327" s="230"/>
    </row>
    <row r="328" spans="2:7" x14ac:dyDescent="0.25">
      <c r="B328" s="210" t="s">
        <v>125</v>
      </c>
      <c r="F328" s="230"/>
      <c r="G328" s="230"/>
    </row>
    <row r="329" spans="2:7" x14ac:dyDescent="0.25">
      <c r="B329" s="220" t="s">
        <v>534</v>
      </c>
      <c r="E329" s="303" t="s">
        <v>15</v>
      </c>
      <c r="F329" s="286">
        <f>SUM(E309:E316)</f>
        <v>3990800</v>
      </c>
      <c r="G329" s="286"/>
    </row>
    <row r="330" spans="2:7" x14ac:dyDescent="0.25">
      <c r="B330" s="210"/>
      <c r="F330" s="230"/>
      <c r="G330" s="230"/>
    </row>
    <row r="331" spans="2:7" x14ac:dyDescent="0.25">
      <c r="B331" s="204" t="s">
        <v>569</v>
      </c>
      <c r="F331" s="230"/>
      <c r="G331" s="230"/>
    </row>
    <row r="332" spans="2:7" x14ac:dyDescent="0.25">
      <c r="F332" s="230"/>
      <c r="G332" s="230"/>
    </row>
    <row r="333" spans="2:7" x14ac:dyDescent="0.25">
      <c r="B333" s="210" t="s">
        <v>163</v>
      </c>
      <c r="F333" s="230"/>
      <c r="G333" s="230"/>
    </row>
    <row r="334" spans="2:7" x14ac:dyDescent="0.25">
      <c r="F334" s="230"/>
      <c r="G334" s="230"/>
    </row>
    <row r="335" spans="2:7" x14ac:dyDescent="0.25">
      <c r="B335" s="211" t="s">
        <v>98</v>
      </c>
      <c r="F335" s="230"/>
      <c r="G335" s="230"/>
    </row>
    <row r="336" spans="2:7" x14ac:dyDescent="0.25">
      <c r="F336" s="230"/>
      <c r="G336" s="230"/>
    </row>
    <row r="337" spans="1:10" x14ac:dyDescent="0.25">
      <c r="B337" s="219" t="s">
        <v>536</v>
      </c>
      <c r="F337" s="230"/>
      <c r="G337" s="230"/>
    </row>
    <row r="338" spans="1:10" x14ac:dyDescent="0.25">
      <c r="B338" s="219"/>
      <c r="F338" s="230"/>
      <c r="G338" s="230"/>
    </row>
    <row r="339" spans="1:10" x14ac:dyDescent="0.25">
      <c r="B339" s="219" t="s">
        <v>666</v>
      </c>
      <c r="F339" s="230"/>
      <c r="G339" s="230"/>
    </row>
    <row r="340" spans="1:10" x14ac:dyDescent="0.25">
      <c r="F340" s="230"/>
      <c r="G340" s="230"/>
      <c r="I340" s="208">
        <f>0.3+0.3+0.23</f>
        <v>0.83</v>
      </c>
      <c r="J340" s="208">
        <f>I340*72.8</f>
        <v>60.423999999999992</v>
      </c>
    </row>
    <row r="341" spans="1:10" x14ac:dyDescent="0.25">
      <c r="A341" s="206" t="s">
        <v>2</v>
      </c>
      <c r="B341" s="214" t="s">
        <v>537</v>
      </c>
      <c r="C341" s="205">
        <f>'[30]Take off'!D306</f>
        <v>21</v>
      </c>
      <c r="D341" s="206" t="s">
        <v>513</v>
      </c>
      <c r="E341" s="304">
        <f>E111</f>
        <v>94000</v>
      </c>
      <c r="F341" s="230">
        <f>C341*E341</f>
        <v>1974000</v>
      </c>
      <c r="G341" s="230"/>
      <c r="H341" s="284"/>
    </row>
    <row r="342" spans="1:10" x14ac:dyDescent="0.25">
      <c r="F342" s="230"/>
      <c r="G342" s="230"/>
      <c r="H342" s="284"/>
    </row>
    <row r="343" spans="1:10" x14ac:dyDescent="0.25">
      <c r="A343" s="206" t="s">
        <v>4</v>
      </c>
      <c r="B343" s="214" t="s">
        <v>884</v>
      </c>
      <c r="C343" s="205">
        <f>'[30]Take off'!D316</f>
        <v>2</v>
      </c>
      <c r="D343" s="206" t="s">
        <v>513</v>
      </c>
      <c r="E343" s="304">
        <f>E113</f>
        <v>94000</v>
      </c>
      <c r="F343" s="230">
        <f>C343*E343</f>
        <v>188000</v>
      </c>
      <c r="G343" s="230"/>
      <c r="H343" s="284"/>
    </row>
    <row r="344" spans="1:10" x14ac:dyDescent="0.25">
      <c r="F344" s="230"/>
      <c r="G344" s="230"/>
      <c r="H344" s="284"/>
    </row>
    <row r="345" spans="1:10" x14ac:dyDescent="0.25">
      <c r="A345" s="206" t="s">
        <v>5</v>
      </c>
      <c r="B345" s="214" t="s">
        <v>676</v>
      </c>
      <c r="D345" s="206" t="s">
        <v>513</v>
      </c>
      <c r="E345" s="304">
        <f>E115</f>
        <v>94000</v>
      </c>
      <c r="F345" s="230">
        <f>C345*E345</f>
        <v>0</v>
      </c>
      <c r="G345" s="230"/>
      <c r="H345" s="284"/>
    </row>
    <row r="346" spans="1:10" x14ac:dyDescent="0.25">
      <c r="F346" s="230"/>
      <c r="G346" s="230"/>
      <c r="H346" s="284"/>
    </row>
    <row r="347" spans="1:10" x14ac:dyDescent="0.25">
      <c r="A347" s="237"/>
      <c r="B347" s="211" t="s">
        <v>102</v>
      </c>
      <c r="F347" s="230"/>
      <c r="G347" s="230"/>
    </row>
    <row r="348" spans="1:10" x14ac:dyDescent="0.25">
      <c r="B348" s="219"/>
      <c r="F348" s="230"/>
      <c r="G348" s="230"/>
    </row>
    <row r="349" spans="1:10" ht="30" x14ac:dyDescent="0.25">
      <c r="B349" s="224" t="s">
        <v>570</v>
      </c>
      <c r="F349" s="230"/>
      <c r="G349" s="230"/>
    </row>
    <row r="350" spans="1:10" x14ac:dyDescent="0.25">
      <c r="B350" s="218"/>
      <c r="C350" s="239"/>
      <c r="D350" s="240"/>
      <c r="E350" s="305"/>
      <c r="F350" s="245"/>
      <c r="G350" s="245"/>
    </row>
    <row r="351" spans="1:10" x14ac:dyDescent="0.25">
      <c r="A351" s="206" t="s">
        <v>6</v>
      </c>
      <c r="B351" s="214" t="s">
        <v>808</v>
      </c>
      <c r="C351" s="262">
        <f>220+346+1130</f>
        <v>1696</v>
      </c>
      <c r="D351" s="206" t="s">
        <v>75</v>
      </c>
      <c r="E351" s="304">
        <f>E209</f>
        <v>770</v>
      </c>
      <c r="F351" s="287">
        <f>C351*E351</f>
        <v>1305920</v>
      </c>
      <c r="G351" s="287"/>
      <c r="H351" s="284"/>
    </row>
    <row r="352" spans="1:10" x14ac:dyDescent="0.25">
      <c r="A352" s="238"/>
      <c r="F352" s="287"/>
      <c r="G352" s="287"/>
    </row>
    <row r="353" spans="1:8" x14ac:dyDescent="0.25">
      <c r="B353" s="211" t="s">
        <v>67</v>
      </c>
      <c r="F353" s="230"/>
      <c r="G353" s="230"/>
    </row>
    <row r="354" spans="1:8" x14ac:dyDescent="0.25">
      <c r="F354" s="230"/>
      <c r="G354" s="230"/>
    </row>
    <row r="355" spans="1:8" x14ac:dyDescent="0.25">
      <c r="B355" s="219" t="s">
        <v>120</v>
      </c>
      <c r="F355" s="230"/>
      <c r="G355" s="230"/>
    </row>
    <row r="356" spans="1:8" x14ac:dyDescent="0.25">
      <c r="F356" s="230"/>
      <c r="G356" s="230"/>
    </row>
    <row r="357" spans="1:8" x14ac:dyDescent="0.25">
      <c r="A357" s="206" t="s">
        <v>8</v>
      </c>
      <c r="B357" s="214" t="s">
        <v>885</v>
      </c>
      <c r="C357" s="205">
        <f>'[30]Take off'!H315</f>
        <v>15</v>
      </c>
      <c r="D357" s="206" t="s">
        <v>511</v>
      </c>
      <c r="E357" s="304">
        <v>6600</v>
      </c>
      <c r="F357" s="230">
        <f>C357*E357</f>
        <v>99000</v>
      </c>
      <c r="G357" s="230"/>
      <c r="H357" s="284"/>
    </row>
    <row r="358" spans="1:8" x14ac:dyDescent="0.25">
      <c r="A358" s="206" t="s">
        <v>8</v>
      </c>
      <c r="B358" s="214" t="s">
        <v>572</v>
      </c>
      <c r="C358" s="205">
        <f>'[30]Take off'!H305</f>
        <v>228</v>
      </c>
      <c r="D358" s="206" t="s">
        <v>511</v>
      </c>
      <c r="E358" s="304">
        <f>E172</f>
        <v>6600</v>
      </c>
      <c r="F358" s="230">
        <f>C358*E358</f>
        <v>1504800</v>
      </c>
      <c r="G358" s="230"/>
      <c r="H358" s="284"/>
    </row>
    <row r="359" spans="1:8" x14ac:dyDescent="0.25">
      <c r="F359" s="230"/>
      <c r="G359" s="230"/>
      <c r="H359" s="284"/>
    </row>
    <row r="360" spans="1:8" x14ac:dyDescent="0.25">
      <c r="F360" s="230"/>
      <c r="G360" s="230"/>
      <c r="H360" s="284"/>
    </row>
    <row r="361" spans="1:8" x14ac:dyDescent="0.25">
      <c r="F361" s="230"/>
      <c r="G361" s="230"/>
      <c r="H361" s="284"/>
    </row>
    <row r="362" spans="1:8" x14ac:dyDescent="0.25">
      <c r="F362" s="230"/>
      <c r="G362" s="230"/>
      <c r="H362" s="284"/>
    </row>
    <row r="363" spans="1:8" x14ac:dyDescent="0.25">
      <c r="F363" s="230"/>
      <c r="G363" s="230"/>
      <c r="H363" s="284"/>
    </row>
    <row r="364" spans="1:8" x14ac:dyDescent="0.25">
      <c r="F364" s="230"/>
      <c r="G364" s="230"/>
      <c r="H364" s="284"/>
    </row>
    <row r="365" spans="1:8" x14ac:dyDescent="0.25">
      <c r="F365" s="230"/>
      <c r="G365" s="230"/>
      <c r="H365" s="284"/>
    </row>
    <row r="366" spans="1:8" x14ac:dyDescent="0.25">
      <c r="F366" s="230"/>
      <c r="G366" s="230"/>
      <c r="H366" s="284"/>
    </row>
    <row r="367" spans="1:8" x14ac:dyDescent="0.25">
      <c r="F367" s="230"/>
      <c r="G367" s="230"/>
      <c r="H367" s="284"/>
    </row>
    <row r="368" spans="1:8" x14ac:dyDescent="0.25">
      <c r="F368" s="230"/>
      <c r="G368" s="230"/>
      <c r="H368" s="284"/>
    </row>
    <row r="369" spans="1:14" x14ac:dyDescent="0.25">
      <c r="F369" s="230"/>
      <c r="G369" s="230"/>
      <c r="H369" s="284"/>
    </row>
    <row r="370" spans="1:14" x14ac:dyDescent="0.25">
      <c r="F370" s="230"/>
      <c r="G370" s="230"/>
      <c r="H370" s="284"/>
    </row>
    <row r="371" spans="1:14" x14ac:dyDescent="0.25">
      <c r="F371" s="230"/>
      <c r="G371" s="230"/>
      <c r="H371" s="284"/>
    </row>
    <row r="372" spans="1:14" x14ac:dyDescent="0.25">
      <c r="F372" s="230"/>
      <c r="G372" s="230"/>
      <c r="H372" s="284"/>
    </row>
    <row r="373" spans="1:14" x14ac:dyDescent="0.25">
      <c r="F373" s="230"/>
      <c r="G373" s="230"/>
      <c r="H373" s="284"/>
    </row>
    <row r="374" spans="1:14" x14ac:dyDescent="0.25">
      <c r="F374" s="230"/>
      <c r="G374" s="230"/>
      <c r="H374" s="284"/>
    </row>
    <row r="375" spans="1:14" x14ac:dyDescent="0.25">
      <c r="B375" s="220" t="s">
        <v>520</v>
      </c>
      <c r="C375" s="221"/>
      <c r="D375" s="209"/>
      <c r="E375" s="303" t="s">
        <v>15</v>
      </c>
      <c r="F375" s="235">
        <f>SUM(F334:F366)</f>
        <v>5071720</v>
      </c>
      <c r="G375" s="230"/>
      <c r="H375" s="284"/>
    </row>
    <row r="376" spans="1:14" x14ac:dyDescent="0.25">
      <c r="B376" s="210" t="s">
        <v>573</v>
      </c>
      <c r="F376" s="230"/>
      <c r="G376" s="230"/>
      <c r="H376" s="284"/>
    </row>
    <row r="377" spans="1:14" ht="14.1" customHeight="1" x14ac:dyDescent="0.25">
      <c r="F377" s="230"/>
      <c r="G377" s="230"/>
      <c r="H377" s="284"/>
    </row>
    <row r="378" spans="1:14" ht="49.5" x14ac:dyDescent="0.25">
      <c r="B378" s="242" t="s">
        <v>574</v>
      </c>
    </row>
    <row r="379" spans="1:14" ht="13.5" customHeight="1" x14ac:dyDescent="0.25">
      <c r="B379" s="233"/>
      <c r="L379" s="223"/>
    </row>
    <row r="380" spans="1:14" x14ac:dyDescent="0.25">
      <c r="A380" s="206" t="s">
        <v>2</v>
      </c>
      <c r="B380" s="246" t="s">
        <v>575</v>
      </c>
      <c r="C380" s="205">
        <v>155</v>
      </c>
      <c r="D380" s="206" t="s">
        <v>511</v>
      </c>
      <c r="E380" s="304">
        <v>8900</v>
      </c>
      <c r="F380" s="289">
        <f>E380*C380</f>
        <v>1379500</v>
      </c>
      <c r="G380" s="289"/>
      <c r="H380" s="284"/>
      <c r="L380" s="223"/>
    </row>
    <row r="381" spans="1:14" x14ac:dyDescent="0.25">
      <c r="B381" s="246"/>
      <c r="F381" s="289"/>
      <c r="G381" s="289"/>
      <c r="H381" s="284"/>
    </row>
    <row r="382" spans="1:14" x14ac:dyDescent="0.25">
      <c r="A382" s="206" t="s">
        <v>4</v>
      </c>
      <c r="B382" s="214" t="s">
        <v>677</v>
      </c>
      <c r="C382" s="205">
        <v>74</v>
      </c>
      <c r="D382" s="206" t="s">
        <v>22</v>
      </c>
      <c r="E382" s="304">
        <f>E380*0.5</f>
        <v>4450</v>
      </c>
      <c r="F382" s="289">
        <f>E382*C382</f>
        <v>329300</v>
      </c>
      <c r="G382" s="289"/>
      <c r="H382" s="284"/>
      <c r="N382" s="208">
        <f>SUM(L382:M382)</f>
        <v>0</v>
      </c>
    </row>
    <row r="383" spans="1:14" x14ac:dyDescent="0.25">
      <c r="F383" s="289"/>
      <c r="G383" s="289"/>
      <c r="H383" s="284"/>
    </row>
    <row r="384" spans="1:14" x14ac:dyDescent="0.25">
      <c r="A384" s="206" t="s">
        <v>5</v>
      </c>
      <c r="B384" s="214" t="s">
        <v>576</v>
      </c>
      <c r="C384" s="205">
        <v>17</v>
      </c>
      <c r="D384" s="206" t="s">
        <v>22</v>
      </c>
      <c r="E384" s="304">
        <f>E380*0.3</f>
        <v>2670</v>
      </c>
      <c r="F384" s="289">
        <f>E384*C384</f>
        <v>45390</v>
      </c>
      <c r="G384" s="289"/>
      <c r="H384" s="284"/>
      <c r="N384" s="208">
        <f>SUM(L384:M384)</f>
        <v>0</v>
      </c>
    </row>
    <row r="385" spans="1:9" x14ac:dyDescent="0.25">
      <c r="F385" s="289"/>
      <c r="G385" s="289"/>
      <c r="H385" s="284"/>
    </row>
    <row r="386" spans="1:9" x14ac:dyDescent="0.25">
      <c r="B386" s="211" t="s">
        <v>577</v>
      </c>
    </row>
    <row r="387" spans="1:9" ht="12.6" customHeight="1" x14ac:dyDescent="0.25"/>
    <row r="388" spans="1:9" ht="14.25" customHeight="1" x14ac:dyDescent="0.25">
      <c r="B388" s="224" t="s">
        <v>187</v>
      </c>
    </row>
    <row r="390" spans="1:9" s="202" customFormat="1" ht="17.100000000000001" customHeight="1" x14ac:dyDescent="0.25">
      <c r="A390" s="197" t="s">
        <v>6</v>
      </c>
      <c r="B390" s="214" t="s">
        <v>578</v>
      </c>
      <c r="C390" s="383"/>
      <c r="D390" s="197" t="s">
        <v>579</v>
      </c>
      <c r="E390" s="307"/>
      <c r="F390" s="248"/>
      <c r="G390" s="290"/>
      <c r="H390" s="249"/>
      <c r="I390" s="250"/>
    </row>
    <row r="392" spans="1:9" x14ac:dyDescent="0.25">
      <c r="A392" s="206" t="s">
        <v>7</v>
      </c>
      <c r="B392" s="214" t="s">
        <v>678</v>
      </c>
      <c r="C392" s="205">
        <v>0</v>
      </c>
      <c r="D392" s="206" t="s">
        <v>22</v>
      </c>
      <c r="E392" s="304">
        <v>750</v>
      </c>
      <c r="F392" s="289">
        <f>C392*E392</f>
        <v>0</v>
      </c>
      <c r="G392" s="289"/>
      <c r="H392" s="284"/>
    </row>
    <row r="394" spans="1:9" x14ac:dyDescent="0.25">
      <c r="A394" s="206" t="s">
        <v>8</v>
      </c>
      <c r="B394" s="214" t="s">
        <v>580</v>
      </c>
      <c r="D394" s="206" t="s">
        <v>22</v>
      </c>
      <c r="E394" s="304">
        <v>750</v>
      </c>
      <c r="F394" s="289">
        <f>C394*E394</f>
        <v>0</v>
      </c>
      <c r="G394" s="289"/>
      <c r="H394" s="284"/>
    </row>
    <row r="395" spans="1:9" ht="12.75" customHeight="1" x14ac:dyDescent="0.25">
      <c r="F395" s="289"/>
      <c r="G395" s="289"/>
    </row>
    <row r="396" spans="1:9" x14ac:dyDescent="0.25">
      <c r="A396" s="206" t="s">
        <v>9</v>
      </c>
      <c r="B396" s="214" t="s">
        <v>188</v>
      </c>
      <c r="D396" s="206" t="s">
        <v>22</v>
      </c>
      <c r="E396" s="304">
        <f>E394</f>
        <v>750</v>
      </c>
      <c r="F396" s="289">
        <f>C396*E396</f>
        <v>0</v>
      </c>
      <c r="G396" s="289"/>
      <c r="H396" s="284"/>
    </row>
    <row r="397" spans="1:9" ht="12.75" customHeight="1" x14ac:dyDescent="0.25"/>
    <row r="398" spans="1:9" x14ac:dyDescent="0.25">
      <c r="A398" s="206" t="s">
        <v>10</v>
      </c>
      <c r="B398" s="214" t="s">
        <v>581</v>
      </c>
      <c r="D398" s="206" t="s">
        <v>22</v>
      </c>
      <c r="E398" s="304">
        <f>E396</f>
        <v>750</v>
      </c>
      <c r="F398" s="289">
        <f>C398*E398</f>
        <v>0</v>
      </c>
      <c r="G398" s="289"/>
      <c r="H398" s="284"/>
    </row>
    <row r="399" spans="1:9" ht="12.75" customHeight="1" x14ac:dyDescent="0.25">
      <c r="F399" s="289"/>
      <c r="G399" s="289"/>
    </row>
    <row r="400" spans="1:9" x14ac:dyDescent="0.25">
      <c r="A400" s="206" t="s">
        <v>11</v>
      </c>
      <c r="B400" s="214" t="s">
        <v>191</v>
      </c>
      <c r="D400" s="206" t="s">
        <v>22</v>
      </c>
      <c r="E400" s="304">
        <v>550</v>
      </c>
      <c r="F400" s="289">
        <f>C400*E400</f>
        <v>0</v>
      </c>
      <c r="G400" s="289"/>
      <c r="H400" s="284"/>
    </row>
    <row r="401" spans="1:8" x14ac:dyDescent="0.25">
      <c r="F401" s="289"/>
      <c r="G401" s="289"/>
      <c r="H401" s="284"/>
    </row>
    <row r="402" spans="1:8" x14ac:dyDescent="0.25">
      <c r="A402" s="206" t="s">
        <v>12</v>
      </c>
      <c r="B402" s="214" t="s">
        <v>679</v>
      </c>
      <c r="D402" s="206" t="s">
        <v>22</v>
      </c>
      <c r="E402" s="304">
        <v>550</v>
      </c>
      <c r="F402" s="289">
        <f>C402*E402</f>
        <v>0</v>
      </c>
      <c r="G402" s="289"/>
      <c r="H402" s="284"/>
    </row>
    <row r="403" spans="1:8" x14ac:dyDescent="0.25">
      <c r="F403" s="289"/>
      <c r="G403" s="289"/>
      <c r="H403" s="284"/>
    </row>
    <row r="404" spans="1:8" ht="12.6" customHeight="1" x14ac:dyDescent="0.25">
      <c r="F404" s="289"/>
      <c r="G404" s="289"/>
      <c r="H404" s="284"/>
    </row>
    <row r="405" spans="1:8" x14ac:dyDescent="0.25">
      <c r="B405" s="211" t="s">
        <v>84</v>
      </c>
      <c r="C405" s="221"/>
      <c r="D405" s="209"/>
      <c r="E405" s="303"/>
      <c r="F405" s="286"/>
      <c r="G405" s="286"/>
      <c r="H405" s="284"/>
    </row>
    <row r="406" spans="1:8" x14ac:dyDescent="0.25">
      <c r="B406" s="226"/>
      <c r="C406" s="221"/>
      <c r="D406" s="209"/>
      <c r="E406" s="303"/>
      <c r="F406" s="286"/>
      <c r="G406" s="286"/>
      <c r="H406" s="284"/>
    </row>
    <row r="407" spans="1:8" ht="32.25" customHeight="1" x14ac:dyDescent="0.25">
      <c r="B407" s="224" t="s">
        <v>582</v>
      </c>
      <c r="C407" s="221"/>
      <c r="D407" s="209"/>
      <c r="E407" s="303"/>
      <c r="F407" s="286"/>
      <c r="G407" s="286"/>
      <c r="H407" s="284"/>
    </row>
    <row r="408" spans="1:8" x14ac:dyDescent="0.25">
      <c r="B408" s="224"/>
      <c r="C408" s="221"/>
      <c r="D408" s="209"/>
      <c r="E408" s="303"/>
      <c r="F408" s="286"/>
      <c r="G408" s="286"/>
      <c r="H408" s="284"/>
    </row>
    <row r="409" spans="1:8" x14ac:dyDescent="0.25">
      <c r="A409" s="206" t="s">
        <v>13</v>
      </c>
      <c r="B409" s="218" t="s">
        <v>680</v>
      </c>
      <c r="C409" s="262">
        <v>89</v>
      </c>
      <c r="D409" s="206" t="s">
        <v>511</v>
      </c>
      <c r="E409" s="304">
        <v>7500</v>
      </c>
      <c r="F409" s="207">
        <f>C409*E409</f>
        <v>667500</v>
      </c>
      <c r="H409" s="284"/>
    </row>
    <row r="410" spans="1:8" x14ac:dyDescent="0.25">
      <c r="H410" s="284"/>
    </row>
    <row r="411" spans="1:8" x14ac:dyDescent="0.25">
      <c r="B411" s="211" t="s">
        <v>147</v>
      </c>
      <c r="F411" s="230"/>
      <c r="G411" s="230"/>
      <c r="H411" s="284"/>
    </row>
    <row r="412" spans="1:8" ht="12.95" customHeight="1" x14ac:dyDescent="0.25">
      <c r="F412" s="230"/>
      <c r="G412" s="230"/>
      <c r="H412" s="284"/>
    </row>
    <row r="413" spans="1:8" ht="30" x14ac:dyDescent="0.25">
      <c r="B413" s="224" t="s">
        <v>583</v>
      </c>
      <c r="F413" s="230"/>
      <c r="G413" s="230"/>
      <c r="H413" s="284"/>
    </row>
    <row r="414" spans="1:8" ht="16.5" customHeight="1" x14ac:dyDescent="0.25">
      <c r="B414" s="224"/>
      <c r="F414" s="230"/>
      <c r="G414" s="230"/>
      <c r="H414" s="284"/>
    </row>
    <row r="415" spans="1:8" ht="19.5" customHeight="1" x14ac:dyDescent="0.25">
      <c r="A415" s="206" t="s">
        <v>14</v>
      </c>
      <c r="B415" s="233" t="s">
        <v>24</v>
      </c>
      <c r="C415" s="205">
        <f>C409</f>
        <v>89</v>
      </c>
      <c r="D415" s="206" t="s">
        <v>511</v>
      </c>
      <c r="E415" s="304">
        <f>E268</f>
        <v>1890</v>
      </c>
      <c r="F415" s="207">
        <f>C415*E415</f>
        <v>168210</v>
      </c>
      <c r="H415" s="284"/>
    </row>
    <row r="416" spans="1:8" x14ac:dyDescent="0.25">
      <c r="B416" s="233"/>
      <c r="H416" s="284"/>
    </row>
    <row r="417" spans="1:8" x14ac:dyDescent="0.25">
      <c r="A417" s="206" t="s">
        <v>15</v>
      </c>
      <c r="B417" s="214" t="s">
        <v>584</v>
      </c>
      <c r="D417" s="206" t="s">
        <v>511</v>
      </c>
      <c r="E417" s="304">
        <f>E415</f>
        <v>1890</v>
      </c>
      <c r="F417" s="207">
        <f>C417*E417</f>
        <v>0</v>
      </c>
      <c r="H417" s="284"/>
    </row>
    <row r="418" spans="1:8" ht="14.25" customHeight="1" x14ac:dyDescent="0.25">
      <c r="H418" s="284"/>
    </row>
    <row r="419" spans="1:8" x14ac:dyDescent="0.25">
      <c r="B419" s="211" t="s">
        <v>585</v>
      </c>
      <c r="H419" s="284"/>
    </row>
    <row r="420" spans="1:8" x14ac:dyDescent="0.25">
      <c r="H420" s="284"/>
    </row>
    <row r="421" spans="1:8" x14ac:dyDescent="0.25">
      <c r="B421" s="219" t="s">
        <v>560</v>
      </c>
      <c r="F421" s="230"/>
      <c r="G421" s="230"/>
      <c r="H421" s="284"/>
    </row>
    <row r="422" spans="1:8" x14ac:dyDescent="0.25">
      <c r="B422" s="219"/>
      <c r="F422" s="230"/>
      <c r="G422" s="230"/>
      <c r="H422" s="284"/>
    </row>
    <row r="423" spans="1:8" x14ac:dyDescent="0.25">
      <c r="A423" s="206" t="s">
        <v>16</v>
      </c>
      <c r="B423" s="233" t="s">
        <v>586</v>
      </c>
      <c r="C423" s="205">
        <f>C357</f>
        <v>15</v>
      </c>
      <c r="D423" s="206" t="s">
        <v>511</v>
      </c>
      <c r="E423" s="304">
        <v>2650</v>
      </c>
      <c r="F423" s="207">
        <f>C423*E423</f>
        <v>39750</v>
      </c>
      <c r="H423" s="284"/>
    </row>
    <row r="424" spans="1:8" x14ac:dyDescent="0.25">
      <c r="B424" s="233"/>
      <c r="H424" s="284"/>
    </row>
    <row r="425" spans="1:8" x14ac:dyDescent="0.25">
      <c r="B425" s="233"/>
      <c r="H425" s="284"/>
    </row>
    <row r="426" spans="1:8" x14ac:dyDescent="0.25">
      <c r="B426" s="220" t="s">
        <v>520</v>
      </c>
      <c r="C426" s="221"/>
      <c r="D426" s="209"/>
      <c r="E426" s="303" t="s">
        <v>15</v>
      </c>
      <c r="F426" s="222">
        <f>SUM(F378:F424)</f>
        <v>2629650</v>
      </c>
      <c r="G426" s="222"/>
      <c r="H426" s="284"/>
    </row>
    <row r="427" spans="1:8" x14ac:dyDescent="0.25">
      <c r="B427" s="210" t="s">
        <v>573</v>
      </c>
      <c r="H427" s="284"/>
    </row>
    <row r="428" spans="1:8" x14ac:dyDescent="0.25">
      <c r="B428" s="233"/>
      <c r="H428" s="284"/>
    </row>
    <row r="429" spans="1:8" x14ac:dyDescent="0.25">
      <c r="B429" s="210" t="s">
        <v>587</v>
      </c>
      <c r="C429" s="251"/>
      <c r="H429" s="284"/>
    </row>
    <row r="430" spans="1:8" x14ac:dyDescent="0.25">
      <c r="B430" s="219"/>
      <c r="C430" s="251"/>
      <c r="H430" s="284"/>
    </row>
    <row r="431" spans="1:8" x14ac:dyDescent="0.25">
      <c r="B431" s="252" t="s">
        <v>588</v>
      </c>
      <c r="C431" s="251"/>
      <c r="H431" s="284"/>
    </row>
    <row r="432" spans="1:8" x14ac:dyDescent="0.25">
      <c r="B432" s="244"/>
      <c r="C432" s="251"/>
      <c r="H432" s="284"/>
    </row>
    <row r="433" spans="1:9" x14ac:dyDescent="0.25">
      <c r="A433" s="206" t="s">
        <v>2</v>
      </c>
      <c r="B433" s="253" t="s">
        <v>589</v>
      </c>
      <c r="C433" s="205">
        <f>C423</f>
        <v>15</v>
      </c>
      <c r="D433" s="206" t="s">
        <v>511</v>
      </c>
      <c r="E433" s="304">
        <v>5500</v>
      </c>
      <c r="F433" s="207">
        <f>C433*E433</f>
        <v>82500</v>
      </c>
      <c r="H433" s="284"/>
    </row>
    <row r="434" spans="1:9" ht="14.25" customHeight="1" x14ac:dyDescent="0.25">
      <c r="B434" s="254"/>
      <c r="H434" s="284"/>
    </row>
    <row r="435" spans="1:9" x14ac:dyDescent="0.25">
      <c r="A435" s="206" t="s">
        <v>4</v>
      </c>
      <c r="B435" s="233" t="s">
        <v>590</v>
      </c>
      <c r="C435" s="205">
        <f>C415</f>
        <v>89</v>
      </c>
      <c r="D435" s="206" t="s">
        <v>511</v>
      </c>
      <c r="E435" s="304">
        <f>E433</f>
        <v>5500</v>
      </c>
      <c r="F435" s="207">
        <f>C435*E435</f>
        <v>489500</v>
      </c>
      <c r="H435" s="284"/>
    </row>
    <row r="436" spans="1:9" ht="12" customHeight="1" x14ac:dyDescent="0.25">
      <c r="B436" s="233"/>
      <c r="H436" s="284"/>
    </row>
    <row r="437" spans="1:9" x14ac:dyDescent="0.25">
      <c r="A437" s="206" t="s">
        <v>5</v>
      </c>
      <c r="B437" s="233" t="s">
        <v>591</v>
      </c>
      <c r="D437" s="206" t="s">
        <v>3</v>
      </c>
      <c r="E437" s="304">
        <v>24000</v>
      </c>
      <c r="F437" s="207">
        <f>C437*E437</f>
        <v>0</v>
      </c>
      <c r="H437" s="284"/>
    </row>
    <row r="438" spans="1:9" x14ac:dyDescent="0.25">
      <c r="B438" s="233"/>
      <c r="H438" s="284"/>
    </row>
    <row r="439" spans="1:9" s="269" customFormat="1" x14ac:dyDescent="0.25">
      <c r="A439" s="265"/>
      <c r="B439" s="266" t="s">
        <v>615</v>
      </c>
      <c r="C439" s="267"/>
      <c r="D439" s="265"/>
      <c r="E439" s="304"/>
      <c r="F439" s="268"/>
      <c r="I439" s="259"/>
    </row>
    <row r="440" spans="1:9" s="269" customFormat="1" ht="30" x14ac:dyDescent="0.25">
      <c r="A440" s="265"/>
      <c r="B440" s="270" t="s">
        <v>616</v>
      </c>
      <c r="C440" s="267"/>
      <c r="D440" s="265"/>
      <c r="E440" s="304"/>
      <c r="F440" s="268"/>
      <c r="I440" s="259"/>
    </row>
    <row r="441" spans="1:9" s="269" customFormat="1" x14ac:dyDescent="0.25">
      <c r="A441" s="265" t="s">
        <v>6</v>
      </c>
      <c r="B441" s="233" t="s">
        <v>24</v>
      </c>
      <c r="C441" s="262">
        <f>C435</f>
        <v>89</v>
      </c>
      <c r="D441" s="265" t="s">
        <v>35</v>
      </c>
      <c r="E441" s="304">
        <v>1400</v>
      </c>
      <c r="F441" s="268">
        <f>E441*C441</f>
        <v>124600</v>
      </c>
      <c r="I441" s="259"/>
    </row>
    <row r="442" spans="1:9" s="269" customFormat="1" x14ac:dyDescent="0.25">
      <c r="A442" s="265"/>
      <c r="B442" s="233"/>
      <c r="C442" s="262"/>
      <c r="D442" s="265"/>
      <c r="E442" s="304"/>
      <c r="F442" s="268"/>
      <c r="I442" s="259"/>
    </row>
    <row r="443" spans="1:9" s="269" customFormat="1" ht="24" customHeight="1" x14ac:dyDescent="0.25">
      <c r="A443" s="265" t="s">
        <v>7</v>
      </c>
      <c r="B443" s="214" t="s">
        <v>584</v>
      </c>
      <c r="C443" s="262">
        <f>C425</f>
        <v>0</v>
      </c>
      <c r="D443" s="265" t="s">
        <v>22</v>
      </c>
      <c r="E443" s="304">
        <v>590</v>
      </c>
      <c r="F443" s="268">
        <f>E443*C443</f>
        <v>0</v>
      </c>
      <c r="I443" s="259"/>
    </row>
    <row r="444" spans="1:9" x14ac:dyDescent="0.25">
      <c r="B444" s="211" t="s">
        <v>592</v>
      </c>
    </row>
    <row r="446" spans="1:9" ht="30" x14ac:dyDescent="0.25">
      <c r="B446" s="224" t="s">
        <v>681</v>
      </c>
    </row>
    <row r="448" spans="1:9" x14ac:dyDescent="0.25">
      <c r="A448" s="206" t="s">
        <v>8</v>
      </c>
      <c r="B448" s="233" t="s">
        <v>24</v>
      </c>
      <c r="C448" s="205">
        <f>C409</f>
        <v>89</v>
      </c>
      <c r="D448" s="206" t="s">
        <v>35</v>
      </c>
      <c r="E448" s="304">
        <v>2200</v>
      </c>
      <c r="F448" s="289">
        <f>C448*E448</f>
        <v>195800</v>
      </c>
      <c r="G448" s="289"/>
      <c r="H448" s="284"/>
    </row>
    <row r="449" spans="1:8" x14ac:dyDescent="0.25">
      <c r="B449" s="233"/>
      <c r="F449" s="289"/>
      <c r="G449" s="289"/>
      <c r="H449" s="284"/>
    </row>
    <row r="450" spans="1:8" x14ac:dyDescent="0.25">
      <c r="A450" s="206" t="s">
        <v>9</v>
      </c>
      <c r="B450" s="214" t="s">
        <v>584</v>
      </c>
      <c r="D450" s="206" t="s">
        <v>35</v>
      </c>
      <c r="E450" s="304">
        <f>E448</f>
        <v>2200</v>
      </c>
      <c r="F450" s="289">
        <f>C450*E450</f>
        <v>0</v>
      </c>
      <c r="G450" s="289"/>
      <c r="H450" s="284"/>
    </row>
    <row r="451" spans="1:8" x14ac:dyDescent="0.25">
      <c r="F451" s="289"/>
      <c r="G451" s="289"/>
      <c r="H451" s="284"/>
    </row>
    <row r="452" spans="1:8" x14ac:dyDescent="0.25">
      <c r="B452" s="220" t="s">
        <v>520</v>
      </c>
      <c r="C452" s="221"/>
      <c r="D452" s="209"/>
      <c r="E452" s="303" t="s">
        <v>15</v>
      </c>
      <c r="F452" s="286">
        <f>SUM(F429:F451)</f>
        <v>892400</v>
      </c>
      <c r="G452" s="286"/>
    </row>
    <row r="453" spans="1:8" x14ac:dyDescent="0.25">
      <c r="B453" s="220"/>
      <c r="C453" s="221"/>
      <c r="D453" s="209"/>
      <c r="E453" s="303"/>
      <c r="F453" s="286"/>
      <c r="G453" s="286"/>
    </row>
    <row r="454" spans="1:8" x14ac:dyDescent="0.25">
      <c r="B454" s="220"/>
      <c r="C454" s="221"/>
      <c r="D454" s="209"/>
      <c r="E454" s="303"/>
      <c r="F454" s="286"/>
      <c r="G454" s="286"/>
    </row>
    <row r="455" spans="1:8" x14ac:dyDescent="0.25">
      <c r="B455" s="210" t="s">
        <v>531</v>
      </c>
      <c r="F455" s="230"/>
      <c r="G455" s="230"/>
    </row>
    <row r="456" spans="1:8" x14ac:dyDescent="0.25">
      <c r="B456" s="219"/>
      <c r="F456" s="230"/>
      <c r="G456" s="230"/>
    </row>
    <row r="457" spans="1:8" x14ac:dyDescent="0.25">
      <c r="B457" s="231" t="s">
        <v>457</v>
      </c>
      <c r="E457" s="304">
        <f>F375</f>
        <v>5071720</v>
      </c>
      <c r="F457" s="230"/>
      <c r="G457" s="230"/>
    </row>
    <row r="458" spans="1:8" x14ac:dyDescent="0.25">
      <c r="B458" s="231"/>
      <c r="F458" s="230"/>
      <c r="G458" s="230"/>
    </row>
    <row r="459" spans="1:8" x14ac:dyDescent="0.25">
      <c r="B459" s="231" t="s">
        <v>458</v>
      </c>
      <c r="E459" s="304">
        <f>F426</f>
        <v>2629650</v>
      </c>
      <c r="F459" s="230"/>
      <c r="G459" s="230"/>
    </row>
    <row r="460" spans="1:8" x14ac:dyDescent="0.25">
      <c r="B460" s="231"/>
    </row>
    <row r="461" spans="1:8" x14ac:dyDescent="0.25">
      <c r="B461" s="231" t="s">
        <v>459</v>
      </c>
      <c r="E461" s="304">
        <f>F452</f>
        <v>892400</v>
      </c>
    </row>
    <row r="462" spans="1:8" x14ac:dyDescent="0.25">
      <c r="B462" s="233"/>
    </row>
    <row r="463" spans="1:8" x14ac:dyDescent="0.25">
      <c r="B463" s="233"/>
    </row>
    <row r="464" spans="1:8" x14ac:dyDescent="0.25">
      <c r="B464" s="233"/>
    </row>
    <row r="465" spans="1:10" x14ac:dyDescent="0.25">
      <c r="B465" s="233"/>
    </row>
    <row r="466" spans="1:10" x14ac:dyDescent="0.25">
      <c r="B466" s="233"/>
    </row>
    <row r="467" spans="1:10" x14ac:dyDescent="0.25">
      <c r="B467" s="233"/>
    </row>
    <row r="468" spans="1:10" x14ac:dyDescent="0.25">
      <c r="B468" s="233"/>
    </row>
    <row r="469" spans="1:10" x14ac:dyDescent="0.25">
      <c r="B469" s="233"/>
    </row>
    <row r="470" spans="1:10" x14ac:dyDescent="0.25">
      <c r="B470" s="210" t="s">
        <v>163</v>
      </c>
      <c r="F470" s="230"/>
      <c r="G470" s="230"/>
    </row>
    <row r="471" spans="1:10" x14ac:dyDescent="0.25">
      <c r="B471" s="220" t="s">
        <v>534</v>
      </c>
      <c r="C471" s="221"/>
      <c r="D471" s="209"/>
      <c r="E471" s="303" t="s">
        <v>15</v>
      </c>
      <c r="F471" s="286">
        <f>SUM(E455:E463)</f>
        <v>8593770</v>
      </c>
      <c r="G471" s="286"/>
    </row>
    <row r="472" spans="1:10" x14ac:dyDescent="0.25">
      <c r="B472" s="204" t="s">
        <v>593</v>
      </c>
      <c r="F472" s="230"/>
      <c r="G472" s="230"/>
    </row>
    <row r="473" spans="1:10" x14ac:dyDescent="0.25">
      <c r="F473" s="230"/>
      <c r="G473" s="230"/>
    </row>
    <row r="474" spans="1:10" x14ac:dyDescent="0.25">
      <c r="B474" s="210" t="s">
        <v>195</v>
      </c>
      <c r="F474" s="230"/>
      <c r="G474" s="230"/>
    </row>
    <row r="475" spans="1:10" x14ac:dyDescent="0.25">
      <c r="B475" s="210"/>
      <c r="F475" s="230"/>
      <c r="G475" s="230"/>
    </row>
    <row r="476" spans="1:10" x14ac:dyDescent="0.25">
      <c r="B476" s="211" t="s">
        <v>84</v>
      </c>
      <c r="C476" s="221"/>
      <c r="D476" s="209"/>
      <c r="E476" s="303"/>
      <c r="F476" s="286"/>
      <c r="G476" s="286"/>
    </row>
    <row r="477" spans="1:10" x14ac:dyDescent="0.25">
      <c r="B477" s="226"/>
      <c r="C477" s="221"/>
      <c r="D477" s="209"/>
      <c r="E477" s="303"/>
      <c r="F477" s="286"/>
      <c r="G477" s="286"/>
      <c r="J477" s="214"/>
    </row>
    <row r="478" spans="1:10" ht="30" x14ac:dyDescent="0.25">
      <c r="B478" s="224" t="s">
        <v>594</v>
      </c>
      <c r="C478" s="221"/>
      <c r="D478" s="209"/>
      <c r="E478" s="303"/>
      <c r="F478" s="286"/>
      <c r="G478" s="286"/>
      <c r="J478" s="214"/>
    </row>
    <row r="479" spans="1:10" x14ac:dyDescent="0.25">
      <c r="B479" s="224"/>
      <c r="C479" s="221"/>
      <c r="D479" s="209"/>
      <c r="E479" s="303"/>
      <c r="F479" s="286"/>
      <c r="G479" s="286"/>
      <c r="I479" s="208">
        <v>647</v>
      </c>
      <c r="J479" s="214"/>
    </row>
    <row r="480" spans="1:10" x14ac:dyDescent="0.25">
      <c r="A480" s="206" t="s">
        <v>2</v>
      </c>
      <c r="B480" s="214" t="s">
        <v>595</v>
      </c>
      <c r="C480" s="205">
        <f>'[30]Take off'!D474*2</f>
        <v>407.18999999999994</v>
      </c>
      <c r="D480" s="206" t="s">
        <v>511</v>
      </c>
      <c r="E480" s="304">
        <f>E409</f>
        <v>7500</v>
      </c>
      <c r="F480" s="289">
        <f>C480*E480</f>
        <v>3053924.9999999995</v>
      </c>
      <c r="G480" s="289"/>
      <c r="I480" s="255" t="e">
        <f>I479-#REF!</f>
        <v>#REF!</v>
      </c>
      <c r="J480" s="214"/>
    </row>
    <row r="481" spans="1:10" x14ac:dyDescent="0.25">
      <c r="B481" s="210"/>
      <c r="F481" s="291"/>
      <c r="G481" s="291"/>
      <c r="H481" s="284"/>
      <c r="J481" s="214"/>
    </row>
    <row r="482" spans="1:10" x14ac:dyDescent="0.25">
      <c r="A482" s="206" t="s">
        <v>4</v>
      </c>
      <c r="B482" s="214" t="s">
        <v>596</v>
      </c>
      <c r="D482" s="206" t="s">
        <v>511</v>
      </c>
      <c r="E482" s="304">
        <v>7000</v>
      </c>
      <c r="F482" s="289">
        <f>C482*E482</f>
        <v>0</v>
      </c>
      <c r="G482" s="289"/>
      <c r="J482" s="214"/>
    </row>
    <row r="483" spans="1:10" x14ac:dyDescent="0.25">
      <c r="C483" s="256"/>
      <c r="F483" s="257"/>
      <c r="G483" s="257"/>
      <c r="J483" s="214"/>
    </row>
    <row r="484" spans="1:10" x14ac:dyDescent="0.25">
      <c r="B484" s="211" t="s">
        <v>98</v>
      </c>
      <c r="F484" s="230"/>
      <c r="G484" s="230"/>
      <c r="J484" s="214"/>
    </row>
    <row r="485" spans="1:10" x14ac:dyDescent="0.25">
      <c r="F485" s="230"/>
      <c r="G485" s="230"/>
      <c r="J485" s="214"/>
    </row>
    <row r="486" spans="1:10" ht="17.25" customHeight="1" x14ac:dyDescent="0.25">
      <c r="B486" s="219" t="s">
        <v>666</v>
      </c>
      <c r="F486" s="230"/>
      <c r="G486" s="230"/>
      <c r="J486" s="214"/>
    </row>
    <row r="487" spans="1:10" ht="14.25" customHeight="1" x14ac:dyDescent="0.25">
      <c r="B487" s="219"/>
      <c r="F487" s="230"/>
      <c r="G487" s="230"/>
      <c r="J487" s="214"/>
    </row>
    <row r="488" spans="1:10" x14ac:dyDescent="0.25">
      <c r="A488" s="206" t="s">
        <v>5</v>
      </c>
      <c r="B488" s="214" t="s">
        <v>597</v>
      </c>
      <c r="C488" s="205">
        <f>'[30]Take off'!H475*2</f>
        <v>5.8454500000000005</v>
      </c>
      <c r="D488" s="206" t="s">
        <v>513</v>
      </c>
      <c r="E488" s="304">
        <f>E111</f>
        <v>94000</v>
      </c>
      <c r="F488" s="230">
        <f>C488*E488</f>
        <v>549472.30000000005</v>
      </c>
      <c r="G488" s="230"/>
      <c r="H488" s="284"/>
      <c r="J488" s="214"/>
    </row>
    <row r="489" spans="1:10" x14ac:dyDescent="0.25">
      <c r="F489" s="230"/>
      <c r="G489" s="230"/>
      <c r="J489" s="214"/>
    </row>
    <row r="490" spans="1:10" x14ac:dyDescent="0.25">
      <c r="B490" s="211" t="s">
        <v>102</v>
      </c>
      <c r="F490" s="230"/>
      <c r="G490" s="230"/>
      <c r="J490" s="214"/>
    </row>
    <row r="491" spans="1:10" ht="14.25" customHeight="1" x14ac:dyDescent="0.25">
      <c r="B491" s="219"/>
      <c r="F491" s="230"/>
      <c r="G491" s="230"/>
      <c r="J491" s="214"/>
    </row>
    <row r="492" spans="1:10" x14ac:dyDescent="0.25">
      <c r="B492" s="219" t="s">
        <v>598</v>
      </c>
      <c r="F492" s="230"/>
      <c r="G492" s="230"/>
      <c r="J492" s="214"/>
    </row>
    <row r="493" spans="1:10" ht="12.75" customHeight="1" x14ac:dyDescent="0.25">
      <c r="F493" s="230"/>
      <c r="G493" s="230"/>
      <c r="J493" s="214"/>
    </row>
    <row r="494" spans="1:10" x14ac:dyDescent="0.25">
      <c r="A494" s="206" t="s">
        <v>6</v>
      </c>
      <c r="B494" s="214" t="s">
        <v>571</v>
      </c>
      <c r="C494" s="205">
        <v>401</v>
      </c>
      <c r="D494" s="206" t="s">
        <v>75</v>
      </c>
      <c r="E494" s="304">
        <f>E351</f>
        <v>770</v>
      </c>
      <c r="F494" s="230">
        <f>C494*E494</f>
        <v>308770</v>
      </c>
      <c r="G494" s="230"/>
      <c r="H494" s="284"/>
      <c r="J494" s="214"/>
    </row>
    <row r="495" spans="1:10" x14ac:dyDescent="0.25">
      <c r="F495" s="230"/>
      <c r="G495" s="230"/>
      <c r="J495" s="214"/>
    </row>
    <row r="496" spans="1:10" x14ac:dyDescent="0.25">
      <c r="A496" s="206" t="s">
        <v>7</v>
      </c>
      <c r="B496" s="214" t="s">
        <v>599</v>
      </c>
      <c r="C496" s="205">
        <v>169</v>
      </c>
      <c r="D496" s="206" t="s">
        <v>75</v>
      </c>
      <c r="E496" s="304">
        <f>E494</f>
        <v>770</v>
      </c>
      <c r="F496" s="230">
        <f>C496*E496</f>
        <v>130130</v>
      </c>
      <c r="G496" s="230"/>
      <c r="H496" s="284"/>
      <c r="J496" s="214"/>
    </row>
    <row r="497" spans="1:10" ht="14.25" customHeight="1" x14ac:dyDescent="0.25">
      <c r="F497" s="230"/>
      <c r="G497" s="230"/>
      <c r="J497" s="214"/>
    </row>
    <row r="498" spans="1:10" x14ac:dyDescent="0.25">
      <c r="B498" s="211" t="s">
        <v>67</v>
      </c>
      <c r="F498" s="230"/>
      <c r="G498" s="230"/>
    </row>
    <row r="499" spans="1:10" ht="15" customHeight="1" x14ac:dyDescent="0.25">
      <c r="F499" s="230"/>
      <c r="G499" s="230"/>
    </row>
    <row r="500" spans="1:10" x14ac:dyDescent="0.25">
      <c r="B500" s="219" t="s">
        <v>120</v>
      </c>
      <c r="F500" s="230"/>
      <c r="G500" s="230"/>
    </row>
    <row r="501" spans="1:10" ht="9.75" customHeight="1" x14ac:dyDescent="0.25">
      <c r="F501" s="230"/>
      <c r="G501" s="230"/>
    </row>
    <row r="502" spans="1:10" x14ac:dyDescent="0.25">
      <c r="A502" s="206" t="s">
        <v>8</v>
      </c>
      <c r="B502" s="214" t="s">
        <v>600</v>
      </c>
      <c r="C502" s="205">
        <f>'[30]Take off'!L474*2</f>
        <v>76.245000000000005</v>
      </c>
      <c r="D502" s="206" t="s">
        <v>511</v>
      </c>
      <c r="E502" s="304">
        <f>E358</f>
        <v>6600</v>
      </c>
      <c r="F502" s="230">
        <f>C502*E502</f>
        <v>503217.00000000006</v>
      </c>
      <c r="G502" s="230"/>
      <c r="H502" s="284"/>
    </row>
    <row r="503" spans="1:10" x14ac:dyDescent="0.25">
      <c r="B503" s="219"/>
      <c r="F503" s="227"/>
      <c r="G503" s="227"/>
    </row>
    <row r="504" spans="1:10" x14ac:dyDescent="0.25">
      <c r="F504" s="261"/>
      <c r="G504" s="261"/>
    </row>
    <row r="505" spans="1:10" x14ac:dyDescent="0.25">
      <c r="F505" s="227"/>
      <c r="G505" s="227"/>
    </row>
    <row r="506" spans="1:10" x14ac:dyDescent="0.25">
      <c r="B506" s="219"/>
      <c r="F506" s="230"/>
      <c r="G506" s="230"/>
    </row>
    <row r="507" spans="1:10" x14ac:dyDescent="0.25">
      <c r="B507" s="219"/>
      <c r="F507" s="230"/>
      <c r="G507" s="230"/>
    </row>
    <row r="508" spans="1:10" x14ac:dyDescent="0.25">
      <c r="B508" s="224"/>
      <c r="F508" s="230"/>
      <c r="G508" s="230"/>
    </row>
    <row r="509" spans="1:10" x14ac:dyDescent="0.25">
      <c r="B509" s="224"/>
      <c r="F509" s="257"/>
      <c r="G509" s="257"/>
    </row>
    <row r="510" spans="1:10" x14ac:dyDescent="0.25">
      <c r="F510" s="257"/>
      <c r="G510" s="257"/>
    </row>
    <row r="511" spans="1:10" x14ac:dyDescent="0.25">
      <c r="F511" s="257"/>
      <c r="G511" s="257"/>
    </row>
    <row r="512" spans="1:10" x14ac:dyDescent="0.25">
      <c r="B512" s="210"/>
      <c r="F512" s="291"/>
      <c r="G512" s="291"/>
    </row>
    <row r="513" spans="1:20" x14ac:dyDescent="0.25">
      <c r="C513" s="256"/>
      <c r="F513" s="257"/>
      <c r="G513" s="257"/>
    </row>
    <row r="514" spans="1:20" x14ac:dyDescent="0.25">
      <c r="C514" s="256"/>
      <c r="F514" s="257"/>
      <c r="G514" s="257"/>
    </row>
    <row r="515" spans="1:20" x14ac:dyDescent="0.25">
      <c r="B515" s="210" t="s">
        <v>195</v>
      </c>
      <c r="C515" s="221"/>
      <c r="D515" s="209"/>
      <c r="E515" s="303"/>
      <c r="F515" s="235"/>
      <c r="G515" s="235"/>
    </row>
    <row r="516" spans="1:20" ht="18.75" customHeight="1" x14ac:dyDescent="0.25">
      <c r="B516" s="220" t="s">
        <v>534</v>
      </c>
      <c r="C516" s="221"/>
      <c r="D516" s="209"/>
      <c r="E516" s="303" t="s">
        <v>15</v>
      </c>
      <c r="F516" s="235">
        <f>SUM(F478:F515)</f>
        <v>4545514.3</v>
      </c>
      <c r="G516" s="235"/>
    </row>
    <row r="517" spans="1:20" x14ac:dyDescent="0.25">
      <c r="B517" s="210" t="s">
        <v>601</v>
      </c>
      <c r="F517" s="230"/>
      <c r="G517" s="230"/>
    </row>
    <row r="518" spans="1:20" ht="8.25" customHeight="1" x14ac:dyDescent="0.25">
      <c r="B518" s="220"/>
      <c r="F518" s="230"/>
      <c r="G518" s="230"/>
    </row>
    <row r="519" spans="1:20" x14ac:dyDescent="0.25">
      <c r="B519" s="210" t="s">
        <v>602</v>
      </c>
      <c r="F519" s="230"/>
      <c r="G519" s="230"/>
    </row>
    <row r="520" spans="1:20" ht="10.5" customHeight="1" x14ac:dyDescent="0.25">
      <c r="F520" s="230"/>
      <c r="G520" s="230"/>
    </row>
    <row r="521" spans="1:20" x14ac:dyDescent="0.25">
      <c r="B521" s="211" t="s">
        <v>203</v>
      </c>
      <c r="C521" s="221"/>
      <c r="D521" s="209"/>
      <c r="E521" s="303"/>
      <c r="F521" s="286"/>
      <c r="G521" s="286"/>
    </row>
    <row r="522" spans="1:20" ht="9" customHeight="1" x14ac:dyDescent="0.25">
      <c r="B522" s="220"/>
      <c r="C522" s="221"/>
      <c r="D522" s="209"/>
      <c r="E522" s="303"/>
      <c r="F522" s="286"/>
      <c r="G522" s="286"/>
    </row>
    <row r="523" spans="1:20" x14ac:dyDescent="0.25">
      <c r="B523" s="214" t="s">
        <v>603</v>
      </c>
      <c r="F523" s="230"/>
      <c r="G523" s="230"/>
    </row>
    <row r="524" spans="1:20" ht="91.5" customHeight="1" x14ac:dyDescent="0.25">
      <c r="B524" s="218" t="s">
        <v>708</v>
      </c>
      <c r="G524" s="230">
        <v>175000</v>
      </c>
      <c r="K524" s="214"/>
      <c r="L524" s="206"/>
      <c r="M524" s="206"/>
      <c r="P524" s="214"/>
      <c r="Q524" s="214"/>
      <c r="R524" s="214"/>
      <c r="S524" s="214"/>
      <c r="T524" s="214"/>
    </row>
    <row r="525" spans="1:20" ht="14.25" customHeight="1" x14ac:dyDescent="0.25">
      <c r="A525" s="206" t="s">
        <v>2</v>
      </c>
      <c r="B525" s="214" t="s">
        <v>886</v>
      </c>
      <c r="C525" s="205">
        <v>28</v>
      </c>
      <c r="D525" s="206" t="s">
        <v>3</v>
      </c>
      <c r="E525" s="304">
        <v>472500.00000000006</v>
      </c>
      <c r="F525" s="230">
        <f>E525*C525</f>
        <v>13230000.000000002</v>
      </c>
      <c r="G525" s="207">
        <f>1.8*1.5</f>
        <v>2.7</v>
      </c>
      <c r="H525" s="208">
        <f>G525*$G$524</f>
        <v>472500.00000000006</v>
      </c>
      <c r="I525" s="214"/>
      <c r="J525" s="214"/>
      <c r="K525" s="214"/>
      <c r="L525" s="214"/>
      <c r="M525" s="214"/>
      <c r="N525" s="214"/>
      <c r="O525" s="258"/>
      <c r="P525" s="259"/>
      <c r="Q525" s="259"/>
      <c r="R525" s="214"/>
    </row>
    <row r="526" spans="1:20" ht="14.25" customHeight="1" x14ac:dyDescent="0.25">
      <c r="F526" s="230"/>
      <c r="I526" s="214"/>
      <c r="J526" s="214"/>
      <c r="K526" s="214"/>
      <c r="L526" s="214"/>
      <c r="M526" s="214"/>
      <c r="N526" s="214"/>
      <c r="O526" s="258"/>
      <c r="P526" s="259"/>
      <c r="Q526" s="259"/>
      <c r="R526" s="214"/>
    </row>
    <row r="527" spans="1:20" ht="14.25" customHeight="1" x14ac:dyDescent="0.25">
      <c r="A527" s="206" t="s">
        <v>4</v>
      </c>
      <c r="B527" s="214" t="s">
        <v>887</v>
      </c>
      <c r="C527" s="205">
        <v>14</v>
      </c>
      <c r="D527" s="206" t="s">
        <v>3</v>
      </c>
      <c r="E527" s="304">
        <v>314999.99999999994</v>
      </c>
      <c r="F527" s="230">
        <f>E527*C527</f>
        <v>4409999.9999999991</v>
      </c>
      <c r="G527" s="207">
        <f>1.2*1.5</f>
        <v>1.7999999999999998</v>
      </c>
      <c r="H527" s="208">
        <f>G527*$G$524</f>
        <v>314999.99999999994</v>
      </c>
      <c r="I527" s="214"/>
      <c r="J527" s="214"/>
      <c r="K527" s="214"/>
      <c r="L527" s="214"/>
      <c r="M527" s="214"/>
      <c r="N527" s="214"/>
      <c r="O527" s="258"/>
      <c r="P527" s="259"/>
      <c r="Q527" s="259"/>
      <c r="R527" s="214"/>
    </row>
    <row r="528" spans="1:20" ht="14.25" customHeight="1" x14ac:dyDescent="0.25">
      <c r="F528" s="230"/>
      <c r="I528" s="214"/>
      <c r="J528" s="214"/>
      <c r="K528" s="214"/>
      <c r="L528" s="214"/>
      <c r="M528" s="214"/>
      <c r="N528" s="214"/>
      <c r="O528" s="214"/>
      <c r="P528" s="259"/>
      <c r="Q528" s="259"/>
      <c r="R528" s="214"/>
    </row>
    <row r="529" spans="1:20" ht="14.25" customHeight="1" x14ac:dyDescent="0.25">
      <c r="A529" s="206" t="s">
        <v>5</v>
      </c>
      <c r="B529" s="214" t="s">
        <v>888</v>
      </c>
      <c r="C529" s="205">
        <v>8</v>
      </c>
      <c r="D529" s="206" t="s">
        <v>3</v>
      </c>
      <c r="E529" s="304">
        <v>63000</v>
      </c>
      <c r="F529" s="230">
        <f>E529*C529</f>
        <v>504000</v>
      </c>
      <c r="G529" s="207">
        <f>0.6*0.6</f>
        <v>0.36</v>
      </c>
      <c r="H529" s="208">
        <f>G529*$G$524</f>
        <v>63000</v>
      </c>
      <c r="I529" s="214"/>
      <c r="J529" s="214"/>
      <c r="K529" s="214"/>
      <c r="L529" s="214"/>
      <c r="M529" s="214"/>
      <c r="N529" s="214"/>
      <c r="O529" s="258"/>
      <c r="P529" s="259"/>
      <c r="Q529" s="259"/>
      <c r="R529" s="214"/>
    </row>
    <row r="530" spans="1:20" ht="14.25" customHeight="1" x14ac:dyDescent="0.25">
      <c r="F530" s="230"/>
      <c r="I530" s="214"/>
      <c r="J530" s="214"/>
      <c r="K530" s="214"/>
      <c r="L530" s="214"/>
      <c r="M530" s="214"/>
      <c r="N530" s="214"/>
      <c r="O530" s="214"/>
      <c r="P530" s="259"/>
      <c r="Q530" s="259"/>
      <c r="R530" s="214"/>
    </row>
    <row r="531" spans="1:20" ht="14.25" customHeight="1" x14ac:dyDescent="0.25">
      <c r="F531" s="230"/>
      <c r="I531" s="214"/>
      <c r="J531" s="214"/>
      <c r="K531" s="214"/>
      <c r="L531" s="214"/>
      <c r="M531" s="214"/>
      <c r="N531" s="214"/>
      <c r="O531" s="214"/>
      <c r="P531" s="259"/>
      <c r="Q531" s="259"/>
      <c r="R531" s="214"/>
    </row>
    <row r="532" spans="1:20" x14ac:dyDescent="0.25">
      <c r="B532" s="234" t="s">
        <v>682</v>
      </c>
      <c r="G532" s="230">
        <v>5000</v>
      </c>
      <c r="K532" s="214"/>
      <c r="L532" s="206"/>
      <c r="M532" s="206"/>
      <c r="P532" s="214"/>
      <c r="Q532" s="214"/>
      <c r="R532" s="214"/>
      <c r="S532" s="214"/>
      <c r="T532" s="214"/>
    </row>
    <row r="533" spans="1:20" ht="19.149999999999999" customHeight="1" x14ac:dyDescent="0.25">
      <c r="A533" s="206" t="s">
        <v>6</v>
      </c>
      <c r="B533" s="214" t="s">
        <v>886</v>
      </c>
      <c r="C533" s="205">
        <f>C525</f>
        <v>28</v>
      </c>
      <c r="D533" s="206" t="s">
        <v>3</v>
      </c>
      <c r="E533" s="304">
        <v>33000</v>
      </c>
      <c r="F533" s="230">
        <f>E533*C533</f>
        <v>924000</v>
      </c>
      <c r="G533" s="207">
        <f>(1.8+1.5)*2</f>
        <v>6.6</v>
      </c>
      <c r="H533" s="208">
        <f t="shared" ref="H533:H538" si="1">G533*$G$532</f>
        <v>33000</v>
      </c>
      <c r="I533" s="214"/>
      <c r="J533" s="214"/>
      <c r="K533" s="214"/>
      <c r="L533" s="214"/>
      <c r="M533" s="214"/>
      <c r="N533" s="214"/>
      <c r="O533" s="258"/>
      <c r="P533" s="259"/>
      <c r="Q533" s="259"/>
      <c r="R533" s="214"/>
    </row>
    <row r="534" spans="1:20" ht="14.25" customHeight="1" x14ac:dyDescent="0.25">
      <c r="F534" s="230"/>
      <c r="H534" s="208">
        <f t="shared" si="1"/>
        <v>0</v>
      </c>
      <c r="I534" s="214"/>
      <c r="J534" s="214"/>
      <c r="K534" s="214"/>
      <c r="L534" s="214"/>
      <c r="M534" s="214"/>
      <c r="N534" s="214"/>
      <c r="O534" s="258"/>
      <c r="P534" s="259"/>
      <c r="Q534" s="259"/>
      <c r="R534" s="214"/>
    </row>
    <row r="535" spans="1:20" ht="14.25" customHeight="1" x14ac:dyDescent="0.25">
      <c r="A535" s="206" t="s">
        <v>7</v>
      </c>
      <c r="B535" s="214" t="s">
        <v>887</v>
      </c>
      <c r="C535" s="205">
        <f>C527</f>
        <v>14</v>
      </c>
      <c r="D535" s="206" t="s">
        <v>3</v>
      </c>
      <c r="E535" s="304">
        <v>27000</v>
      </c>
      <c r="F535" s="230">
        <f>E535*C535</f>
        <v>378000</v>
      </c>
      <c r="G535" s="207">
        <f>(1.2+1.5)*2</f>
        <v>5.4</v>
      </c>
      <c r="H535" s="208">
        <f t="shared" si="1"/>
        <v>27000</v>
      </c>
      <c r="I535" s="214"/>
      <c r="J535" s="214"/>
      <c r="K535" s="214"/>
      <c r="L535" s="214"/>
      <c r="M535" s="214"/>
      <c r="N535" s="214"/>
      <c r="O535" s="258"/>
      <c r="P535" s="259"/>
      <c r="Q535" s="259"/>
      <c r="R535" s="214"/>
    </row>
    <row r="536" spans="1:20" ht="14.25" customHeight="1" x14ac:dyDescent="0.25">
      <c r="F536" s="230"/>
      <c r="H536" s="208">
        <f t="shared" si="1"/>
        <v>0</v>
      </c>
      <c r="I536" s="214"/>
      <c r="J536" s="214"/>
      <c r="K536" s="214"/>
      <c r="L536" s="214"/>
      <c r="M536" s="214"/>
      <c r="N536" s="214"/>
      <c r="O536" s="258"/>
      <c r="P536" s="259"/>
      <c r="Q536" s="259"/>
      <c r="R536" s="214"/>
    </row>
    <row r="537" spans="1:20" ht="14.25" customHeight="1" x14ac:dyDescent="0.25">
      <c r="A537" s="206" t="s">
        <v>8</v>
      </c>
      <c r="B537" s="214" t="s">
        <v>888</v>
      </c>
      <c r="C537" s="205">
        <f>C529</f>
        <v>8</v>
      </c>
      <c r="D537" s="206" t="s">
        <v>3</v>
      </c>
      <c r="E537" s="304">
        <v>12000</v>
      </c>
      <c r="F537" s="230">
        <f>E537*C537</f>
        <v>96000</v>
      </c>
      <c r="G537" s="207">
        <f>(0.6+0.6)*2</f>
        <v>2.4</v>
      </c>
      <c r="H537" s="208">
        <f t="shared" si="1"/>
        <v>12000</v>
      </c>
      <c r="I537" s="214"/>
      <c r="J537" s="214"/>
      <c r="K537" s="214"/>
      <c r="L537" s="214"/>
      <c r="M537" s="214"/>
      <c r="N537" s="214"/>
      <c r="O537" s="258"/>
      <c r="P537" s="259"/>
      <c r="Q537" s="259"/>
      <c r="R537" s="214"/>
    </row>
    <row r="538" spans="1:20" ht="14.25" customHeight="1" x14ac:dyDescent="0.25">
      <c r="F538" s="230"/>
      <c r="H538" s="208">
        <f t="shared" si="1"/>
        <v>0</v>
      </c>
      <c r="I538" s="214"/>
      <c r="J538" s="214"/>
      <c r="K538" s="214"/>
      <c r="L538" s="214"/>
      <c r="M538" s="214"/>
      <c r="N538" s="214"/>
      <c r="O538" s="258"/>
      <c r="P538" s="259"/>
      <c r="Q538" s="259"/>
      <c r="R538" s="214"/>
    </row>
    <row r="539" spans="1:20" x14ac:dyDescent="0.25">
      <c r="F539" s="230"/>
      <c r="G539" s="230"/>
      <c r="O539" s="223"/>
    </row>
    <row r="540" spans="1:20" ht="60" x14ac:dyDescent="0.25">
      <c r="B540" s="224" t="s">
        <v>889</v>
      </c>
      <c r="F540" s="230"/>
      <c r="G540" s="230"/>
    </row>
    <row r="541" spans="1:20" x14ac:dyDescent="0.25">
      <c r="B541" s="219"/>
      <c r="F541" s="230"/>
      <c r="G541" s="230">
        <v>185000</v>
      </c>
    </row>
    <row r="542" spans="1:20" ht="22.5" customHeight="1" x14ac:dyDescent="0.25">
      <c r="A542" s="206" t="s">
        <v>9</v>
      </c>
      <c r="B542" s="214" t="s">
        <v>890</v>
      </c>
      <c r="C542" s="205">
        <v>5</v>
      </c>
      <c r="D542" s="206" t="s">
        <v>3</v>
      </c>
      <c r="E542" s="384">
        <v>4693080</v>
      </c>
      <c r="F542" s="207">
        <f>E542*C542</f>
        <v>23465400</v>
      </c>
      <c r="G542" s="207">
        <f>(10.57*2.4)</f>
        <v>25.367999999999999</v>
      </c>
      <c r="H542" s="208">
        <f>G542*$G$541</f>
        <v>4693080</v>
      </c>
    </row>
    <row r="543" spans="1:20" x14ac:dyDescent="0.25">
      <c r="E543" s="384"/>
      <c r="F543" s="230"/>
      <c r="G543" s="230"/>
      <c r="O543" s="223"/>
    </row>
    <row r="544" spans="1:20" ht="22.5" customHeight="1" x14ac:dyDescent="0.25">
      <c r="A544" s="206" t="s">
        <v>10</v>
      </c>
      <c r="B544" s="214" t="s">
        <v>891</v>
      </c>
      <c r="C544" s="205">
        <v>11</v>
      </c>
      <c r="D544" s="206" t="s">
        <v>3</v>
      </c>
      <c r="E544" s="384">
        <v>2886000</v>
      </c>
      <c r="F544" s="207">
        <f>E544*C544</f>
        <v>31746000</v>
      </c>
      <c r="G544" s="207">
        <f>6.5*2.4</f>
        <v>15.6</v>
      </c>
      <c r="H544" s="208">
        <f>G544*$G$541</f>
        <v>2886000</v>
      </c>
    </row>
    <row r="545" spans="1:15" x14ac:dyDescent="0.25">
      <c r="E545" s="384"/>
      <c r="F545" s="230"/>
      <c r="G545" s="230"/>
      <c r="O545" s="223"/>
    </row>
    <row r="546" spans="1:15" ht="22.5" customHeight="1" x14ac:dyDescent="0.25">
      <c r="A546" s="206" t="s">
        <v>11</v>
      </c>
      <c r="B546" s="214" t="s">
        <v>892</v>
      </c>
      <c r="C546" s="205">
        <v>8</v>
      </c>
      <c r="D546" s="206" t="s">
        <v>3</v>
      </c>
      <c r="E546" s="384">
        <v>1411920</v>
      </c>
      <c r="F546" s="207">
        <f>E546*C546</f>
        <v>11295360</v>
      </c>
      <c r="G546" s="207">
        <f>3.18*2.4</f>
        <v>7.6319999999999997</v>
      </c>
      <c r="H546" s="208">
        <f t="shared" ref="H546:H556" si="2">G546*$G$541</f>
        <v>1411920</v>
      </c>
    </row>
    <row r="547" spans="1:15" x14ac:dyDescent="0.25">
      <c r="F547" s="230"/>
      <c r="G547" s="230"/>
      <c r="O547" s="223"/>
    </row>
    <row r="548" spans="1:15" ht="22.5" customHeight="1" x14ac:dyDescent="0.25">
      <c r="A548" s="206" t="s">
        <v>12</v>
      </c>
      <c r="B548" s="214" t="s">
        <v>893</v>
      </c>
      <c r="C548" s="205">
        <v>0</v>
      </c>
      <c r="D548" s="206" t="s">
        <v>3</v>
      </c>
      <c r="E548" s="304">
        <v>4528799.9999999991</v>
      </c>
      <c r="F548" s="207">
        <f>E548*C548</f>
        <v>0</v>
      </c>
      <c r="G548" s="207">
        <f>10.2*2.4</f>
        <v>24.479999999999997</v>
      </c>
      <c r="H548" s="208">
        <f t="shared" si="2"/>
        <v>4528799.9999999991</v>
      </c>
    </row>
    <row r="549" spans="1:15" x14ac:dyDescent="0.25">
      <c r="F549" s="230"/>
      <c r="G549" s="230"/>
      <c r="O549" s="223"/>
    </row>
    <row r="550" spans="1:15" ht="22.5" customHeight="1" x14ac:dyDescent="0.25">
      <c r="A550" s="206" t="s">
        <v>13</v>
      </c>
      <c r="B550" s="214" t="s">
        <v>894</v>
      </c>
      <c r="C550" s="205">
        <v>0</v>
      </c>
      <c r="D550" s="206" t="s">
        <v>3</v>
      </c>
      <c r="E550" s="304">
        <v>1420800</v>
      </c>
      <c r="F550" s="207">
        <f>E550*C550</f>
        <v>0</v>
      </c>
      <c r="G550" s="207">
        <f>3.2*2.4</f>
        <v>7.68</v>
      </c>
      <c r="H550" s="208">
        <f t="shared" si="2"/>
        <v>1420800</v>
      </c>
    </row>
    <row r="551" spans="1:15" x14ac:dyDescent="0.25">
      <c r="F551" s="230"/>
      <c r="G551" s="230"/>
      <c r="O551" s="223"/>
    </row>
    <row r="552" spans="1:15" ht="22.5" customHeight="1" x14ac:dyDescent="0.25">
      <c r="A552" s="206" t="s">
        <v>14</v>
      </c>
      <c r="B552" s="214" t="s">
        <v>895</v>
      </c>
      <c r="C552" s="205">
        <v>0</v>
      </c>
      <c r="D552" s="206" t="s">
        <v>3</v>
      </c>
      <c r="E552" s="304">
        <v>5283600</v>
      </c>
      <c r="F552" s="207">
        <f>E552*C552</f>
        <v>0</v>
      </c>
      <c r="G552" s="207">
        <f>11.9*2.4</f>
        <v>28.56</v>
      </c>
      <c r="H552" s="208">
        <f>G552*$G$541</f>
        <v>5283600</v>
      </c>
    </row>
    <row r="553" spans="1:15" x14ac:dyDescent="0.25">
      <c r="E553" s="304">
        <v>0</v>
      </c>
      <c r="F553" s="230"/>
      <c r="G553" s="230"/>
      <c r="H553" s="208">
        <f t="shared" si="2"/>
        <v>0</v>
      </c>
      <c r="O553" s="223"/>
    </row>
    <row r="554" spans="1:15" ht="22.5" customHeight="1" x14ac:dyDescent="0.25">
      <c r="A554" s="206" t="s">
        <v>15</v>
      </c>
      <c r="B554" s="214" t="s">
        <v>896</v>
      </c>
      <c r="C554" s="205">
        <v>0</v>
      </c>
      <c r="D554" s="206" t="s">
        <v>3</v>
      </c>
      <c r="E554" s="304">
        <v>1554000</v>
      </c>
      <c r="F554" s="207">
        <f>E554*C554</f>
        <v>0</v>
      </c>
      <c r="G554" s="207">
        <f>3.5*2.4</f>
        <v>8.4</v>
      </c>
      <c r="H554" s="208">
        <f t="shared" si="2"/>
        <v>1554000</v>
      </c>
    </row>
    <row r="555" spans="1:15" x14ac:dyDescent="0.25">
      <c r="E555" s="304">
        <v>0</v>
      </c>
      <c r="F555" s="230"/>
      <c r="G555" s="230"/>
      <c r="H555" s="208">
        <f t="shared" si="2"/>
        <v>0</v>
      </c>
      <c r="O555" s="223"/>
    </row>
    <row r="556" spans="1:15" ht="22.5" customHeight="1" x14ac:dyDescent="0.25">
      <c r="A556" s="206" t="s">
        <v>16</v>
      </c>
      <c r="B556" s="214" t="s">
        <v>897</v>
      </c>
      <c r="C556" s="205">
        <v>0</v>
      </c>
      <c r="D556" s="206" t="s">
        <v>3</v>
      </c>
      <c r="E556" s="304">
        <v>1975800</v>
      </c>
      <c r="F556" s="207">
        <f>E556*C556</f>
        <v>0</v>
      </c>
      <c r="G556" s="207">
        <f>4.45*2.4</f>
        <v>10.68</v>
      </c>
      <c r="H556" s="208">
        <f t="shared" si="2"/>
        <v>1975800</v>
      </c>
    </row>
    <row r="557" spans="1:15" ht="30" x14ac:dyDescent="0.25">
      <c r="B557" s="224" t="s">
        <v>704</v>
      </c>
      <c r="F557" s="230"/>
      <c r="G557" s="230"/>
      <c r="O557" s="223"/>
    </row>
    <row r="558" spans="1:15" ht="22.5" customHeight="1" x14ac:dyDescent="0.25">
      <c r="A558" s="206" t="s">
        <v>17</v>
      </c>
      <c r="B558" s="214" t="s">
        <v>898</v>
      </c>
      <c r="C558" s="205">
        <v>1</v>
      </c>
      <c r="D558" s="206" t="s">
        <v>3</v>
      </c>
      <c r="E558" s="306">
        <v>380000</v>
      </c>
      <c r="F558" s="207">
        <f>E558*C558</f>
        <v>380000</v>
      </c>
    </row>
    <row r="559" spans="1:15" ht="22.5" customHeight="1" x14ac:dyDescent="0.25">
      <c r="A559" s="206" t="s">
        <v>17</v>
      </c>
      <c r="B559" s="214" t="s">
        <v>705</v>
      </c>
      <c r="C559" s="205">
        <v>2</v>
      </c>
      <c r="D559" s="206" t="s">
        <v>3</v>
      </c>
      <c r="E559" s="384">
        <v>380000</v>
      </c>
      <c r="F559" s="207">
        <f>E559*C559</f>
        <v>760000</v>
      </c>
    </row>
    <row r="560" spans="1:15" x14ac:dyDescent="0.25">
      <c r="B560" s="210" t="s">
        <v>200</v>
      </c>
      <c r="F560" s="230"/>
      <c r="G560" s="230"/>
    </row>
    <row r="561" spans="1:8" x14ac:dyDescent="0.25">
      <c r="B561" s="220" t="s">
        <v>534</v>
      </c>
      <c r="C561" s="221"/>
      <c r="D561" s="209"/>
      <c r="E561" s="303" t="s">
        <v>15</v>
      </c>
      <c r="F561" s="235">
        <f>SUM(F521:F560)</f>
        <v>87188760</v>
      </c>
      <c r="G561" s="235"/>
    </row>
    <row r="562" spans="1:8" x14ac:dyDescent="0.25">
      <c r="B562" s="204" t="s">
        <v>604</v>
      </c>
      <c r="F562" s="230"/>
      <c r="G562" s="230"/>
    </row>
    <row r="563" spans="1:8" x14ac:dyDescent="0.25">
      <c r="F563" s="230"/>
      <c r="G563" s="230"/>
    </row>
    <row r="564" spans="1:8" x14ac:dyDescent="0.25">
      <c r="B564" s="210" t="s">
        <v>210</v>
      </c>
      <c r="F564" s="230"/>
      <c r="G564" s="230"/>
    </row>
    <row r="565" spans="1:8" ht="21" customHeight="1" x14ac:dyDescent="0.25">
      <c r="B565" s="210"/>
      <c r="F565" s="230"/>
      <c r="G565" s="230"/>
    </row>
    <row r="566" spans="1:8" x14ac:dyDescent="0.25">
      <c r="B566" s="211" t="s">
        <v>84</v>
      </c>
      <c r="C566" s="221"/>
      <c r="D566" s="209"/>
      <c r="E566" s="303"/>
      <c r="F566" s="286"/>
      <c r="G566" s="286"/>
    </row>
    <row r="567" spans="1:8" x14ac:dyDescent="0.25">
      <c r="B567" s="226"/>
      <c r="C567" s="221"/>
      <c r="D567" s="209"/>
      <c r="E567" s="303"/>
      <c r="F567" s="286"/>
      <c r="G567" s="286"/>
    </row>
    <row r="568" spans="1:8" ht="30" x14ac:dyDescent="0.25">
      <c r="B568" s="224" t="s">
        <v>594</v>
      </c>
      <c r="C568" s="221"/>
      <c r="D568" s="209"/>
      <c r="E568" s="303"/>
      <c r="F568" s="286"/>
      <c r="G568" s="286"/>
    </row>
    <row r="569" spans="1:8" x14ac:dyDescent="0.25">
      <c r="B569" s="224"/>
      <c r="C569" s="221"/>
      <c r="D569" s="209"/>
      <c r="E569" s="303"/>
      <c r="F569" s="286"/>
      <c r="G569" s="286"/>
    </row>
    <row r="570" spans="1:8" x14ac:dyDescent="0.25">
      <c r="A570" s="206" t="s">
        <v>2</v>
      </c>
      <c r="B570" s="214" t="s">
        <v>595</v>
      </c>
      <c r="C570" s="205">
        <f>'[30]Take off'!D704*2+102</f>
        <v>415.62</v>
      </c>
      <c r="D570" s="206" t="s">
        <v>511</v>
      </c>
      <c r="E570" s="304">
        <f>E480</f>
        <v>7500</v>
      </c>
      <c r="F570" s="289">
        <f>C570*E570</f>
        <v>3117150</v>
      </c>
      <c r="G570" s="289"/>
    </row>
    <row r="571" spans="1:8" x14ac:dyDescent="0.25">
      <c r="B571" s="210"/>
      <c r="F571" s="291"/>
      <c r="G571" s="291"/>
    </row>
    <row r="572" spans="1:8" x14ac:dyDescent="0.25">
      <c r="A572" s="206" t="s">
        <v>4</v>
      </c>
      <c r="B572" s="214" t="s">
        <v>596</v>
      </c>
      <c r="C572" s="205">
        <v>32</v>
      </c>
      <c r="D572" s="206" t="s">
        <v>511</v>
      </c>
      <c r="E572" s="304">
        <f>E482</f>
        <v>7000</v>
      </c>
      <c r="F572" s="289">
        <f>C572*E572</f>
        <v>224000</v>
      </c>
      <c r="G572" s="289"/>
    </row>
    <row r="573" spans="1:8" x14ac:dyDescent="0.25">
      <c r="C573" s="256"/>
      <c r="F573" s="257"/>
      <c r="G573" s="257"/>
    </row>
    <row r="574" spans="1:8" x14ac:dyDescent="0.25">
      <c r="B574" s="211" t="s">
        <v>98</v>
      </c>
      <c r="F574" s="230"/>
      <c r="G574" s="230"/>
      <c r="H574" s="284"/>
    </row>
    <row r="575" spans="1:8" x14ac:dyDescent="0.25">
      <c r="F575" s="230"/>
      <c r="G575" s="230"/>
    </row>
    <row r="576" spans="1:8" x14ac:dyDescent="0.25">
      <c r="B576" s="219" t="s">
        <v>666</v>
      </c>
      <c r="F576" s="230"/>
      <c r="G576" s="230"/>
    </row>
    <row r="577" spans="1:7" x14ac:dyDescent="0.25">
      <c r="F577" s="230"/>
      <c r="G577" s="230"/>
    </row>
    <row r="578" spans="1:7" x14ac:dyDescent="0.25">
      <c r="A578" s="206" t="s">
        <v>5</v>
      </c>
      <c r="B578" s="214" t="s">
        <v>597</v>
      </c>
      <c r="C578" s="205">
        <f>'[30]Take off'!H705*2</f>
        <v>2</v>
      </c>
      <c r="D578" s="206" t="s">
        <v>513</v>
      </c>
      <c r="E578" s="304">
        <f>E488</f>
        <v>94000</v>
      </c>
      <c r="F578" s="230">
        <f>C578*E578</f>
        <v>188000</v>
      </c>
      <c r="G578" s="230"/>
    </row>
    <row r="579" spans="1:7" x14ac:dyDescent="0.25">
      <c r="F579" s="230"/>
      <c r="G579" s="230"/>
    </row>
    <row r="580" spans="1:7" x14ac:dyDescent="0.25">
      <c r="B580" s="211" t="s">
        <v>102</v>
      </c>
      <c r="F580" s="230"/>
      <c r="G580" s="230"/>
    </row>
    <row r="581" spans="1:7" x14ac:dyDescent="0.25">
      <c r="B581" s="219"/>
      <c r="F581" s="230"/>
      <c r="G581" s="230"/>
    </row>
    <row r="582" spans="1:7" x14ac:dyDescent="0.25">
      <c r="B582" s="219" t="s">
        <v>598</v>
      </c>
      <c r="F582" s="230"/>
      <c r="G582" s="230"/>
    </row>
    <row r="583" spans="1:7" x14ac:dyDescent="0.25">
      <c r="F583" s="230"/>
      <c r="G583" s="230"/>
    </row>
    <row r="584" spans="1:7" x14ac:dyDescent="0.25">
      <c r="A584" s="206" t="s">
        <v>6</v>
      </c>
      <c r="B584" s="214" t="s">
        <v>571</v>
      </c>
      <c r="C584" s="205">
        <v>134</v>
      </c>
      <c r="D584" s="206" t="s">
        <v>75</v>
      </c>
      <c r="E584" s="304">
        <f>E494</f>
        <v>770</v>
      </c>
      <c r="F584" s="230">
        <f>C584*E584</f>
        <v>103180</v>
      </c>
      <c r="G584" s="230"/>
    </row>
    <row r="585" spans="1:7" x14ac:dyDescent="0.25">
      <c r="F585" s="230"/>
      <c r="G585" s="230"/>
    </row>
    <row r="586" spans="1:7" x14ac:dyDescent="0.25">
      <c r="A586" s="206" t="s">
        <v>7</v>
      </c>
      <c r="B586" s="214" t="s">
        <v>599</v>
      </c>
      <c r="C586" s="205">
        <v>56</v>
      </c>
      <c r="D586" s="206" t="s">
        <v>75</v>
      </c>
      <c r="E586" s="304">
        <f>E584</f>
        <v>770</v>
      </c>
      <c r="F586" s="230">
        <f>C586*E586</f>
        <v>43120</v>
      </c>
      <c r="G586" s="230"/>
    </row>
    <row r="587" spans="1:7" x14ac:dyDescent="0.25">
      <c r="F587" s="230"/>
      <c r="G587" s="230"/>
    </row>
    <row r="588" spans="1:7" x14ac:dyDescent="0.25">
      <c r="B588" s="211" t="s">
        <v>67</v>
      </c>
      <c r="F588" s="230"/>
      <c r="G588" s="230"/>
    </row>
    <row r="589" spans="1:7" x14ac:dyDescent="0.25">
      <c r="F589" s="230"/>
      <c r="G589" s="230"/>
    </row>
    <row r="590" spans="1:7" x14ac:dyDescent="0.25">
      <c r="B590" s="219" t="s">
        <v>120</v>
      </c>
      <c r="F590" s="230"/>
      <c r="G590" s="230"/>
    </row>
    <row r="591" spans="1:7" x14ac:dyDescent="0.25">
      <c r="F591" s="230"/>
      <c r="G591" s="230"/>
    </row>
    <row r="592" spans="1:7" x14ac:dyDescent="0.25">
      <c r="A592" s="206" t="s">
        <v>8</v>
      </c>
      <c r="B592" s="214" t="s">
        <v>600</v>
      </c>
      <c r="C592" s="205">
        <f>'[30]Take off'!L704*2</f>
        <v>20.079000000000001</v>
      </c>
      <c r="D592" s="206" t="s">
        <v>511</v>
      </c>
      <c r="E592" s="304">
        <f>E502</f>
        <v>6600</v>
      </c>
      <c r="F592" s="230">
        <f>C592*E592</f>
        <v>132521.4</v>
      </c>
      <c r="G592" s="230"/>
    </row>
    <row r="593" spans="2:7" x14ac:dyDescent="0.25">
      <c r="B593" s="219"/>
      <c r="F593" s="227"/>
      <c r="G593" s="227"/>
    </row>
    <row r="594" spans="2:7" x14ac:dyDescent="0.25">
      <c r="F594" s="227"/>
      <c r="G594" s="227"/>
    </row>
    <row r="595" spans="2:7" x14ac:dyDescent="0.25">
      <c r="B595" s="224"/>
      <c r="F595" s="227"/>
      <c r="G595" s="227"/>
    </row>
    <row r="596" spans="2:7" x14ac:dyDescent="0.25">
      <c r="B596" s="224"/>
      <c r="F596" s="227"/>
      <c r="G596" s="227"/>
    </row>
    <row r="597" spans="2:7" x14ac:dyDescent="0.25">
      <c r="F597" s="261"/>
      <c r="G597" s="261"/>
    </row>
    <row r="598" spans="2:7" x14ac:dyDescent="0.25">
      <c r="F598" s="227"/>
      <c r="G598" s="227"/>
    </row>
    <row r="599" spans="2:7" x14ac:dyDescent="0.25">
      <c r="F599" s="227"/>
      <c r="G599" s="227"/>
    </row>
    <row r="600" spans="2:7" x14ac:dyDescent="0.25">
      <c r="B600" s="219"/>
      <c r="F600" s="230"/>
      <c r="G600" s="230"/>
    </row>
    <row r="601" spans="2:7" x14ac:dyDescent="0.25">
      <c r="B601" s="219"/>
      <c r="F601" s="230"/>
      <c r="G601" s="230"/>
    </row>
    <row r="602" spans="2:7" x14ac:dyDescent="0.25">
      <c r="B602" s="224"/>
      <c r="F602" s="230"/>
      <c r="G602" s="230"/>
    </row>
    <row r="603" spans="2:7" x14ac:dyDescent="0.25">
      <c r="B603" s="224"/>
      <c r="F603" s="257"/>
      <c r="G603" s="257"/>
    </row>
    <row r="604" spans="2:7" x14ac:dyDescent="0.25">
      <c r="B604" s="224"/>
      <c r="F604" s="257"/>
      <c r="G604" s="257"/>
    </row>
    <row r="605" spans="2:7" x14ac:dyDescent="0.25">
      <c r="B605" s="224"/>
      <c r="F605" s="257"/>
      <c r="G605" s="257"/>
    </row>
    <row r="606" spans="2:7" x14ac:dyDescent="0.25">
      <c r="B606" s="224"/>
      <c r="F606" s="257"/>
      <c r="G606" s="257"/>
    </row>
    <row r="607" spans="2:7" x14ac:dyDescent="0.25">
      <c r="B607" s="210" t="s">
        <v>210</v>
      </c>
      <c r="C607" s="221"/>
      <c r="D607" s="209"/>
      <c r="E607" s="303"/>
      <c r="F607" s="235"/>
      <c r="G607" s="235"/>
    </row>
    <row r="608" spans="2:7" x14ac:dyDescent="0.25">
      <c r="B608" s="220" t="s">
        <v>534</v>
      </c>
      <c r="C608" s="221"/>
      <c r="D608" s="209"/>
      <c r="E608" s="303" t="s">
        <v>15</v>
      </c>
      <c r="F608" s="235">
        <f>SUM(F566:F607)</f>
        <v>3807971.4</v>
      </c>
      <c r="G608" s="235"/>
    </row>
    <row r="609" spans="1:7" x14ac:dyDescent="0.25">
      <c r="B609" s="210" t="s">
        <v>605</v>
      </c>
      <c r="F609" s="230"/>
      <c r="G609" s="230"/>
    </row>
    <row r="610" spans="1:7" x14ac:dyDescent="0.25">
      <c r="B610" s="220"/>
      <c r="F610" s="230"/>
      <c r="G610" s="230"/>
    </row>
    <row r="611" spans="1:7" x14ac:dyDescent="0.25">
      <c r="B611" s="210" t="s">
        <v>213</v>
      </c>
      <c r="F611" s="230"/>
      <c r="G611" s="230"/>
    </row>
    <row r="612" spans="1:7" x14ac:dyDescent="0.25">
      <c r="F612" s="230"/>
      <c r="G612" s="230"/>
    </row>
    <row r="613" spans="1:7" x14ac:dyDescent="0.25">
      <c r="B613" s="210" t="s">
        <v>606</v>
      </c>
      <c r="F613" s="230"/>
      <c r="G613" s="230"/>
    </row>
    <row r="614" spans="1:7" x14ac:dyDescent="0.25">
      <c r="F614" s="230"/>
      <c r="G614" s="230"/>
    </row>
    <row r="615" spans="1:7" ht="63" customHeight="1" x14ac:dyDescent="0.25">
      <c r="B615" s="224" t="s">
        <v>683</v>
      </c>
      <c r="F615" s="230"/>
      <c r="G615" s="230"/>
    </row>
    <row r="616" spans="1:7" x14ac:dyDescent="0.25">
      <c r="F616" s="289"/>
      <c r="G616" s="289"/>
    </row>
    <row r="617" spans="1:7" ht="22.5" customHeight="1" x14ac:dyDescent="0.25">
      <c r="A617" s="206" t="s">
        <v>2</v>
      </c>
      <c r="B617" s="214" t="s">
        <v>706</v>
      </c>
      <c r="D617" s="206" t="s">
        <v>3</v>
      </c>
      <c r="E617" s="306">
        <v>370000</v>
      </c>
      <c r="F617" s="207">
        <f>E617*C617</f>
        <v>0</v>
      </c>
    </row>
    <row r="618" spans="1:7" x14ac:dyDescent="0.25">
      <c r="F618" s="289"/>
      <c r="G618" s="289"/>
    </row>
    <row r="619" spans="1:7" ht="22.5" customHeight="1" x14ac:dyDescent="0.25">
      <c r="A619" s="206" t="s">
        <v>4</v>
      </c>
      <c r="B619" s="214" t="s">
        <v>705</v>
      </c>
      <c r="C619" s="205">
        <v>8</v>
      </c>
      <c r="D619" s="206" t="s">
        <v>3</v>
      </c>
      <c r="E619" s="306">
        <v>281000</v>
      </c>
      <c r="F619" s="207">
        <f>E619*C619</f>
        <v>2248000</v>
      </c>
    </row>
    <row r="620" spans="1:7" x14ac:dyDescent="0.25">
      <c r="B620" s="210"/>
    </row>
    <row r="621" spans="1:7" x14ac:dyDescent="0.25">
      <c r="A621" s="206" t="s">
        <v>5</v>
      </c>
      <c r="B621" s="214" t="s">
        <v>707</v>
      </c>
      <c r="C621" s="205">
        <v>12</v>
      </c>
      <c r="D621" s="206" t="s">
        <v>3</v>
      </c>
      <c r="E621" s="306">
        <f>E619</f>
        <v>281000</v>
      </c>
      <c r="F621" s="207">
        <f>E621*C621</f>
        <v>3372000</v>
      </c>
    </row>
    <row r="622" spans="1:7" x14ac:dyDescent="0.25">
      <c r="B622" s="210"/>
      <c r="F622" s="230"/>
      <c r="G622" s="230"/>
    </row>
    <row r="623" spans="1:7" x14ac:dyDescent="0.25">
      <c r="B623" s="219"/>
      <c r="F623" s="230"/>
      <c r="G623" s="230"/>
    </row>
    <row r="624" spans="1:7" x14ac:dyDescent="0.25">
      <c r="B624" s="219"/>
      <c r="F624" s="230"/>
      <c r="G624" s="230"/>
    </row>
    <row r="625" spans="1:8" x14ac:dyDescent="0.25">
      <c r="B625" s="219"/>
      <c r="F625" s="230"/>
      <c r="G625" s="230"/>
    </row>
    <row r="626" spans="1:8" x14ac:dyDescent="0.25">
      <c r="B626" s="219"/>
      <c r="F626" s="230"/>
      <c r="G626" s="230"/>
    </row>
    <row r="627" spans="1:8" x14ac:dyDescent="0.25">
      <c r="B627" s="219"/>
      <c r="F627" s="230"/>
      <c r="G627" s="230"/>
    </row>
    <row r="628" spans="1:8" x14ac:dyDescent="0.25">
      <c r="B628" s="210" t="s">
        <v>607</v>
      </c>
      <c r="C628" s="221"/>
      <c r="D628" s="209"/>
      <c r="E628" s="303"/>
      <c r="F628" s="235"/>
      <c r="G628" s="235"/>
    </row>
    <row r="629" spans="1:8" x14ac:dyDescent="0.25">
      <c r="B629" s="220" t="s">
        <v>534</v>
      </c>
      <c r="C629" s="221"/>
      <c r="D629" s="209"/>
      <c r="E629" s="303" t="s">
        <v>15</v>
      </c>
      <c r="F629" s="286">
        <f>SUM(F612:F628)</f>
        <v>5620000</v>
      </c>
      <c r="G629" s="286"/>
    </row>
    <row r="630" spans="1:8" x14ac:dyDescent="0.25">
      <c r="B630" s="210" t="s">
        <v>608</v>
      </c>
    </row>
    <row r="631" spans="1:8" x14ac:dyDescent="0.25">
      <c r="B631" s="220"/>
    </row>
    <row r="632" spans="1:8" x14ac:dyDescent="0.25">
      <c r="B632" s="210" t="s">
        <v>236</v>
      </c>
      <c r="C632" s="205" t="s">
        <v>20</v>
      </c>
      <c r="H632" s="284"/>
    </row>
    <row r="633" spans="1:8" x14ac:dyDescent="0.25">
      <c r="B633" s="219" t="s">
        <v>610</v>
      </c>
    </row>
    <row r="634" spans="1:8" ht="12.75" customHeight="1" x14ac:dyDescent="0.25"/>
    <row r="635" spans="1:8" x14ac:dyDescent="0.25">
      <c r="B635" s="211" t="s">
        <v>283</v>
      </c>
    </row>
    <row r="636" spans="1:8" ht="10.5" customHeight="1" x14ac:dyDescent="0.25">
      <c r="B636" s="224" t="s">
        <v>611</v>
      </c>
    </row>
    <row r="638" spans="1:8" x14ac:dyDescent="0.25">
      <c r="A638" s="206" t="s">
        <v>2</v>
      </c>
      <c r="B638" s="214" t="s">
        <v>612</v>
      </c>
      <c r="C638" s="205">
        <f>C570+C572*2+C480</f>
        <v>886.81</v>
      </c>
      <c r="D638" s="206" t="s">
        <v>35</v>
      </c>
      <c r="E638" s="304">
        <f>E415</f>
        <v>1890</v>
      </c>
      <c r="F638" s="207">
        <f>E638*C638</f>
        <v>1676070.9</v>
      </c>
      <c r="H638" s="263"/>
    </row>
    <row r="639" spans="1:8" ht="30" x14ac:dyDescent="0.25">
      <c r="A639" s="206" t="s">
        <v>4</v>
      </c>
      <c r="B639" s="218" t="s">
        <v>613</v>
      </c>
      <c r="C639" s="262">
        <v>62</v>
      </c>
      <c r="D639" s="206" t="s">
        <v>22</v>
      </c>
      <c r="E639" s="304">
        <v>2000</v>
      </c>
      <c r="F639" s="207">
        <f>E639*C639</f>
        <v>124000</v>
      </c>
      <c r="H639" s="263"/>
    </row>
    <row r="640" spans="1:8" x14ac:dyDescent="0.25">
      <c r="B640" s="210" t="s">
        <v>614</v>
      </c>
      <c r="H640" s="263"/>
    </row>
    <row r="641" spans="1:9" x14ac:dyDescent="0.25">
      <c r="B641" s="219" t="s">
        <v>615</v>
      </c>
      <c r="C641" s="256"/>
      <c r="H641" s="263"/>
    </row>
    <row r="642" spans="1:9" ht="30" x14ac:dyDescent="0.25">
      <c r="B642" s="246" t="s">
        <v>616</v>
      </c>
    </row>
    <row r="643" spans="1:9" x14ac:dyDescent="0.25">
      <c r="A643" s="206" t="s">
        <v>5</v>
      </c>
      <c r="B643" s="214" t="s">
        <v>617</v>
      </c>
      <c r="C643" s="205">
        <f>C638-C655</f>
        <v>524.80999999999995</v>
      </c>
      <c r="D643" s="206" t="s">
        <v>35</v>
      </c>
      <c r="E643" s="304">
        <f>E290</f>
        <v>1100</v>
      </c>
      <c r="F643" s="207">
        <f>E643*C643</f>
        <v>577290.99999999988</v>
      </c>
    </row>
    <row r="644" spans="1:9" ht="25.5" customHeight="1" x14ac:dyDescent="0.25">
      <c r="A644" s="206" t="s">
        <v>6</v>
      </c>
      <c r="B644" s="218" t="s">
        <v>618</v>
      </c>
      <c r="C644" s="205">
        <f>C639</f>
        <v>62</v>
      </c>
      <c r="D644" s="206" t="s">
        <v>22</v>
      </c>
      <c r="E644" s="304">
        <f>'[31]AJIWE STRIP MALL '!E708</f>
        <v>450</v>
      </c>
      <c r="F644" s="207">
        <f>E644*C644</f>
        <v>27900</v>
      </c>
    </row>
    <row r="645" spans="1:9" x14ac:dyDescent="0.25">
      <c r="B645" s="210" t="s">
        <v>152</v>
      </c>
    </row>
    <row r="646" spans="1:9" ht="30" x14ac:dyDescent="0.25">
      <c r="B646" s="224" t="s">
        <v>619</v>
      </c>
    </row>
    <row r="647" spans="1:9" x14ac:dyDescent="0.25">
      <c r="A647" s="206" t="s">
        <v>7</v>
      </c>
      <c r="B647" s="214" t="s">
        <v>612</v>
      </c>
      <c r="C647" s="205">
        <f>C643</f>
        <v>524.80999999999995</v>
      </c>
      <c r="D647" s="206" t="s">
        <v>35</v>
      </c>
      <c r="E647" s="304">
        <f>E300</f>
        <v>1500</v>
      </c>
      <c r="F647" s="207">
        <f>E647*C647</f>
        <v>787214.99999999988</v>
      </c>
    </row>
    <row r="648" spans="1:9" x14ac:dyDescent="0.25">
      <c r="A648" s="206" t="s">
        <v>8</v>
      </c>
      <c r="B648" s="214" t="s">
        <v>620</v>
      </c>
      <c r="C648" s="205">
        <f>C644</f>
        <v>62</v>
      </c>
      <c r="D648" s="206" t="s">
        <v>22</v>
      </c>
      <c r="E648" s="304">
        <f>'[31]AJIWE STRIP MALL '!E712</f>
        <v>550</v>
      </c>
      <c r="F648" s="207">
        <f>E648*C648</f>
        <v>34100</v>
      </c>
    </row>
    <row r="649" spans="1:9" ht="33" x14ac:dyDescent="0.25">
      <c r="B649" s="234" t="s">
        <v>621</v>
      </c>
    </row>
    <row r="650" spans="1:9" ht="60" x14ac:dyDescent="0.25">
      <c r="B650" s="218" t="s">
        <v>622</v>
      </c>
    </row>
    <row r="651" spans="1:9" x14ac:dyDescent="0.25">
      <c r="A651" s="206" t="s">
        <v>9</v>
      </c>
      <c r="B651" s="214" t="s">
        <v>623</v>
      </c>
      <c r="C651" s="205">
        <f>56*2</f>
        <v>112</v>
      </c>
      <c r="D651" s="206" t="s">
        <v>35</v>
      </c>
      <c r="E651" s="304">
        <v>7500</v>
      </c>
      <c r="F651" s="207">
        <f>E652*C651</f>
        <v>840000</v>
      </c>
    </row>
    <row r="652" spans="1:9" x14ac:dyDescent="0.25">
      <c r="A652" s="206" t="s">
        <v>10</v>
      </c>
      <c r="B652" s="214" t="s">
        <v>624</v>
      </c>
      <c r="C652" s="205">
        <f>125*2</f>
        <v>250</v>
      </c>
      <c r="D652" s="206" t="s">
        <v>35</v>
      </c>
      <c r="E652" s="304">
        <f>E651</f>
        <v>7500</v>
      </c>
      <c r="F652" s="207">
        <f>E652*C652</f>
        <v>1875000</v>
      </c>
      <c r="I652" s="263"/>
    </row>
    <row r="653" spans="1:9" ht="33" x14ac:dyDescent="0.25">
      <c r="B653" s="234" t="s">
        <v>625</v>
      </c>
    </row>
    <row r="654" spans="1:9" x14ac:dyDescent="0.25">
      <c r="B654" s="219" t="s">
        <v>626</v>
      </c>
      <c r="H654" s="284"/>
    </row>
    <row r="655" spans="1:9" x14ac:dyDescent="0.25">
      <c r="A655" s="206" t="s">
        <v>11</v>
      </c>
      <c r="B655" s="214" t="s">
        <v>627</v>
      </c>
      <c r="C655" s="205">
        <f>C651+C652</f>
        <v>362</v>
      </c>
      <c r="D655" s="206" t="s">
        <v>35</v>
      </c>
      <c r="E655" s="304">
        <f>2100</f>
        <v>2100</v>
      </c>
      <c r="F655" s="207">
        <f>E655*C655</f>
        <v>760200</v>
      </c>
    </row>
    <row r="656" spans="1:9" x14ac:dyDescent="0.25">
      <c r="B656" s="210" t="s">
        <v>628</v>
      </c>
      <c r="F656" s="230"/>
      <c r="G656" s="230"/>
    </row>
    <row r="657" spans="1:7" x14ac:dyDescent="0.25">
      <c r="B657" s="220" t="s">
        <v>629</v>
      </c>
      <c r="F657" s="230"/>
      <c r="G657" s="230"/>
    </row>
    <row r="658" spans="1:7" ht="30" x14ac:dyDescent="0.25">
      <c r="B658" s="224" t="s">
        <v>630</v>
      </c>
      <c r="F658" s="230"/>
      <c r="G658" s="230"/>
    </row>
    <row r="659" spans="1:7" ht="18" customHeight="1" x14ac:dyDescent="0.25">
      <c r="A659" s="206" t="s">
        <v>12</v>
      </c>
      <c r="B659" s="214" t="s">
        <v>612</v>
      </c>
      <c r="C659" s="205">
        <f>C480</f>
        <v>407.18999999999994</v>
      </c>
      <c r="D659" s="206" t="s">
        <v>35</v>
      </c>
      <c r="E659" s="304">
        <f>E638</f>
        <v>1890</v>
      </c>
      <c r="F659" s="207">
        <f>E659*C659</f>
        <v>769589.09999999986</v>
      </c>
    </row>
    <row r="660" spans="1:7" x14ac:dyDescent="0.25">
      <c r="A660" s="206" t="s">
        <v>13</v>
      </c>
      <c r="B660" s="233" t="s">
        <v>24</v>
      </c>
      <c r="C660" s="262">
        <f>C448</f>
        <v>89</v>
      </c>
      <c r="D660" s="206" t="s">
        <v>35</v>
      </c>
      <c r="E660" s="304">
        <f>E659</f>
        <v>1890</v>
      </c>
      <c r="F660" s="207">
        <f>E660*C660</f>
        <v>168210</v>
      </c>
    </row>
    <row r="661" spans="1:7" ht="30" x14ac:dyDescent="0.25">
      <c r="A661" s="206" t="s">
        <v>14</v>
      </c>
      <c r="B661" s="246" t="s">
        <v>631</v>
      </c>
      <c r="D661" s="206" t="s">
        <v>22</v>
      </c>
      <c r="E661" s="304">
        <f>E639</f>
        <v>2000</v>
      </c>
      <c r="F661" s="207">
        <f>E661*C661</f>
        <v>0</v>
      </c>
    </row>
    <row r="662" spans="1:7" x14ac:dyDescent="0.25">
      <c r="A662" s="206" t="s">
        <v>15</v>
      </c>
      <c r="B662" s="214" t="s">
        <v>684</v>
      </c>
      <c r="D662" s="206" t="s">
        <v>22</v>
      </c>
      <c r="E662" s="304">
        <f>'[31]AJIWE STRIP MALL '!E729</f>
        <v>400</v>
      </c>
      <c r="F662" s="207">
        <f>E662*C662</f>
        <v>0</v>
      </c>
    </row>
    <row r="663" spans="1:7" x14ac:dyDescent="0.25">
      <c r="A663" s="206" t="s">
        <v>16</v>
      </c>
      <c r="B663" s="233" t="s">
        <v>495</v>
      </c>
      <c r="D663" s="206" t="s">
        <v>22</v>
      </c>
      <c r="E663" s="304">
        <f>'[31]AJIWE STRIP MALL '!E730</f>
        <v>500</v>
      </c>
      <c r="F663" s="207">
        <f>E663*C663</f>
        <v>0</v>
      </c>
    </row>
    <row r="664" spans="1:7" x14ac:dyDescent="0.25">
      <c r="B664" s="233"/>
    </row>
    <row r="665" spans="1:7" x14ac:dyDescent="0.25">
      <c r="B665" s="233"/>
    </row>
    <row r="666" spans="1:7" x14ac:dyDescent="0.25">
      <c r="B666" s="220" t="s">
        <v>520</v>
      </c>
      <c r="C666" s="221"/>
      <c r="D666" s="209"/>
      <c r="E666" s="303" t="s">
        <v>15</v>
      </c>
      <c r="F666" s="222">
        <f>SUM(F633:F664)</f>
        <v>7639576</v>
      </c>
    </row>
    <row r="667" spans="1:7" ht="19.5" customHeight="1" x14ac:dyDescent="0.25">
      <c r="B667" s="210" t="s">
        <v>632</v>
      </c>
    </row>
    <row r="668" spans="1:7" ht="12.75" customHeight="1" x14ac:dyDescent="0.25">
      <c r="B668" s="233"/>
    </row>
    <row r="669" spans="1:7" ht="33" x14ac:dyDescent="0.25">
      <c r="B669" s="234" t="s">
        <v>621</v>
      </c>
      <c r="G669" s="208"/>
    </row>
    <row r="670" spans="1:7" ht="45" x14ac:dyDescent="0.25">
      <c r="B670" s="218" t="s">
        <v>488</v>
      </c>
      <c r="G670" s="208"/>
    </row>
    <row r="671" spans="1:7" x14ac:dyDescent="0.25">
      <c r="A671" s="206" t="s">
        <v>2</v>
      </c>
      <c r="B671" s="214" t="s">
        <v>633</v>
      </c>
      <c r="D671" s="206" t="s">
        <v>35</v>
      </c>
      <c r="E671" s="304">
        <v>8200</v>
      </c>
      <c r="F671" s="207">
        <f>E671*C671</f>
        <v>0</v>
      </c>
      <c r="G671" s="208"/>
    </row>
    <row r="672" spans="1:7" ht="33" x14ac:dyDescent="0.25">
      <c r="B672" s="264" t="s">
        <v>634</v>
      </c>
      <c r="G672" s="208"/>
    </row>
    <row r="673" spans="1:9" x14ac:dyDescent="0.25">
      <c r="B673" s="214" t="s">
        <v>626</v>
      </c>
      <c r="G673" s="208"/>
    </row>
    <row r="674" spans="1:9" x14ac:dyDescent="0.25">
      <c r="A674" s="206" t="s">
        <v>4</v>
      </c>
      <c r="B674" s="214" t="s">
        <v>627</v>
      </c>
      <c r="D674" s="206" t="s">
        <v>35</v>
      </c>
      <c r="E674" s="304">
        <v>2650</v>
      </c>
      <c r="F674" s="207">
        <f>E674*C674</f>
        <v>0</v>
      </c>
      <c r="G674" s="208"/>
    </row>
    <row r="675" spans="1:9" s="269" customFormat="1" x14ac:dyDescent="0.25">
      <c r="A675" s="265"/>
      <c r="B675" s="266" t="s">
        <v>615</v>
      </c>
      <c r="C675" s="267"/>
      <c r="D675" s="265"/>
      <c r="E675" s="304"/>
      <c r="F675" s="268"/>
      <c r="I675" s="259"/>
    </row>
    <row r="676" spans="1:9" s="269" customFormat="1" ht="30" x14ac:dyDescent="0.25">
      <c r="A676" s="265"/>
      <c r="B676" s="270" t="s">
        <v>616</v>
      </c>
      <c r="C676" s="267"/>
      <c r="D676" s="265"/>
      <c r="E676" s="304"/>
      <c r="F676" s="268"/>
      <c r="I676" s="259"/>
    </row>
    <row r="677" spans="1:9" s="269" customFormat="1" x14ac:dyDescent="0.25">
      <c r="A677" s="265" t="s">
        <v>5</v>
      </c>
      <c r="B677" s="269" t="s">
        <v>617</v>
      </c>
      <c r="C677" s="262">
        <f>C659</f>
        <v>407.18999999999994</v>
      </c>
      <c r="D677" s="265" t="s">
        <v>35</v>
      </c>
      <c r="E677" s="304">
        <f>E441</f>
        <v>1400</v>
      </c>
      <c r="F677" s="268">
        <f>E677*C677</f>
        <v>570065.99999999988</v>
      </c>
      <c r="I677" s="259"/>
    </row>
    <row r="678" spans="1:9" s="269" customFormat="1" ht="24" customHeight="1" x14ac:dyDescent="0.25">
      <c r="A678" s="265" t="s">
        <v>6</v>
      </c>
      <c r="B678" s="271" t="s">
        <v>618</v>
      </c>
      <c r="C678" s="262">
        <f>C661</f>
        <v>0</v>
      </c>
      <c r="D678" s="265" t="s">
        <v>22</v>
      </c>
      <c r="E678" s="304">
        <v>550</v>
      </c>
      <c r="F678" s="268">
        <f>E678*C678</f>
        <v>0</v>
      </c>
      <c r="I678" s="259"/>
    </row>
    <row r="679" spans="1:9" s="269" customFormat="1" x14ac:dyDescent="0.25">
      <c r="A679" s="265" t="s">
        <v>7</v>
      </c>
      <c r="B679" s="271" t="s">
        <v>636</v>
      </c>
      <c r="C679" s="262"/>
      <c r="D679" s="265" t="s">
        <v>35</v>
      </c>
      <c r="E679" s="304">
        <f>E677</f>
        <v>1400</v>
      </c>
      <c r="F679" s="268">
        <f>E679*C679</f>
        <v>0</v>
      </c>
      <c r="I679" s="259"/>
    </row>
    <row r="680" spans="1:9" x14ac:dyDescent="0.25">
      <c r="A680" s="206" t="s">
        <v>8</v>
      </c>
      <c r="B680" s="233" t="s">
        <v>495</v>
      </c>
      <c r="D680" s="206" t="s">
        <v>22</v>
      </c>
      <c r="E680" s="304">
        <f>E678</f>
        <v>550</v>
      </c>
      <c r="F680" s="207">
        <f>E680*C680</f>
        <v>0</v>
      </c>
    </row>
    <row r="681" spans="1:9" s="269" customFormat="1" x14ac:dyDescent="0.25">
      <c r="A681" s="265"/>
      <c r="B681" s="271"/>
      <c r="C681" s="262"/>
      <c r="D681" s="265"/>
      <c r="E681" s="304"/>
      <c r="F681" s="268"/>
      <c r="I681" s="259"/>
    </row>
    <row r="682" spans="1:9" ht="27" customHeight="1" x14ac:dyDescent="0.25">
      <c r="B682" s="210" t="s">
        <v>152</v>
      </c>
    </row>
    <row r="683" spans="1:9" ht="30" x14ac:dyDescent="0.25">
      <c r="B683" s="226" t="s">
        <v>635</v>
      </c>
    </row>
    <row r="684" spans="1:9" x14ac:dyDescent="0.25">
      <c r="A684" s="206" t="s">
        <v>9</v>
      </c>
      <c r="B684" s="233" t="s">
        <v>612</v>
      </c>
      <c r="C684" s="205">
        <f>C677</f>
        <v>407.18999999999994</v>
      </c>
      <c r="D684" s="206" t="s">
        <v>35</v>
      </c>
      <c r="E684" s="304">
        <f>E448</f>
        <v>2200</v>
      </c>
      <c r="F684" s="207">
        <f>E684*C684</f>
        <v>895817.99999999988</v>
      </c>
    </row>
    <row r="685" spans="1:9" s="269" customFormat="1" ht="24" customHeight="1" x14ac:dyDescent="0.25">
      <c r="A685" s="265" t="s">
        <v>10</v>
      </c>
      <c r="B685" s="271" t="s">
        <v>618</v>
      </c>
      <c r="C685" s="262">
        <f>C678</f>
        <v>0</v>
      </c>
      <c r="D685" s="265" t="s">
        <v>22</v>
      </c>
      <c r="E685" s="304">
        <v>900</v>
      </c>
      <c r="F685" s="268">
        <f>E685*C685</f>
        <v>0</v>
      </c>
      <c r="I685" s="259"/>
    </row>
    <row r="686" spans="1:9" ht="18.95" customHeight="1" x14ac:dyDescent="0.25">
      <c r="A686" s="206" t="s">
        <v>11</v>
      </c>
      <c r="B686" s="218" t="s">
        <v>636</v>
      </c>
      <c r="D686" s="206" t="s">
        <v>35</v>
      </c>
      <c r="E686" s="304">
        <f>E662</f>
        <v>400</v>
      </c>
      <c r="F686" s="207">
        <f>E686*C686</f>
        <v>0</v>
      </c>
    </row>
    <row r="687" spans="1:9" x14ac:dyDescent="0.25">
      <c r="A687" s="206" t="s">
        <v>12</v>
      </c>
      <c r="B687" s="218" t="s">
        <v>685</v>
      </c>
      <c r="D687" s="206" t="s">
        <v>22</v>
      </c>
      <c r="E687" s="304">
        <f>E684*0.3</f>
        <v>660</v>
      </c>
      <c r="F687" s="207">
        <f>E687*C687</f>
        <v>0</v>
      </c>
    </row>
    <row r="688" spans="1:9" x14ac:dyDescent="0.25">
      <c r="A688" s="206" t="s">
        <v>13</v>
      </c>
      <c r="B688" s="214" t="s">
        <v>686</v>
      </c>
      <c r="D688" s="206" t="s">
        <v>22</v>
      </c>
      <c r="E688" s="304">
        <f>E663</f>
        <v>500</v>
      </c>
      <c r="F688" s="207">
        <f>E688*C688</f>
        <v>0</v>
      </c>
    </row>
    <row r="689" spans="2:7" ht="15.75" customHeight="1" x14ac:dyDescent="0.25"/>
    <row r="690" spans="2:7" ht="13.5" customHeight="1" x14ac:dyDescent="0.25">
      <c r="B690" s="220" t="s">
        <v>525</v>
      </c>
      <c r="C690" s="221"/>
      <c r="D690" s="209"/>
      <c r="E690" s="303" t="s">
        <v>15</v>
      </c>
      <c r="F690" s="285">
        <f>SUM(F671:F689)</f>
        <v>1465883.9999999998</v>
      </c>
      <c r="G690" s="285"/>
    </row>
    <row r="691" spans="2:7" x14ac:dyDescent="0.25">
      <c r="B691" s="220"/>
      <c r="C691" s="221"/>
      <c r="D691" s="209"/>
      <c r="E691" s="303"/>
      <c r="F691" s="285"/>
      <c r="G691" s="285"/>
    </row>
    <row r="692" spans="2:7" x14ac:dyDescent="0.25">
      <c r="B692" s="210" t="s">
        <v>531</v>
      </c>
      <c r="C692" s="221"/>
      <c r="D692" s="209"/>
      <c r="E692" s="303"/>
      <c r="F692" s="285"/>
      <c r="G692" s="285"/>
    </row>
    <row r="693" spans="2:7" x14ac:dyDescent="0.25">
      <c r="B693" s="210"/>
      <c r="C693" s="221"/>
      <c r="D693" s="209"/>
      <c r="E693" s="303"/>
      <c r="F693" s="285"/>
      <c r="G693" s="285"/>
    </row>
    <row r="694" spans="2:7" x14ac:dyDescent="0.25">
      <c r="B694" s="231" t="s">
        <v>464</v>
      </c>
      <c r="C694" s="221"/>
      <c r="D694" s="209"/>
      <c r="E694" s="304">
        <f>F666</f>
        <v>7639576</v>
      </c>
      <c r="F694" s="285"/>
      <c r="G694" s="285"/>
    </row>
    <row r="695" spans="2:7" x14ac:dyDescent="0.25">
      <c r="B695" s="231"/>
      <c r="C695" s="221"/>
      <c r="D695" s="209"/>
      <c r="F695" s="285"/>
      <c r="G695" s="285"/>
    </row>
    <row r="696" spans="2:7" ht="18.75" customHeight="1" x14ac:dyDescent="0.25">
      <c r="B696" s="231" t="s">
        <v>637</v>
      </c>
      <c r="C696" s="221"/>
      <c r="D696" s="209"/>
      <c r="E696" s="304">
        <f>F690</f>
        <v>1465883.9999999998</v>
      </c>
      <c r="F696" s="285"/>
      <c r="G696" s="285"/>
    </row>
    <row r="697" spans="2:7" x14ac:dyDescent="0.25">
      <c r="B697" s="220"/>
      <c r="C697" s="221"/>
      <c r="D697" s="209"/>
      <c r="F697" s="285"/>
      <c r="G697" s="285"/>
    </row>
    <row r="698" spans="2:7" x14ac:dyDescent="0.25">
      <c r="B698" s="220"/>
      <c r="C698" s="221"/>
      <c r="D698" s="209"/>
      <c r="F698" s="285"/>
      <c r="G698" s="285"/>
    </row>
    <row r="699" spans="2:7" ht="12" customHeight="1" x14ac:dyDescent="0.25">
      <c r="B699" s="220"/>
      <c r="C699" s="221"/>
      <c r="D699" s="209"/>
      <c r="E699" s="303"/>
      <c r="F699" s="285"/>
      <c r="G699" s="285"/>
    </row>
    <row r="700" spans="2:7" ht="12" customHeight="1" x14ac:dyDescent="0.25">
      <c r="B700" s="220"/>
      <c r="C700" s="221"/>
      <c r="D700" s="209"/>
      <c r="E700" s="303"/>
      <c r="F700" s="285"/>
      <c r="G700" s="285"/>
    </row>
    <row r="701" spans="2:7" ht="12" customHeight="1" x14ac:dyDescent="0.25">
      <c r="B701" s="220"/>
      <c r="C701" s="221"/>
      <c r="D701" s="209"/>
      <c r="E701" s="303"/>
      <c r="F701" s="285"/>
      <c r="G701" s="285"/>
    </row>
    <row r="702" spans="2:7" ht="12" customHeight="1" x14ac:dyDescent="0.25">
      <c r="B702" s="220"/>
      <c r="C702" s="221"/>
      <c r="D702" s="209"/>
      <c r="E702" s="303"/>
      <c r="F702" s="285"/>
      <c r="G702" s="285"/>
    </row>
    <row r="703" spans="2:7" ht="12" customHeight="1" x14ac:dyDescent="0.25">
      <c r="B703" s="220"/>
      <c r="C703" s="221"/>
      <c r="D703" s="209"/>
      <c r="E703" s="303"/>
      <c r="F703" s="285"/>
      <c r="G703" s="285"/>
    </row>
    <row r="704" spans="2:7" ht="12" customHeight="1" x14ac:dyDescent="0.25">
      <c r="B704" s="220"/>
      <c r="C704" s="221"/>
      <c r="D704" s="209"/>
      <c r="E704" s="303"/>
      <c r="F704" s="285"/>
      <c r="G704" s="285"/>
    </row>
    <row r="705" spans="1:7" ht="12" customHeight="1" x14ac:dyDescent="0.25">
      <c r="B705" s="220"/>
      <c r="C705" s="221"/>
      <c r="D705" s="209"/>
      <c r="E705" s="303"/>
      <c r="F705" s="285"/>
      <c r="G705" s="285"/>
    </row>
    <row r="706" spans="1:7" ht="12" customHeight="1" x14ac:dyDescent="0.25">
      <c r="B706" s="220"/>
      <c r="C706" s="221"/>
      <c r="D706" s="209"/>
      <c r="E706" s="303"/>
      <c r="F706" s="285"/>
      <c r="G706" s="285"/>
    </row>
    <row r="707" spans="1:7" ht="12" customHeight="1" x14ac:dyDescent="0.25">
      <c r="B707" s="220"/>
      <c r="C707" s="221"/>
      <c r="D707" s="209"/>
      <c r="E707" s="303"/>
      <c r="F707" s="285"/>
      <c r="G707" s="285"/>
    </row>
    <row r="708" spans="1:7" ht="12" customHeight="1" x14ac:dyDescent="0.25">
      <c r="B708" s="210" t="s">
        <v>236</v>
      </c>
      <c r="C708" s="221"/>
      <c r="D708" s="209"/>
      <c r="E708" s="303"/>
      <c r="F708" s="285"/>
      <c r="G708" s="285"/>
    </row>
    <row r="709" spans="1:7" ht="12" customHeight="1" x14ac:dyDescent="0.25">
      <c r="B709" s="220" t="s">
        <v>638</v>
      </c>
      <c r="C709" s="221"/>
      <c r="D709" s="209"/>
      <c r="E709" s="303" t="s">
        <v>15</v>
      </c>
      <c r="F709" s="285">
        <f>SUM(E692:E697)</f>
        <v>9105460</v>
      </c>
      <c r="G709" s="285"/>
    </row>
    <row r="710" spans="1:7" x14ac:dyDescent="0.25">
      <c r="B710" s="210" t="s">
        <v>639</v>
      </c>
    </row>
    <row r="711" spans="1:7" ht="12.75" customHeight="1" x14ac:dyDescent="0.25">
      <c r="B711" s="210" t="s">
        <v>265</v>
      </c>
    </row>
    <row r="712" spans="1:7" x14ac:dyDescent="0.25">
      <c r="B712" s="219" t="s">
        <v>610</v>
      </c>
    </row>
    <row r="713" spans="1:7" x14ac:dyDescent="0.25">
      <c r="B713" s="211" t="s">
        <v>640</v>
      </c>
    </row>
    <row r="714" spans="1:7" x14ac:dyDescent="0.25">
      <c r="B714" s="219"/>
    </row>
    <row r="715" spans="1:7" ht="60" x14ac:dyDescent="0.25">
      <c r="B715" s="226" t="s">
        <v>698</v>
      </c>
    </row>
    <row r="716" spans="1:7" x14ac:dyDescent="0.25">
      <c r="A716" s="206" t="s">
        <v>2</v>
      </c>
      <c r="B716" s="214" t="s">
        <v>699</v>
      </c>
      <c r="C716" s="205">
        <v>34</v>
      </c>
      <c r="D716" s="206" t="s">
        <v>35</v>
      </c>
      <c r="E716" s="304">
        <v>4900</v>
      </c>
      <c r="F716" s="207">
        <f>E716*C716</f>
        <v>166600</v>
      </c>
    </row>
    <row r="717" spans="1:7" ht="60" x14ac:dyDescent="0.25">
      <c r="B717" s="224" t="s">
        <v>641</v>
      </c>
      <c r="F717" s="289"/>
      <c r="G717" s="289"/>
    </row>
    <row r="718" spans="1:7" ht="30" x14ac:dyDescent="0.25">
      <c r="A718" s="206" t="s">
        <v>4</v>
      </c>
      <c r="B718" s="218" t="s">
        <v>700</v>
      </c>
      <c r="C718" s="262">
        <v>20</v>
      </c>
      <c r="D718" s="206" t="s">
        <v>35</v>
      </c>
      <c r="E718" s="304">
        <v>25600</v>
      </c>
      <c r="F718" s="207">
        <f t="shared" ref="F718:F727" si="3">E718*C718</f>
        <v>512000</v>
      </c>
    </row>
    <row r="719" spans="1:7" x14ac:dyDescent="0.25">
      <c r="A719" s="206" t="s">
        <v>5</v>
      </c>
      <c r="B719" s="214" t="s">
        <v>642</v>
      </c>
      <c r="C719" s="262">
        <f>C718*1.1</f>
        <v>22</v>
      </c>
      <c r="D719" s="206" t="s">
        <v>22</v>
      </c>
      <c r="E719" s="304">
        <f>E718*0.15</f>
        <v>3840</v>
      </c>
      <c r="F719" s="207">
        <f t="shared" si="3"/>
        <v>84480</v>
      </c>
    </row>
    <row r="720" spans="1:7" ht="30" x14ac:dyDescent="0.25">
      <c r="A720" s="206" t="s">
        <v>6</v>
      </c>
      <c r="B720" s="218" t="s">
        <v>899</v>
      </c>
      <c r="C720" s="262">
        <v>16</v>
      </c>
      <c r="D720" s="206" t="s">
        <v>35</v>
      </c>
      <c r="E720" s="304">
        <v>12350</v>
      </c>
      <c r="F720" s="207">
        <f>E720*C720</f>
        <v>197600</v>
      </c>
    </row>
    <row r="721" spans="1:9" x14ac:dyDescent="0.25">
      <c r="A721" s="206" t="s">
        <v>7</v>
      </c>
      <c r="B721" s="214" t="s">
        <v>642</v>
      </c>
      <c r="C721" s="262">
        <v>245</v>
      </c>
      <c r="D721" s="206" t="s">
        <v>22</v>
      </c>
      <c r="E721" s="304">
        <f>E720*0.15</f>
        <v>1852.5</v>
      </c>
      <c r="F721" s="207">
        <f>E721*C721</f>
        <v>453862.5</v>
      </c>
    </row>
    <row r="722" spans="1:9" ht="30" x14ac:dyDescent="0.25">
      <c r="A722" s="240" t="s">
        <v>8</v>
      </c>
      <c r="B722" s="218" t="s">
        <v>900</v>
      </c>
      <c r="C722" s="385">
        <v>60</v>
      </c>
      <c r="D722" s="240" t="s">
        <v>35</v>
      </c>
      <c r="E722" s="305">
        <f>E720</f>
        <v>12350</v>
      </c>
      <c r="F722" s="241">
        <f t="shared" si="3"/>
        <v>741000</v>
      </c>
      <c r="G722" s="241"/>
    </row>
    <row r="723" spans="1:9" ht="24" customHeight="1" x14ac:dyDescent="0.25">
      <c r="A723" s="206" t="s">
        <v>9</v>
      </c>
      <c r="B723" s="246" t="s">
        <v>642</v>
      </c>
      <c r="C723" s="205">
        <f>C722*1.1</f>
        <v>66</v>
      </c>
      <c r="D723" s="206" t="s">
        <v>22</v>
      </c>
      <c r="E723" s="304">
        <f>E722*0.15</f>
        <v>1852.5</v>
      </c>
      <c r="F723" s="207">
        <f t="shared" si="3"/>
        <v>122265</v>
      </c>
      <c r="H723" s="284"/>
    </row>
    <row r="724" spans="1:9" x14ac:dyDescent="0.25">
      <c r="B724" s="246"/>
      <c r="H724" s="284"/>
    </row>
    <row r="725" spans="1:9" ht="60" x14ac:dyDescent="0.25">
      <c r="B725" s="226" t="s">
        <v>643</v>
      </c>
      <c r="F725" s="288"/>
      <c r="G725" s="288"/>
    </row>
    <row r="726" spans="1:9" ht="30" x14ac:dyDescent="0.25">
      <c r="A726" s="206" t="s">
        <v>10</v>
      </c>
      <c r="B726" s="218" t="s">
        <v>701</v>
      </c>
      <c r="C726" s="262">
        <v>206</v>
      </c>
      <c r="D726" s="206" t="s">
        <v>35</v>
      </c>
      <c r="E726" s="304">
        <f>E720</f>
        <v>12350</v>
      </c>
      <c r="F726" s="207">
        <f t="shared" si="3"/>
        <v>2544100</v>
      </c>
    </row>
    <row r="727" spans="1:9" s="236" customFormat="1" ht="27" customHeight="1" x14ac:dyDescent="0.25">
      <c r="A727" s="206" t="s">
        <v>11</v>
      </c>
      <c r="B727" s="214" t="s">
        <v>642</v>
      </c>
      <c r="C727" s="205">
        <f>C726*1.1</f>
        <v>226.60000000000002</v>
      </c>
      <c r="D727" s="206" t="s">
        <v>22</v>
      </c>
      <c r="E727" s="304">
        <f>E726*0.15</f>
        <v>1852.5</v>
      </c>
      <c r="F727" s="207">
        <f t="shared" si="3"/>
        <v>419776.50000000006</v>
      </c>
      <c r="G727" s="207"/>
      <c r="I727" s="208"/>
    </row>
    <row r="728" spans="1:9" s="236" customFormat="1" x14ac:dyDescent="0.25">
      <c r="A728" s="206"/>
      <c r="B728" s="214"/>
      <c r="C728" s="205"/>
      <c r="D728" s="206"/>
      <c r="E728" s="304"/>
      <c r="F728" s="207"/>
      <c r="G728" s="207"/>
      <c r="I728" s="208"/>
    </row>
    <row r="729" spans="1:9" s="260" customFormat="1" ht="41.25" customHeight="1" x14ac:dyDescent="0.25">
      <c r="A729" s="206"/>
      <c r="B729" s="234" t="s">
        <v>644</v>
      </c>
      <c r="C729" s="205"/>
      <c r="D729" s="206"/>
      <c r="E729" s="304"/>
      <c r="F729" s="288"/>
      <c r="G729" s="288"/>
      <c r="I729" s="208"/>
    </row>
    <row r="730" spans="1:9" ht="24" customHeight="1" x14ac:dyDescent="0.25">
      <c r="B730" s="219" t="s">
        <v>645</v>
      </c>
      <c r="F730" s="288"/>
      <c r="G730" s="288"/>
    </row>
    <row r="731" spans="1:9" ht="18.95" customHeight="1" x14ac:dyDescent="0.25">
      <c r="A731" s="206" t="s">
        <v>12</v>
      </c>
      <c r="B731" s="214" t="s">
        <v>646</v>
      </c>
      <c r="C731" s="205">
        <f>C716+C718+C722+C726</f>
        <v>320</v>
      </c>
      <c r="D731" s="206" t="s">
        <v>35</v>
      </c>
      <c r="E731" s="304">
        <v>3100</v>
      </c>
      <c r="F731" s="207">
        <f>E731*C731</f>
        <v>992000</v>
      </c>
    </row>
    <row r="732" spans="1:9" x14ac:dyDescent="0.25">
      <c r="A732" s="206" t="s">
        <v>13</v>
      </c>
      <c r="B732" s="214" t="s">
        <v>627</v>
      </c>
      <c r="C732" s="205">
        <f>C719+C723+C727</f>
        <v>314.60000000000002</v>
      </c>
      <c r="D732" s="206" t="s">
        <v>22</v>
      </c>
      <c r="E732" s="304">
        <v>1000</v>
      </c>
      <c r="F732" s="207">
        <f>E732*C732</f>
        <v>314600</v>
      </c>
    </row>
    <row r="733" spans="1:9" ht="9.6" customHeight="1" x14ac:dyDescent="0.25"/>
    <row r="734" spans="1:9" ht="15.75" customHeight="1" x14ac:dyDescent="0.25">
      <c r="B734" s="242" t="s">
        <v>628</v>
      </c>
      <c r="F734" s="227"/>
      <c r="G734" s="227"/>
    </row>
    <row r="735" spans="1:9" ht="13.5" customHeight="1" x14ac:dyDescent="0.25">
      <c r="B735" s="224" t="s">
        <v>647</v>
      </c>
      <c r="F735" s="288"/>
      <c r="G735" s="288"/>
    </row>
    <row r="736" spans="1:9" ht="16.5" customHeight="1" x14ac:dyDescent="0.25">
      <c r="B736" s="210" t="s">
        <v>702</v>
      </c>
      <c r="F736" s="227"/>
      <c r="G736" s="227"/>
    </row>
    <row r="737" spans="1:7" ht="30" x14ac:dyDescent="0.25">
      <c r="A737" s="206" t="s">
        <v>14</v>
      </c>
      <c r="B737" s="218" t="s">
        <v>703</v>
      </c>
      <c r="D737" s="206" t="s">
        <v>35</v>
      </c>
      <c r="E737" s="304">
        <v>23300</v>
      </c>
      <c r="F737" s="207">
        <f>E737*C737</f>
        <v>0</v>
      </c>
    </row>
    <row r="738" spans="1:7" x14ac:dyDescent="0.25">
      <c r="A738" s="206" t="s">
        <v>15</v>
      </c>
      <c r="B738" s="214" t="s">
        <v>642</v>
      </c>
      <c r="C738" s="205">
        <f>C737*1.1</f>
        <v>0</v>
      </c>
      <c r="D738" s="206" t="s">
        <v>22</v>
      </c>
      <c r="E738" s="304">
        <f>E737*0.15</f>
        <v>3495</v>
      </c>
      <c r="F738" s="207">
        <f>E738*C738</f>
        <v>0</v>
      </c>
    </row>
    <row r="739" spans="1:7" ht="33" x14ac:dyDescent="0.25">
      <c r="B739" s="234" t="s">
        <v>648</v>
      </c>
      <c r="F739" s="227"/>
      <c r="G739" s="227"/>
    </row>
    <row r="740" spans="1:7" x14ac:dyDescent="0.25">
      <c r="B740" s="224" t="s">
        <v>645</v>
      </c>
      <c r="F740" s="227"/>
      <c r="G740" s="227"/>
    </row>
    <row r="741" spans="1:7" ht="18.75" customHeight="1" x14ac:dyDescent="0.25">
      <c r="A741" s="206" t="s">
        <v>16</v>
      </c>
      <c r="B741" s="214" t="s">
        <v>649</v>
      </c>
      <c r="C741" s="205">
        <f>C737</f>
        <v>0</v>
      </c>
      <c r="D741" s="206" t="s">
        <v>35</v>
      </c>
      <c r="E741" s="304">
        <f>E731</f>
        <v>3100</v>
      </c>
      <c r="F741" s="207">
        <f>E741*C741</f>
        <v>0</v>
      </c>
    </row>
    <row r="742" spans="1:7" x14ac:dyDescent="0.25">
      <c r="A742" s="206" t="s">
        <v>17</v>
      </c>
      <c r="B742" s="214" t="s">
        <v>627</v>
      </c>
      <c r="C742" s="205">
        <f>C738</f>
        <v>0</v>
      </c>
      <c r="D742" s="206" t="s">
        <v>22</v>
      </c>
      <c r="E742" s="304">
        <f>E732</f>
        <v>1000</v>
      </c>
      <c r="F742" s="207">
        <f>E742*C742</f>
        <v>0</v>
      </c>
    </row>
    <row r="744" spans="1:7" x14ac:dyDescent="0.25">
      <c r="B744" s="210" t="s">
        <v>265</v>
      </c>
    </row>
    <row r="745" spans="1:7" ht="12.75" customHeight="1" x14ac:dyDescent="0.25">
      <c r="B745" s="220" t="s">
        <v>534</v>
      </c>
      <c r="C745" s="221"/>
      <c r="D745" s="209"/>
      <c r="E745" s="303" t="s">
        <v>15</v>
      </c>
      <c r="F745" s="285">
        <f>SUM(F715:F744)</f>
        <v>6548284</v>
      </c>
      <c r="G745" s="285"/>
    </row>
    <row r="746" spans="1:7" ht="12" customHeight="1" x14ac:dyDescent="0.25">
      <c r="B746" s="210" t="s">
        <v>650</v>
      </c>
    </row>
    <row r="747" spans="1:7" ht="12" customHeight="1" x14ac:dyDescent="0.25">
      <c r="B747" s="210"/>
    </row>
    <row r="748" spans="1:7" ht="12" customHeight="1" x14ac:dyDescent="0.25">
      <c r="B748" s="210" t="s">
        <v>281</v>
      </c>
    </row>
    <row r="749" spans="1:7" ht="12" customHeight="1" x14ac:dyDescent="0.25">
      <c r="B749" s="210"/>
    </row>
    <row r="750" spans="1:7" ht="12" customHeight="1" x14ac:dyDescent="0.25">
      <c r="B750" s="210" t="s">
        <v>282</v>
      </c>
    </row>
    <row r="751" spans="1:7" ht="12" customHeight="1" x14ac:dyDescent="0.25">
      <c r="B751" s="210"/>
    </row>
    <row r="752" spans="1:7" ht="12" customHeight="1" x14ac:dyDescent="0.25">
      <c r="B752" s="220" t="s">
        <v>629</v>
      </c>
      <c r="F752" s="289"/>
      <c r="G752" s="289"/>
    </row>
    <row r="753" spans="1:7" x14ac:dyDescent="0.25">
      <c r="B753" s="224" t="s">
        <v>651</v>
      </c>
      <c r="F753" s="289"/>
      <c r="G753" s="289"/>
    </row>
    <row r="754" spans="1:7" x14ac:dyDescent="0.25">
      <c r="A754" s="206" t="s">
        <v>2</v>
      </c>
      <c r="B754" s="214" t="s">
        <v>652</v>
      </c>
      <c r="C754" s="262">
        <v>426</v>
      </c>
      <c r="D754" s="206" t="s">
        <v>35</v>
      </c>
      <c r="E754" s="304">
        <v>2650</v>
      </c>
      <c r="F754" s="207">
        <f>E754*C754</f>
        <v>1128900</v>
      </c>
    </row>
    <row r="755" spans="1:7" ht="12" customHeight="1" x14ac:dyDescent="0.25">
      <c r="B755" s="220" t="s">
        <v>614</v>
      </c>
      <c r="F755" s="289"/>
      <c r="G755" s="289"/>
    </row>
    <row r="756" spans="1:7" x14ac:dyDescent="0.25">
      <c r="B756" s="220" t="s">
        <v>687</v>
      </c>
      <c r="F756" s="289"/>
      <c r="G756" s="289"/>
    </row>
    <row r="757" spans="1:7" x14ac:dyDescent="0.25">
      <c r="A757" s="206" t="s">
        <v>4</v>
      </c>
      <c r="B757" s="214" t="s">
        <v>688</v>
      </c>
      <c r="C757" s="205">
        <f>C754</f>
        <v>426</v>
      </c>
      <c r="D757" s="206" t="s">
        <v>35</v>
      </c>
      <c r="E757" s="304">
        <v>12700</v>
      </c>
      <c r="F757" s="207">
        <f>E757*C757</f>
        <v>5410200</v>
      </c>
    </row>
    <row r="759" spans="1:7" x14ac:dyDescent="0.25">
      <c r="B759" s="220" t="s">
        <v>653</v>
      </c>
      <c r="F759" s="289"/>
      <c r="G759" s="289"/>
    </row>
    <row r="760" spans="1:7" ht="19.5" customHeight="1" x14ac:dyDescent="0.25">
      <c r="B760" s="272" t="s">
        <v>654</v>
      </c>
    </row>
    <row r="761" spans="1:7" ht="16.5" customHeight="1" x14ac:dyDescent="0.25">
      <c r="A761" s="206" t="s">
        <v>6</v>
      </c>
      <c r="B761" s="214" t="s">
        <v>287</v>
      </c>
      <c r="C761" s="262">
        <v>1616</v>
      </c>
      <c r="D761" s="206" t="s">
        <v>22</v>
      </c>
      <c r="E761" s="304">
        <v>400</v>
      </c>
      <c r="F761" s="207">
        <f>E761*C761</f>
        <v>646400</v>
      </c>
    </row>
    <row r="762" spans="1:7" ht="15.75" customHeight="1" x14ac:dyDescent="0.25">
      <c r="B762" s="220" t="s">
        <v>152</v>
      </c>
      <c r="F762" s="289"/>
      <c r="G762" s="289"/>
    </row>
    <row r="763" spans="1:7" ht="30" x14ac:dyDescent="0.25">
      <c r="B763" s="218" t="s">
        <v>655</v>
      </c>
      <c r="F763" s="289"/>
      <c r="G763" s="289"/>
    </row>
    <row r="764" spans="1:7" ht="17.25" customHeight="1" x14ac:dyDescent="0.25">
      <c r="A764" s="206" t="s">
        <v>7</v>
      </c>
      <c r="B764" s="214" t="s">
        <v>656</v>
      </c>
      <c r="C764" s="205">
        <f>C757</f>
        <v>426</v>
      </c>
      <c r="D764" s="206" t="s">
        <v>35</v>
      </c>
      <c r="E764" s="304">
        <f>E647</f>
        <v>1500</v>
      </c>
      <c r="F764" s="207">
        <f>E764*C764</f>
        <v>639000</v>
      </c>
    </row>
    <row r="765" spans="1:7" ht="17.25" customHeight="1" x14ac:dyDescent="0.25"/>
    <row r="766" spans="1:7" ht="18" customHeight="1" x14ac:dyDescent="0.25">
      <c r="B766" s="219"/>
      <c r="F766" s="382"/>
      <c r="G766" s="382"/>
    </row>
    <row r="767" spans="1:7" x14ac:dyDescent="0.25">
      <c r="B767" s="215"/>
      <c r="F767" s="289"/>
      <c r="G767" s="289"/>
    </row>
    <row r="768" spans="1:7" x14ac:dyDescent="0.25">
      <c r="B768" s="215"/>
      <c r="F768" s="289"/>
      <c r="G768" s="289"/>
    </row>
    <row r="769" spans="1:7" x14ac:dyDescent="0.25">
      <c r="B769" s="215"/>
      <c r="F769" s="289"/>
      <c r="G769" s="289"/>
    </row>
    <row r="770" spans="1:7" x14ac:dyDescent="0.25">
      <c r="B770" s="215"/>
      <c r="F770" s="289"/>
      <c r="G770" s="289"/>
    </row>
    <row r="771" spans="1:7" x14ac:dyDescent="0.25">
      <c r="B771" s="215"/>
      <c r="F771" s="289"/>
      <c r="G771" s="289"/>
    </row>
    <row r="772" spans="1:7" x14ac:dyDescent="0.25">
      <c r="B772" s="215"/>
      <c r="F772" s="289"/>
      <c r="G772" s="289"/>
    </row>
    <row r="773" spans="1:7" x14ac:dyDescent="0.25">
      <c r="B773" s="215"/>
      <c r="F773" s="289"/>
      <c r="G773" s="289"/>
    </row>
    <row r="774" spans="1:7" x14ac:dyDescent="0.25">
      <c r="B774" s="215"/>
      <c r="F774" s="289"/>
      <c r="G774" s="289"/>
    </row>
    <row r="775" spans="1:7" x14ac:dyDescent="0.25">
      <c r="B775" s="215"/>
      <c r="F775" s="289"/>
      <c r="G775" s="289"/>
    </row>
    <row r="776" spans="1:7" x14ac:dyDescent="0.25">
      <c r="B776" s="215"/>
      <c r="F776" s="289"/>
      <c r="G776" s="289"/>
    </row>
    <row r="777" spans="1:7" x14ac:dyDescent="0.25">
      <c r="B777" s="215"/>
      <c r="F777" s="289"/>
      <c r="G777" s="289"/>
    </row>
    <row r="778" spans="1:7" x14ac:dyDescent="0.25">
      <c r="B778" s="215"/>
      <c r="F778" s="289"/>
      <c r="G778" s="289"/>
    </row>
    <row r="779" spans="1:7" x14ac:dyDescent="0.25">
      <c r="B779" s="215"/>
      <c r="F779" s="289"/>
      <c r="G779" s="289"/>
    </row>
    <row r="780" spans="1:7" x14ac:dyDescent="0.25">
      <c r="B780" s="215"/>
      <c r="F780" s="289"/>
      <c r="G780" s="289"/>
    </row>
    <row r="781" spans="1:7" x14ac:dyDescent="0.25">
      <c r="B781" s="215"/>
      <c r="F781" s="289"/>
      <c r="G781" s="289"/>
    </row>
    <row r="782" spans="1:7" x14ac:dyDescent="0.25">
      <c r="B782" s="210" t="s">
        <v>281</v>
      </c>
      <c r="C782" s="221"/>
      <c r="D782" s="209"/>
      <c r="E782" s="303"/>
      <c r="F782" s="222"/>
      <c r="G782" s="222"/>
    </row>
    <row r="783" spans="1:7" x14ac:dyDescent="0.25">
      <c r="B783" s="220" t="s">
        <v>534</v>
      </c>
      <c r="C783" s="221"/>
      <c r="D783" s="209"/>
      <c r="E783" s="303" t="s">
        <v>15</v>
      </c>
      <c r="F783" s="285">
        <f>SUM(F752:F782)</f>
        <v>7824500</v>
      </c>
      <c r="G783" s="285"/>
    </row>
    <row r="784" spans="1:7" customFormat="1" ht="18.75" x14ac:dyDescent="0.25">
      <c r="A784" s="197"/>
      <c r="B784" s="292" t="s">
        <v>608</v>
      </c>
      <c r="C784" s="293"/>
      <c r="D784" s="294"/>
      <c r="E784" s="295"/>
      <c r="F784" s="296"/>
    </row>
    <row r="785" spans="1:8" customFormat="1" ht="15" customHeight="1" x14ac:dyDescent="0.25">
      <c r="A785" s="197"/>
      <c r="B785" s="292" t="s">
        <v>657</v>
      </c>
      <c r="C785" s="293"/>
      <c r="D785" s="294"/>
      <c r="E785" s="295"/>
      <c r="F785" s="296"/>
    </row>
    <row r="786" spans="1:8" s="315" customFormat="1" x14ac:dyDescent="0.35">
      <c r="A786" s="314"/>
      <c r="B786" s="335" t="s">
        <v>709</v>
      </c>
      <c r="C786" s="262"/>
      <c r="D786" s="314"/>
      <c r="E786" s="316"/>
    </row>
    <row r="787" spans="1:8" s="315" customFormat="1" x14ac:dyDescent="0.3">
      <c r="A787" s="314" t="s">
        <v>2</v>
      </c>
      <c r="B787" s="315" t="s">
        <v>710</v>
      </c>
      <c r="C787" s="262">
        <v>43</v>
      </c>
      <c r="D787" s="314" t="s">
        <v>21</v>
      </c>
      <c r="E787" s="316">
        <v>4500</v>
      </c>
      <c r="F787" s="207">
        <f>E787*C787</f>
        <v>193500</v>
      </c>
      <c r="G787" s="318"/>
      <c r="H787" s="319"/>
    </row>
    <row r="788" spans="1:8" s="315" customFormat="1" x14ac:dyDescent="0.3">
      <c r="A788" s="314" t="s">
        <v>4</v>
      </c>
      <c r="B788" s="315" t="s">
        <v>711</v>
      </c>
      <c r="C788" s="262">
        <f>43*3</f>
        <v>129</v>
      </c>
      <c r="D788" s="314" t="s">
        <v>21</v>
      </c>
      <c r="E788" s="316">
        <v>3200</v>
      </c>
      <c r="F788" s="207">
        <f>E788*C788</f>
        <v>412800</v>
      </c>
      <c r="G788" s="318"/>
      <c r="H788" s="319"/>
    </row>
    <row r="789" spans="1:8" s="315" customFormat="1" x14ac:dyDescent="0.3">
      <c r="A789" s="314" t="s">
        <v>4</v>
      </c>
      <c r="B789" s="315" t="s">
        <v>746</v>
      </c>
      <c r="C789" s="262">
        <f>43*5</f>
        <v>215</v>
      </c>
      <c r="D789" s="314" t="s">
        <v>21</v>
      </c>
      <c r="E789" s="316">
        <v>3200</v>
      </c>
      <c r="F789" s="207">
        <f>E789*C789</f>
        <v>688000</v>
      </c>
      <c r="G789" s="318"/>
      <c r="H789" s="319"/>
    </row>
    <row r="790" spans="1:8" s="315" customFormat="1" x14ac:dyDescent="0.3">
      <c r="A790" s="314" t="s">
        <v>5</v>
      </c>
      <c r="B790" s="315" t="s">
        <v>712</v>
      </c>
      <c r="C790" s="262">
        <f>(43*1)+(15*6)</f>
        <v>133</v>
      </c>
      <c r="D790" s="314" t="s">
        <v>21</v>
      </c>
      <c r="E790" s="316">
        <v>5700</v>
      </c>
      <c r="F790" s="207">
        <f>E790*C790</f>
        <v>758100</v>
      </c>
      <c r="G790" s="318"/>
      <c r="H790" s="319"/>
    </row>
    <row r="791" spans="1:8" s="315" customFormat="1" x14ac:dyDescent="0.3">
      <c r="A791" s="314" t="s">
        <v>6</v>
      </c>
      <c r="B791" s="315" t="s">
        <v>713</v>
      </c>
      <c r="C791" s="262">
        <f>43*3</f>
        <v>129</v>
      </c>
      <c r="D791" s="314" t="s">
        <v>21</v>
      </c>
      <c r="E791" s="316">
        <v>3980</v>
      </c>
      <c r="F791" s="207">
        <f t="shared" ref="F791:F816" si="4">E791*C791</f>
        <v>513420</v>
      </c>
      <c r="G791" s="318"/>
      <c r="H791" s="319"/>
    </row>
    <row r="792" spans="1:8" s="315" customFormat="1" x14ac:dyDescent="0.3">
      <c r="A792" s="314" t="s">
        <v>7</v>
      </c>
      <c r="B792" s="315" t="s">
        <v>714</v>
      </c>
      <c r="C792" s="262">
        <v>32</v>
      </c>
      <c r="D792" s="314" t="s">
        <v>715</v>
      </c>
      <c r="E792" s="316">
        <v>4700</v>
      </c>
      <c r="F792" s="207">
        <f t="shared" si="4"/>
        <v>150400</v>
      </c>
      <c r="G792" s="318"/>
      <c r="H792" s="319"/>
    </row>
    <row r="793" spans="1:8" s="315" customFormat="1" x14ac:dyDescent="0.3">
      <c r="A793" s="314" t="s">
        <v>8</v>
      </c>
      <c r="B793" s="315" t="s">
        <v>716</v>
      </c>
      <c r="C793" s="262">
        <v>54</v>
      </c>
      <c r="D793" s="314" t="s">
        <v>715</v>
      </c>
      <c r="E793" s="316">
        <v>300</v>
      </c>
      <c r="F793" s="207">
        <f t="shared" si="4"/>
        <v>16200</v>
      </c>
      <c r="G793" s="318"/>
      <c r="H793" s="319"/>
    </row>
    <row r="794" spans="1:8" s="315" customFormat="1" x14ac:dyDescent="0.3">
      <c r="A794" s="314" t="s">
        <v>9</v>
      </c>
      <c r="B794" s="315" t="s">
        <v>717</v>
      </c>
      <c r="C794" s="262">
        <v>123</v>
      </c>
      <c r="D794" s="314" t="s">
        <v>715</v>
      </c>
      <c r="E794" s="316">
        <v>300</v>
      </c>
      <c r="F794" s="207">
        <f t="shared" si="4"/>
        <v>36900</v>
      </c>
      <c r="G794" s="318"/>
      <c r="H794" s="319"/>
    </row>
    <row r="795" spans="1:8" s="315" customFormat="1" x14ac:dyDescent="0.3">
      <c r="A795" s="314" t="s">
        <v>10</v>
      </c>
      <c r="B795" s="315" t="s">
        <v>718</v>
      </c>
      <c r="C795" s="262">
        <v>65</v>
      </c>
      <c r="D795" s="314" t="s">
        <v>715</v>
      </c>
      <c r="E795" s="316">
        <v>300</v>
      </c>
      <c r="F795" s="207">
        <f t="shared" si="4"/>
        <v>19500</v>
      </c>
      <c r="G795" s="318"/>
      <c r="H795" s="319"/>
    </row>
    <row r="796" spans="1:8" s="315" customFormat="1" x14ac:dyDescent="0.3">
      <c r="A796" s="314" t="s">
        <v>11</v>
      </c>
      <c r="B796" s="315" t="s">
        <v>719</v>
      </c>
      <c r="C796" s="262">
        <v>154</v>
      </c>
      <c r="D796" s="314" t="s">
        <v>21</v>
      </c>
      <c r="E796" s="316">
        <v>300</v>
      </c>
      <c r="F796" s="207">
        <f t="shared" si="4"/>
        <v>46200</v>
      </c>
      <c r="G796" s="318"/>
      <c r="H796" s="319"/>
    </row>
    <row r="797" spans="1:8" s="315" customFormat="1" x14ac:dyDescent="0.3">
      <c r="A797" s="314" t="s">
        <v>12</v>
      </c>
      <c r="B797" s="315" t="s">
        <v>720</v>
      </c>
      <c r="C797" s="262">
        <v>64</v>
      </c>
      <c r="D797" s="314" t="s">
        <v>21</v>
      </c>
      <c r="E797" s="316">
        <v>300</v>
      </c>
      <c r="F797" s="207">
        <f t="shared" si="4"/>
        <v>19200</v>
      </c>
      <c r="G797" s="318"/>
      <c r="H797" s="319"/>
    </row>
    <row r="798" spans="1:8" s="315" customFormat="1" x14ac:dyDescent="0.3">
      <c r="A798" s="314" t="s">
        <v>13</v>
      </c>
      <c r="B798" s="315" t="s">
        <v>721</v>
      </c>
      <c r="C798" s="262">
        <v>71</v>
      </c>
      <c r="D798" s="314" t="s">
        <v>715</v>
      </c>
      <c r="E798" s="316">
        <v>800</v>
      </c>
      <c r="F798" s="207">
        <f t="shared" si="4"/>
        <v>56800</v>
      </c>
      <c r="G798" s="318"/>
      <c r="H798" s="319"/>
    </row>
    <row r="799" spans="1:8" s="315" customFormat="1" x14ac:dyDescent="0.3">
      <c r="A799" s="314" t="s">
        <v>14</v>
      </c>
      <c r="B799" s="315" t="s">
        <v>722</v>
      </c>
      <c r="C799" s="262">
        <v>76</v>
      </c>
      <c r="D799" s="314" t="s">
        <v>715</v>
      </c>
      <c r="E799" s="316">
        <v>200</v>
      </c>
      <c r="F799" s="207">
        <f t="shared" si="4"/>
        <v>15200</v>
      </c>
      <c r="G799" s="318"/>
      <c r="H799" s="319"/>
    </row>
    <row r="800" spans="1:8" s="315" customFormat="1" x14ac:dyDescent="0.3">
      <c r="A800" s="314" t="s">
        <v>15</v>
      </c>
      <c r="B800" s="315" t="s">
        <v>723</v>
      </c>
      <c r="C800" s="262">
        <v>156</v>
      </c>
      <c r="D800" s="314" t="s">
        <v>715</v>
      </c>
      <c r="E800" s="316">
        <v>200</v>
      </c>
      <c r="F800" s="207">
        <f>E800*C800</f>
        <v>31200</v>
      </c>
      <c r="G800" s="318"/>
      <c r="H800" s="319"/>
    </row>
    <row r="801" spans="1:8" s="315" customFormat="1" x14ac:dyDescent="0.3">
      <c r="A801" s="314" t="s">
        <v>16</v>
      </c>
      <c r="B801" s="315" t="s">
        <v>724</v>
      </c>
      <c r="C801" s="262">
        <v>32</v>
      </c>
      <c r="D801" s="314" t="s">
        <v>715</v>
      </c>
      <c r="E801" s="316">
        <v>200</v>
      </c>
      <c r="F801" s="207">
        <f t="shared" si="4"/>
        <v>6400</v>
      </c>
      <c r="G801" s="318"/>
      <c r="H801" s="319"/>
    </row>
    <row r="802" spans="1:8" s="315" customFormat="1" x14ac:dyDescent="0.3">
      <c r="A802" s="314" t="s">
        <v>17</v>
      </c>
      <c r="B802" s="315" t="s">
        <v>725</v>
      </c>
      <c r="C802" s="262">
        <v>45</v>
      </c>
      <c r="D802" s="314" t="s">
        <v>715</v>
      </c>
      <c r="E802" s="316">
        <v>200</v>
      </c>
      <c r="F802" s="207">
        <f t="shared" si="4"/>
        <v>9000</v>
      </c>
      <c r="G802" s="318"/>
      <c r="H802" s="319"/>
    </row>
    <row r="803" spans="1:8" s="315" customFormat="1" x14ac:dyDescent="0.3">
      <c r="A803" s="314" t="s">
        <v>26</v>
      </c>
      <c r="B803" s="315" t="s">
        <v>726</v>
      </c>
      <c r="C803" s="262">
        <v>32</v>
      </c>
      <c r="D803" s="314" t="s">
        <v>715</v>
      </c>
      <c r="E803" s="316">
        <v>2200</v>
      </c>
      <c r="F803" s="207">
        <f t="shared" si="4"/>
        <v>70400</v>
      </c>
      <c r="G803" s="318"/>
      <c r="H803" s="319"/>
    </row>
    <row r="804" spans="1:8" s="315" customFormat="1" x14ac:dyDescent="0.3">
      <c r="A804" s="314" t="s">
        <v>27</v>
      </c>
      <c r="B804" s="315" t="s">
        <v>727</v>
      </c>
      <c r="C804" s="262">
        <v>37</v>
      </c>
      <c r="D804" s="314" t="s">
        <v>715</v>
      </c>
      <c r="E804" s="316">
        <v>200</v>
      </c>
      <c r="F804" s="207">
        <f t="shared" si="4"/>
        <v>7400</v>
      </c>
      <c r="G804" s="318"/>
      <c r="H804" s="319"/>
    </row>
    <row r="805" spans="1:8" s="315" customFormat="1" x14ac:dyDescent="0.3">
      <c r="A805" s="314" t="s">
        <v>28</v>
      </c>
      <c r="B805" s="315" t="s">
        <v>728</v>
      </c>
      <c r="C805" s="262">
        <v>61</v>
      </c>
      <c r="D805" s="314" t="s">
        <v>715</v>
      </c>
      <c r="E805" s="316">
        <v>600</v>
      </c>
      <c r="F805" s="207">
        <f t="shared" si="4"/>
        <v>36600</v>
      </c>
      <c r="G805" s="318"/>
      <c r="H805" s="319"/>
    </row>
    <row r="806" spans="1:8" s="315" customFormat="1" x14ac:dyDescent="0.3">
      <c r="A806" s="314" t="s">
        <v>29</v>
      </c>
      <c r="B806" s="315" t="s">
        <v>729</v>
      </c>
      <c r="C806" s="262">
        <v>147</v>
      </c>
      <c r="D806" s="314" t="s">
        <v>715</v>
      </c>
      <c r="E806" s="316">
        <v>1200</v>
      </c>
      <c r="F806" s="207">
        <f t="shared" si="4"/>
        <v>176400</v>
      </c>
      <c r="G806" s="318"/>
      <c r="H806" s="319"/>
    </row>
    <row r="807" spans="1:8" s="315" customFormat="1" x14ac:dyDescent="0.3">
      <c r="A807" s="314" t="s">
        <v>30</v>
      </c>
      <c r="B807" s="315" t="s">
        <v>730</v>
      </c>
      <c r="C807" s="262">
        <v>45</v>
      </c>
      <c r="D807" s="314" t="s">
        <v>715</v>
      </c>
      <c r="E807" s="316">
        <v>1300</v>
      </c>
      <c r="F807" s="207">
        <f t="shared" si="4"/>
        <v>58500</v>
      </c>
      <c r="G807" s="318"/>
      <c r="H807" s="319"/>
    </row>
    <row r="808" spans="1:8" s="315" customFormat="1" x14ac:dyDescent="0.3">
      <c r="A808" s="314" t="s">
        <v>31</v>
      </c>
      <c r="B808" s="315" t="s">
        <v>731</v>
      </c>
      <c r="C808" s="262">
        <v>32</v>
      </c>
      <c r="D808" s="314" t="s">
        <v>715</v>
      </c>
      <c r="E808" s="316">
        <v>1000</v>
      </c>
      <c r="F808" s="207">
        <f t="shared" si="4"/>
        <v>32000</v>
      </c>
      <c r="G808" s="318"/>
      <c r="H808" s="319"/>
    </row>
    <row r="809" spans="1:8" s="315" customFormat="1" x14ac:dyDescent="0.3">
      <c r="A809" s="314" t="s">
        <v>32</v>
      </c>
      <c r="B809" s="315" t="s">
        <v>732</v>
      </c>
      <c r="C809" s="262">
        <v>64</v>
      </c>
      <c r="D809" s="314" t="s">
        <v>715</v>
      </c>
      <c r="E809" s="316">
        <v>1400</v>
      </c>
      <c r="F809" s="207">
        <f t="shared" si="4"/>
        <v>89600</v>
      </c>
      <c r="G809" s="318"/>
      <c r="H809" s="319"/>
    </row>
    <row r="810" spans="1:8" s="315" customFormat="1" x14ac:dyDescent="0.3">
      <c r="A810" s="314" t="s">
        <v>33</v>
      </c>
      <c r="B810" s="315" t="s">
        <v>733</v>
      </c>
      <c r="C810" s="262">
        <v>32</v>
      </c>
      <c r="D810" s="314" t="s">
        <v>715</v>
      </c>
      <c r="E810" s="316">
        <v>1200</v>
      </c>
      <c r="F810" s="207">
        <f t="shared" si="4"/>
        <v>38400</v>
      </c>
      <c r="G810" s="318"/>
      <c r="H810" s="319"/>
    </row>
    <row r="811" spans="1:8" s="315" customFormat="1" x14ac:dyDescent="0.3">
      <c r="A811" s="314" t="s">
        <v>734</v>
      </c>
      <c r="B811" s="315" t="s">
        <v>735</v>
      </c>
      <c r="C811" s="262">
        <v>176</v>
      </c>
      <c r="D811" s="314" t="s">
        <v>715</v>
      </c>
      <c r="E811" s="316">
        <v>550</v>
      </c>
      <c r="F811" s="207">
        <f t="shared" si="4"/>
        <v>96800</v>
      </c>
      <c r="G811" s="318"/>
      <c r="H811" s="319"/>
    </row>
    <row r="812" spans="1:8" s="315" customFormat="1" x14ac:dyDescent="0.3">
      <c r="A812" s="314" t="s">
        <v>2</v>
      </c>
      <c r="B812" s="315" t="s">
        <v>736</v>
      </c>
      <c r="C812" s="262">
        <v>76</v>
      </c>
      <c r="D812" s="314" t="s">
        <v>715</v>
      </c>
      <c r="E812" s="316">
        <v>550</v>
      </c>
      <c r="F812" s="207">
        <f t="shared" si="4"/>
        <v>41800</v>
      </c>
      <c r="G812" s="318"/>
      <c r="H812" s="319"/>
    </row>
    <row r="813" spans="1:8" s="315" customFormat="1" x14ac:dyDescent="0.3">
      <c r="A813" s="314" t="s">
        <v>4</v>
      </c>
      <c r="B813" s="315" t="s">
        <v>760</v>
      </c>
      <c r="C813" s="262">
        <v>58</v>
      </c>
      <c r="D813" s="314" t="s">
        <v>715</v>
      </c>
      <c r="E813" s="316">
        <v>550</v>
      </c>
      <c r="F813" s="207">
        <f t="shared" si="4"/>
        <v>31900</v>
      </c>
      <c r="G813" s="318"/>
      <c r="H813" s="319"/>
    </row>
    <row r="814" spans="1:8" s="315" customFormat="1" x14ac:dyDescent="0.3">
      <c r="A814" s="314" t="s">
        <v>5</v>
      </c>
      <c r="B814" s="315" t="s">
        <v>747</v>
      </c>
      <c r="C814" s="262">
        <v>43</v>
      </c>
      <c r="D814" s="314" t="s">
        <v>715</v>
      </c>
      <c r="E814" s="316">
        <v>8200</v>
      </c>
      <c r="F814" s="207">
        <f t="shared" si="4"/>
        <v>352600</v>
      </c>
      <c r="G814" s="318"/>
      <c r="H814" s="319"/>
    </row>
    <row r="815" spans="1:8" s="315" customFormat="1" x14ac:dyDescent="0.3">
      <c r="A815" s="314" t="s">
        <v>6</v>
      </c>
      <c r="B815" s="315" t="s">
        <v>737</v>
      </c>
      <c r="C815" s="262">
        <v>35</v>
      </c>
      <c r="D815" s="314" t="s">
        <v>697</v>
      </c>
      <c r="E815" s="316">
        <v>10000</v>
      </c>
      <c r="F815" s="207">
        <f t="shared" si="4"/>
        <v>350000</v>
      </c>
      <c r="G815" s="318"/>
      <c r="H815" s="319"/>
    </row>
    <row r="816" spans="1:8" s="315" customFormat="1" x14ac:dyDescent="0.3">
      <c r="A816" s="314" t="s">
        <v>7</v>
      </c>
      <c r="B816" s="315" t="s">
        <v>738</v>
      </c>
      <c r="C816" s="262">
        <v>14</v>
      </c>
      <c r="D816" s="314" t="s">
        <v>739</v>
      </c>
      <c r="E816" s="316">
        <v>1100</v>
      </c>
      <c r="F816" s="207">
        <f t="shared" si="4"/>
        <v>15400</v>
      </c>
      <c r="G816" s="318"/>
      <c r="H816" s="319"/>
    </row>
    <row r="817" spans="1:7" s="315" customFormat="1" x14ac:dyDescent="0.3">
      <c r="A817" s="314" t="s">
        <v>8</v>
      </c>
      <c r="B817" s="315" t="s">
        <v>759</v>
      </c>
      <c r="C817" s="262"/>
      <c r="D817" s="314"/>
      <c r="E817" s="316"/>
      <c r="F817" s="207">
        <v>570000</v>
      </c>
      <c r="G817" s="318"/>
    </row>
    <row r="818" spans="1:7" s="315" customFormat="1" x14ac:dyDescent="0.3">
      <c r="A818" s="314"/>
      <c r="C818" s="262"/>
      <c r="D818" s="314"/>
      <c r="E818" s="316"/>
      <c r="F818" s="207"/>
      <c r="G818" s="214"/>
    </row>
    <row r="819" spans="1:7" s="315" customFormat="1" ht="15" x14ac:dyDescent="0.3">
      <c r="A819" s="314"/>
      <c r="G819" s="214"/>
    </row>
    <row r="820" spans="1:7" s="315" customFormat="1" x14ac:dyDescent="0.3">
      <c r="A820" s="314"/>
      <c r="C820" s="262"/>
      <c r="D820" s="314"/>
      <c r="E820" s="316"/>
      <c r="F820" s="207"/>
      <c r="G820" s="214"/>
    </row>
    <row r="821" spans="1:7" s="315" customFormat="1" x14ac:dyDescent="0.35">
      <c r="A821" s="314"/>
      <c r="B821" s="220" t="s">
        <v>520</v>
      </c>
      <c r="C821" s="262"/>
      <c r="D821" s="314"/>
      <c r="E821" s="321" t="s">
        <v>15</v>
      </c>
      <c r="F821" s="322">
        <f>SUM(F787:F820)</f>
        <v>4940620</v>
      </c>
      <c r="G821" s="214"/>
    </row>
    <row r="822" spans="1:7" s="315" customFormat="1" x14ac:dyDescent="0.3">
      <c r="A822" s="314"/>
      <c r="B822" s="220" t="s">
        <v>740</v>
      </c>
      <c r="C822" s="262"/>
      <c r="D822" s="314"/>
      <c r="E822" s="316"/>
      <c r="F822" s="323"/>
      <c r="G822" s="214"/>
    </row>
    <row r="823" spans="1:7" s="315" customFormat="1" x14ac:dyDescent="0.35">
      <c r="A823" s="314"/>
      <c r="B823" s="317" t="s">
        <v>741</v>
      </c>
      <c r="C823" s="262"/>
      <c r="D823" s="314"/>
      <c r="E823" s="316"/>
      <c r="F823" s="323"/>
      <c r="G823" s="214"/>
    </row>
    <row r="824" spans="1:7" s="315" customFormat="1" x14ac:dyDescent="0.35">
      <c r="A824" s="314"/>
      <c r="B824" s="317"/>
      <c r="C824" s="262"/>
      <c r="D824" s="314"/>
      <c r="E824" s="316"/>
      <c r="F824" s="323"/>
      <c r="G824" s="214"/>
    </row>
    <row r="825" spans="1:7" s="315" customFormat="1" ht="105" x14ac:dyDescent="0.35">
      <c r="A825" s="314" t="s">
        <v>2</v>
      </c>
      <c r="B825" s="340" t="s">
        <v>748</v>
      </c>
      <c r="C825" s="336">
        <f>10+16+17</f>
        <v>43</v>
      </c>
      <c r="D825" s="314" t="s">
        <v>185</v>
      </c>
      <c r="E825" s="324">
        <v>450000</v>
      </c>
      <c r="F825" s="337">
        <f>E825*C825</f>
        <v>19350000</v>
      </c>
      <c r="G825" s="214"/>
    </row>
    <row r="826" spans="1:7" s="315" customFormat="1" ht="105" x14ac:dyDescent="0.35">
      <c r="A826" s="314" t="s">
        <v>4</v>
      </c>
      <c r="B826" s="340" t="s">
        <v>755</v>
      </c>
      <c r="C826" s="336">
        <v>1</v>
      </c>
      <c r="D826" s="314" t="s">
        <v>185</v>
      </c>
      <c r="E826" s="324">
        <v>390000</v>
      </c>
      <c r="F826" s="337">
        <f>E826*C826</f>
        <v>390000</v>
      </c>
      <c r="G826" s="214"/>
    </row>
    <row r="827" spans="1:7" s="315" customFormat="1" ht="105" x14ac:dyDescent="0.35">
      <c r="A827" s="314" t="s">
        <v>5</v>
      </c>
      <c r="B827" s="340" t="s">
        <v>756</v>
      </c>
      <c r="C827" s="336">
        <v>3</v>
      </c>
      <c r="D827" s="314" t="s">
        <v>185</v>
      </c>
      <c r="E827" s="324">
        <v>284000</v>
      </c>
      <c r="F827" s="337">
        <f>E827*C827</f>
        <v>852000</v>
      </c>
      <c r="G827" s="214"/>
    </row>
    <row r="828" spans="1:7" s="315" customFormat="1" ht="90" x14ac:dyDescent="0.35">
      <c r="A828" s="314" t="s">
        <v>6</v>
      </c>
      <c r="B828" s="340" t="s">
        <v>749</v>
      </c>
      <c r="C828" s="336">
        <v>37</v>
      </c>
      <c r="D828" s="314" t="s">
        <v>185</v>
      </c>
      <c r="E828" s="324">
        <v>125000</v>
      </c>
      <c r="F828" s="337">
        <f>E828*C828</f>
        <v>4625000</v>
      </c>
      <c r="G828" s="214"/>
    </row>
    <row r="829" spans="1:7" s="315" customFormat="1" ht="45.75" x14ac:dyDescent="0.35">
      <c r="A829" s="314" t="s">
        <v>7</v>
      </c>
      <c r="B829" s="325" t="s">
        <v>742</v>
      </c>
      <c r="C829" s="326">
        <v>2</v>
      </c>
      <c r="D829" s="314" t="s">
        <v>185</v>
      </c>
      <c r="E829" s="324">
        <v>225000</v>
      </c>
      <c r="F829" s="337">
        <f>E829*C829</f>
        <v>450000</v>
      </c>
      <c r="G829" s="214"/>
    </row>
    <row r="830" spans="1:7" s="315" customFormat="1" ht="15" x14ac:dyDescent="0.3">
      <c r="A830" s="314" t="s">
        <v>8</v>
      </c>
      <c r="B830" s="315" t="s">
        <v>341</v>
      </c>
      <c r="C830" s="327">
        <v>37</v>
      </c>
      <c r="D830" s="314" t="s">
        <v>185</v>
      </c>
      <c r="E830" s="316">
        <v>65000</v>
      </c>
      <c r="F830" s="323">
        <f>C830*E830</f>
        <v>2405000</v>
      </c>
      <c r="G830" s="214"/>
    </row>
    <row r="831" spans="1:7" s="315" customFormat="1" ht="15" x14ac:dyDescent="0.3">
      <c r="A831" s="314" t="s">
        <v>9</v>
      </c>
      <c r="B831" s="315" t="s">
        <v>743</v>
      </c>
      <c r="C831" s="327">
        <v>37</v>
      </c>
      <c r="D831" s="314" t="s">
        <v>185</v>
      </c>
      <c r="E831" s="328">
        <v>198000</v>
      </c>
      <c r="F831" s="323">
        <f>C831*E831</f>
        <v>7326000</v>
      </c>
      <c r="G831" s="214"/>
    </row>
    <row r="832" spans="1:7" s="315" customFormat="1" x14ac:dyDescent="0.3">
      <c r="A832" s="314" t="s">
        <v>10</v>
      </c>
      <c r="B832" s="329" t="s">
        <v>744</v>
      </c>
      <c r="C832" s="262">
        <v>37</v>
      </c>
      <c r="D832" s="314" t="s">
        <v>185</v>
      </c>
      <c r="E832" s="324">
        <v>65000</v>
      </c>
      <c r="F832" s="207">
        <f>E832*C832</f>
        <v>2405000</v>
      </c>
      <c r="G832" s="214"/>
    </row>
    <row r="833" spans="1:8" s="338" customFormat="1" ht="30" x14ac:dyDescent="0.3">
      <c r="A833" s="341" t="s">
        <v>11</v>
      </c>
      <c r="B833" s="342" t="s">
        <v>750</v>
      </c>
      <c r="C833" s="343">
        <v>43</v>
      </c>
      <c r="D833" s="314" t="s">
        <v>185</v>
      </c>
      <c r="E833" s="344">
        <v>18000</v>
      </c>
      <c r="F833" s="345">
        <f>E833*C833</f>
        <v>774000</v>
      </c>
    </row>
    <row r="834" spans="1:8" s="338" customFormat="1" x14ac:dyDescent="0.25">
      <c r="A834" s="341"/>
      <c r="B834" s="342"/>
      <c r="C834" s="343"/>
      <c r="D834" s="341"/>
      <c r="E834" s="344"/>
      <c r="F834" s="344"/>
    </row>
    <row r="835" spans="1:8" s="338" customFormat="1" ht="30" x14ac:dyDescent="0.3">
      <c r="A835" s="341" t="s">
        <v>12</v>
      </c>
      <c r="B835" s="342" t="s">
        <v>751</v>
      </c>
      <c r="C835" s="343">
        <v>43</v>
      </c>
      <c r="D835" s="314" t="s">
        <v>185</v>
      </c>
      <c r="E835" s="344">
        <v>2300</v>
      </c>
      <c r="F835" s="345">
        <f>E835*C835</f>
        <v>98900</v>
      </c>
    </row>
    <row r="836" spans="1:8" s="338" customFormat="1" x14ac:dyDescent="0.25">
      <c r="A836" s="341"/>
      <c r="B836" s="342"/>
      <c r="C836" s="343"/>
      <c r="D836" s="341"/>
      <c r="E836" s="344"/>
      <c r="F836" s="344"/>
    </row>
    <row r="837" spans="1:8" s="338" customFormat="1" ht="30" x14ac:dyDescent="0.3">
      <c r="A837" s="341" t="s">
        <v>13</v>
      </c>
      <c r="B837" s="342" t="s">
        <v>752</v>
      </c>
      <c r="C837" s="343">
        <v>43</v>
      </c>
      <c r="D837" s="314" t="s">
        <v>185</v>
      </c>
      <c r="E837" s="344">
        <v>45000</v>
      </c>
      <c r="F837" s="345">
        <f>E837*C837</f>
        <v>1935000</v>
      </c>
    </row>
    <row r="838" spans="1:8" s="338" customFormat="1" x14ac:dyDescent="0.25">
      <c r="A838" s="341"/>
      <c r="B838" s="342"/>
      <c r="C838" s="343"/>
      <c r="D838" s="341"/>
      <c r="E838" s="344"/>
      <c r="F838" s="345"/>
    </row>
    <row r="839" spans="1:8" s="338" customFormat="1" x14ac:dyDescent="0.3">
      <c r="A839" s="341" t="s">
        <v>14</v>
      </c>
      <c r="B839" s="342" t="s">
        <v>753</v>
      </c>
      <c r="C839" s="343">
        <v>43</v>
      </c>
      <c r="D839" s="314" t="s">
        <v>185</v>
      </c>
      <c r="E839" s="344">
        <v>35000</v>
      </c>
      <c r="F839" s="345">
        <f>E839*C839</f>
        <v>1505000</v>
      </c>
    </row>
    <row r="840" spans="1:8" s="338" customFormat="1" ht="11.65" customHeight="1" x14ac:dyDescent="0.25">
      <c r="A840" s="341"/>
      <c r="B840" s="342"/>
      <c r="C840" s="343"/>
      <c r="D840" s="341"/>
      <c r="E840" s="344"/>
      <c r="F840" s="344"/>
    </row>
    <row r="841" spans="1:8" s="338" customFormat="1" x14ac:dyDescent="0.3">
      <c r="A841" s="341" t="s">
        <v>15</v>
      </c>
      <c r="B841" s="342" t="s">
        <v>754</v>
      </c>
      <c r="C841" s="343">
        <v>37</v>
      </c>
      <c r="D841" s="314" t="s">
        <v>185</v>
      </c>
      <c r="E841" s="344">
        <v>25000</v>
      </c>
      <c r="F841" s="345">
        <f>E841*C841</f>
        <v>925000</v>
      </c>
    </row>
    <row r="842" spans="1:8" s="315" customFormat="1" ht="30" x14ac:dyDescent="0.3">
      <c r="A842" s="314" t="s">
        <v>16</v>
      </c>
      <c r="B842" s="339" t="s">
        <v>757</v>
      </c>
      <c r="C842" s="262">
        <v>1</v>
      </c>
      <c r="D842" s="314" t="s">
        <v>185</v>
      </c>
      <c r="E842" s="324">
        <v>143000</v>
      </c>
      <c r="F842" s="207">
        <f>E842*C842</f>
        <v>143000</v>
      </c>
      <c r="G842" s="214"/>
    </row>
    <row r="843" spans="1:8" s="214" customFormat="1" ht="45" x14ac:dyDescent="0.3">
      <c r="A843" s="206" t="s">
        <v>17</v>
      </c>
      <c r="B843" s="218" t="s">
        <v>762</v>
      </c>
      <c r="C843" s="262"/>
      <c r="D843" s="206" t="s">
        <v>758</v>
      </c>
      <c r="E843" s="320"/>
      <c r="F843" s="289">
        <f>20000*43</f>
        <v>860000</v>
      </c>
      <c r="G843" s="330"/>
      <c r="H843" s="319"/>
    </row>
    <row r="844" spans="1:8" s="214" customFormat="1" x14ac:dyDescent="0.3">
      <c r="A844" s="206" t="s">
        <v>26</v>
      </c>
      <c r="B844" s="218" t="s">
        <v>761</v>
      </c>
      <c r="C844" s="262"/>
      <c r="D844" s="206" t="s">
        <v>579</v>
      </c>
      <c r="E844" s="320"/>
      <c r="F844" s="289">
        <v>875000</v>
      </c>
      <c r="G844" s="330"/>
      <c r="H844" s="319"/>
    </row>
    <row r="845" spans="1:8" s="214" customFormat="1" x14ac:dyDescent="0.3">
      <c r="A845" s="206"/>
      <c r="B845" s="264" t="s">
        <v>361</v>
      </c>
      <c r="C845" s="262"/>
      <c r="D845" s="206"/>
      <c r="E845" s="320"/>
      <c r="F845" s="289"/>
      <c r="G845" s="330"/>
      <c r="H845" s="319"/>
    </row>
    <row r="846" spans="1:8" s="214" customFormat="1" x14ac:dyDescent="0.3">
      <c r="A846" s="206"/>
      <c r="B846" s="218" t="s">
        <v>809</v>
      </c>
      <c r="C846" s="262"/>
      <c r="D846" s="206"/>
      <c r="E846" s="320"/>
      <c r="F846" s="289"/>
      <c r="G846" s="330"/>
      <c r="H846" s="319"/>
    </row>
    <row r="847" spans="1:8" s="214" customFormat="1" x14ac:dyDescent="0.3">
      <c r="A847" s="206" t="s">
        <v>26</v>
      </c>
      <c r="B847" s="218" t="s">
        <v>363</v>
      </c>
      <c r="C847" s="262">
        <f>55*6</f>
        <v>330</v>
      </c>
      <c r="D847" s="206" t="s">
        <v>22</v>
      </c>
      <c r="E847" s="320">
        <v>3125</v>
      </c>
      <c r="F847" s="289">
        <f>C847*E847</f>
        <v>1031250</v>
      </c>
      <c r="G847" s="330"/>
      <c r="H847" s="319"/>
    </row>
    <row r="848" spans="1:8" s="214" customFormat="1" x14ac:dyDescent="0.25">
      <c r="A848" s="206" t="s">
        <v>27</v>
      </c>
      <c r="B848" s="218" t="s">
        <v>0</v>
      </c>
      <c r="C848" s="331"/>
      <c r="D848" s="206"/>
      <c r="E848" s="328"/>
      <c r="F848" s="332"/>
    </row>
    <row r="849" spans="1:6" s="315" customFormat="1" ht="15" x14ac:dyDescent="0.3">
      <c r="A849" s="314"/>
      <c r="C849" s="331"/>
      <c r="D849" s="314"/>
      <c r="E849" s="316"/>
      <c r="F849" s="323"/>
    </row>
    <row r="850" spans="1:6" s="315" customFormat="1" x14ac:dyDescent="0.35">
      <c r="A850" s="314"/>
      <c r="B850" s="220" t="s">
        <v>520</v>
      </c>
      <c r="C850" s="331"/>
      <c r="D850" s="314"/>
      <c r="E850" s="321" t="s">
        <v>15</v>
      </c>
      <c r="F850" s="322">
        <f>SUM(F825:F849)</f>
        <v>45950150</v>
      </c>
    </row>
    <row r="851" spans="1:6" s="315" customFormat="1" x14ac:dyDescent="0.35">
      <c r="A851" s="314"/>
      <c r="B851" s="220"/>
      <c r="C851" s="331"/>
      <c r="D851" s="314"/>
      <c r="E851" s="321"/>
      <c r="F851" s="322"/>
    </row>
    <row r="852" spans="1:6" s="315" customFormat="1" x14ac:dyDescent="0.35">
      <c r="A852" s="314"/>
      <c r="B852" s="220"/>
      <c r="C852" s="331"/>
      <c r="D852" s="314"/>
      <c r="E852" s="321"/>
      <c r="F852" s="322"/>
    </row>
    <row r="853" spans="1:6" s="214" customFormat="1" x14ac:dyDescent="0.25">
      <c r="A853" s="206"/>
      <c r="B853" s="220" t="s">
        <v>740</v>
      </c>
      <c r="C853" s="331"/>
      <c r="D853" s="206"/>
      <c r="E853" s="333"/>
      <c r="F853" s="332"/>
    </row>
    <row r="854" spans="1:6" s="214" customFormat="1" x14ac:dyDescent="0.25">
      <c r="A854" s="206"/>
      <c r="B854" s="220"/>
      <c r="C854" s="331"/>
      <c r="D854" s="206"/>
      <c r="E854" s="333"/>
      <c r="F854" s="332"/>
    </row>
    <row r="855" spans="1:6" s="214" customFormat="1" x14ac:dyDescent="0.25">
      <c r="A855" s="206"/>
      <c r="B855" s="220"/>
      <c r="C855" s="331"/>
      <c r="D855" s="206"/>
      <c r="E855" s="333"/>
      <c r="F855" s="332"/>
    </row>
    <row r="856" spans="1:6" s="214" customFormat="1" x14ac:dyDescent="0.25">
      <c r="A856" s="206"/>
      <c r="B856" s="220"/>
      <c r="C856" s="331"/>
      <c r="D856" s="206"/>
      <c r="E856" s="333"/>
      <c r="F856" s="332"/>
    </row>
    <row r="857" spans="1:6" s="214" customFormat="1" x14ac:dyDescent="0.25">
      <c r="A857" s="206"/>
      <c r="B857" s="220"/>
      <c r="C857" s="331"/>
      <c r="D857" s="206"/>
      <c r="E857" s="333"/>
      <c r="F857" s="332"/>
    </row>
    <row r="858" spans="1:6" s="214" customFormat="1" x14ac:dyDescent="0.25">
      <c r="A858" s="206"/>
      <c r="B858" s="220"/>
      <c r="C858" s="331"/>
      <c r="D858" s="206"/>
      <c r="E858" s="333"/>
      <c r="F858" s="332"/>
    </row>
    <row r="859" spans="1:6" s="214" customFormat="1" x14ac:dyDescent="0.25">
      <c r="A859" s="206"/>
      <c r="B859" s="220"/>
      <c r="C859" s="331"/>
      <c r="D859" s="206"/>
      <c r="E859" s="333"/>
      <c r="F859" s="332"/>
    </row>
    <row r="860" spans="1:6" s="214" customFormat="1" x14ac:dyDescent="0.25">
      <c r="A860" s="206"/>
      <c r="B860" s="220"/>
      <c r="C860" s="331"/>
      <c r="D860" s="206"/>
      <c r="E860" s="333"/>
      <c r="F860" s="332"/>
    </row>
    <row r="861" spans="1:6" s="214" customFormat="1" ht="18.75" customHeight="1" x14ac:dyDescent="0.25">
      <c r="A861" s="206"/>
      <c r="B861" s="210" t="s">
        <v>531</v>
      </c>
      <c r="C861" s="311"/>
      <c r="D861" s="209"/>
      <c r="E861" s="312"/>
      <c r="F861" s="313"/>
    </row>
    <row r="862" spans="1:6" s="214" customFormat="1" ht="18.75" customHeight="1" x14ac:dyDescent="0.25">
      <c r="A862" s="206"/>
      <c r="B862" s="210"/>
      <c r="C862" s="311"/>
      <c r="D862" s="209"/>
      <c r="E862" s="312"/>
      <c r="F862" s="313"/>
    </row>
    <row r="863" spans="1:6" s="214" customFormat="1" ht="17.25" customHeight="1" x14ac:dyDescent="0.25">
      <c r="A863" s="206"/>
      <c r="B863" s="231" t="s">
        <v>745</v>
      </c>
      <c r="C863" s="311"/>
      <c r="D863" s="209"/>
      <c r="E863" s="333">
        <f>F821</f>
        <v>4940620</v>
      </c>
      <c r="F863" s="313"/>
    </row>
    <row r="864" spans="1:6" s="214" customFormat="1" ht="17.25" customHeight="1" x14ac:dyDescent="0.25">
      <c r="A864" s="206"/>
      <c r="B864" s="231" t="s">
        <v>467</v>
      </c>
      <c r="C864" s="311"/>
      <c r="D864" s="209"/>
      <c r="E864" s="333">
        <f>F850</f>
        <v>45950150</v>
      </c>
      <c r="F864" s="313"/>
    </row>
    <row r="865" spans="1:8" s="214" customFormat="1" ht="17.25" customHeight="1" x14ac:dyDescent="0.25">
      <c r="A865" s="206"/>
      <c r="B865" s="231"/>
      <c r="C865" s="311"/>
      <c r="D865" s="209"/>
      <c r="E865" s="333"/>
      <c r="F865" s="313"/>
    </row>
    <row r="866" spans="1:8" s="214" customFormat="1" ht="17.25" customHeight="1" x14ac:dyDescent="0.25">
      <c r="A866" s="206"/>
      <c r="B866" s="231"/>
      <c r="C866" s="311"/>
      <c r="D866" s="209"/>
      <c r="E866" s="333"/>
      <c r="F866" s="313"/>
    </row>
    <row r="867" spans="1:8" s="214" customFormat="1" ht="17.25" customHeight="1" x14ac:dyDescent="0.25">
      <c r="A867" s="206"/>
      <c r="B867" s="231"/>
      <c r="C867" s="311"/>
      <c r="D867" s="209"/>
      <c r="E867" s="333"/>
      <c r="F867" s="313"/>
    </row>
    <row r="868" spans="1:8" s="214" customFormat="1" ht="17.25" customHeight="1" x14ac:dyDescent="0.25">
      <c r="A868" s="206"/>
      <c r="B868" s="231"/>
      <c r="C868" s="311"/>
      <c r="D868" s="209"/>
      <c r="E868" s="333"/>
      <c r="F868" s="313"/>
    </row>
    <row r="869" spans="1:8" s="214" customFormat="1" ht="17.25" customHeight="1" x14ac:dyDescent="0.25">
      <c r="A869" s="206"/>
      <c r="B869" s="210" t="s">
        <v>658</v>
      </c>
      <c r="C869" s="311"/>
      <c r="D869" s="209"/>
      <c r="E869" s="333"/>
      <c r="F869" s="313"/>
    </row>
    <row r="870" spans="1:8" s="214" customFormat="1" ht="17.25" customHeight="1" x14ac:dyDescent="0.25">
      <c r="A870" s="206"/>
      <c r="B870" s="220" t="s">
        <v>638</v>
      </c>
      <c r="C870" s="311"/>
      <c r="D870" s="209"/>
      <c r="E870" s="312" t="s">
        <v>15</v>
      </c>
      <c r="F870" s="313">
        <f>SUM(E863:E864)</f>
        <v>50890770</v>
      </c>
      <c r="H870" s="334"/>
    </row>
    <row r="871" spans="1:8" customFormat="1" ht="18.75" x14ac:dyDescent="0.25">
      <c r="A871" s="197"/>
      <c r="B871" s="292" t="s">
        <v>609</v>
      </c>
      <c r="C871" s="202"/>
      <c r="D871" s="197"/>
      <c r="E871" s="299"/>
      <c r="F871" s="201"/>
    </row>
    <row r="872" spans="1:8" customFormat="1" ht="16.5" customHeight="1" x14ac:dyDescent="0.25">
      <c r="A872" s="197"/>
      <c r="B872" s="202"/>
      <c r="C872" s="202"/>
      <c r="D872" s="197"/>
      <c r="E872" s="299"/>
      <c r="F872" s="201"/>
    </row>
    <row r="873" spans="1:8" customFormat="1" ht="17.25" customHeight="1" x14ac:dyDescent="0.25">
      <c r="A873" s="197"/>
      <c r="B873" s="300" t="s">
        <v>659</v>
      </c>
      <c r="C873" s="202"/>
      <c r="D873" s="197"/>
      <c r="E873" s="299"/>
      <c r="F873" s="201"/>
    </row>
    <row r="874" spans="1:8" s="346" customFormat="1" ht="33" x14ac:dyDescent="0.35">
      <c r="A874" s="354" t="s">
        <v>2</v>
      </c>
      <c r="B874" s="355" t="s">
        <v>763</v>
      </c>
      <c r="C874" s="356"/>
      <c r="D874" s="356"/>
      <c r="E874" s="356"/>
      <c r="F874" s="356"/>
      <c r="G874" s="346">
        <v>4</v>
      </c>
    </row>
    <row r="875" spans="1:8" s="346" customFormat="1" x14ac:dyDescent="0.35">
      <c r="A875" s="354" t="s">
        <v>810</v>
      </c>
      <c r="B875" s="354" t="s">
        <v>764</v>
      </c>
      <c r="C875" s="354" t="s">
        <v>765</v>
      </c>
      <c r="D875" s="354" t="s">
        <v>773</v>
      </c>
      <c r="E875" s="354" t="s">
        <v>767</v>
      </c>
      <c r="F875" s="354" t="s">
        <v>768</v>
      </c>
    </row>
    <row r="876" spans="1:8" s="346" customFormat="1" ht="45" x14ac:dyDescent="0.3">
      <c r="A876" s="357">
        <v>1</v>
      </c>
      <c r="B876" s="358" t="s">
        <v>811</v>
      </c>
      <c r="C876" s="359" t="s">
        <v>371</v>
      </c>
      <c r="D876" s="359">
        <v>40</v>
      </c>
      <c r="E876" s="360">
        <v>26700</v>
      </c>
      <c r="F876" s="360">
        <f>D876*E876</f>
        <v>1068000</v>
      </c>
      <c r="G876" s="346">
        <v>10</v>
      </c>
      <c r="H876" s="346">
        <f>G876*$G$874</f>
        <v>40</v>
      </c>
    </row>
    <row r="877" spans="1:8" s="346" customFormat="1" ht="15.75" x14ac:dyDescent="0.3">
      <c r="A877" s="357">
        <v>2</v>
      </c>
      <c r="B877" s="361" t="s">
        <v>372</v>
      </c>
      <c r="C877" s="359" t="s">
        <v>373</v>
      </c>
      <c r="D877" s="359">
        <v>24</v>
      </c>
      <c r="E877" s="360">
        <v>2800</v>
      </c>
      <c r="F877" s="360">
        <f t="shared" ref="F877:F908" si="5">D877*E877</f>
        <v>67200</v>
      </c>
      <c r="G877" s="346">
        <v>6</v>
      </c>
      <c r="H877" s="346">
        <f t="shared" ref="H877:H940" si="6">G877*$G$874</f>
        <v>24</v>
      </c>
    </row>
    <row r="878" spans="1:8" s="346" customFormat="1" ht="15.75" x14ac:dyDescent="0.3">
      <c r="A878" s="357">
        <v>3</v>
      </c>
      <c r="B878" s="361" t="s">
        <v>374</v>
      </c>
      <c r="C878" s="359" t="s">
        <v>375</v>
      </c>
      <c r="D878" s="359">
        <v>24</v>
      </c>
      <c r="E878" s="360">
        <v>240</v>
      </c>
      <c r="F878" s="360">
        <f t="shared" si="5"/>
        <v>5760</v>
      </c>
      <c r="G878" s="346">
        <v>6</v>
      </c>
      <c r="H878" s="346">
        <f t="shared" si="6"/>
        <v>24</v>
      </c>
    </row>
    <row r="879" spans="1:8" s="346" customFormat="1" ht="15.75" x14ac:dyDescent="0.3">
      <c r="A879" s="357">
        <v>4</v>
      </c>
      <c r="B879" s="361" t="s">
        <v>376</v>
      </c>
      <c r="C879" s="359" t="s">
        <v>375</v>
      </c>
      <c r="D879" s="359">
        <v>120</v>
      </c>
      <c r="E879" s="360">
        <f>E878</f>
        <v>240</v>
      </c>
      <c r="F879" s="360">
        <f t="shared" si="5"/>
        <v>28800</v>
      </c>
      <c r="G879" s="346">
        <v>30</v>
      </c>
      <c r="H879" s="346">
        <f t="shared" si="6"/>
        <v>120</v>
      </c>
    </row>
    <row r="880" spans="1:8" s="346" customFormat="1" ht="15.75" x14ac:dyDescent="0.3">
      <c r="A880" s="357">
        <v>5</v>
      </c>
      <c r="B880" s="361" t="s">
        <v>377</v>
      </c>
      <c r="C880" s="359" t="s">
        <v>373</v>
      </c>
      <c r="D880" s="359">
        <v>20</v>
      </c>
      <c r="E880" s="360">
        <v>3000</v>
      </c>
      <c r="F880" s="360">
        <f t="shared" si="5"/>
        <v>60000</v>
      </c>
      <c r="G880" s="346">
        <v>5</v>
      </c>
      <c r="H880" s="346">
        <f t="shared" si="6"/>
        <v>20</v>
      </c>
    </row>
    <row r="881" spans="1:8" s="346" customFormat="1" ht="15.75" x14ac:dyDescent="0.3">
      <c r="A881" s="357">
        <v>6</v>
      </c>
      <c r="B881" s="361" t="s">
        <v>378</v>
      </c>
      <c r="C881" s="359" t="s">
        <v>373</v>
      </c>
      <c r="D881" s="359">
        <v>20</v>
      </c>
      <c r="E881" s="360">
        <v>2700</v>
      </c>
      <c r="F881" s="360">
        <f t="shared" si="5"/>
        <v>54000</v>
      </c>
      <c r="G881" s="346">
        <v>5</v>
      </c>
      <c r="H881" s="346">
        <f t="shared" si="6"/>
        <v>20</v>
      </c>
    </row>
    <row r="882" spans="1:8" s="346" customFormat="1" ht="45" x14ac:dyDescent="0.3">
      <c r="A882" s="357">
        <v>7</v>
      </c>
      <c r="B882" s="358" t="s">
        <v>812</v>
      </c>
      <c r="C882" s="359" t="s">
        <v>371</v>
      </c>
      <c r="D882" s="359">
        <v>10</v>
      </c>
      <c r="E882" s="360">
        <v>28000</v>
      </c>
      <c r="F882" s="360">
        <f t="shared" si="5"/>
        <v>280000</v>
      </c>
      <c r="G882" s="346">
        <v>2.5</v>
      </c>
      <c r="H882" s="346">
        <f t="shared" si="6"/>
        <v>10</v>
      </c>
    </row>
    <row r="883" spans="1:8" s="346" customFormat="1" ht="15.75" x14ac:dyDescent="0.3">
      <c r="A883" s="357">
        <v>8</v>
      </c>
      <c r="B883" s="361" t="s">
        <v>380</v>
      </c>
      <c r="C883" s="359" t="s">
        <v>373</v>
      </c>
      <c r="D883" s="359">
        <v>4</v>
      </c>
      <c r="E883" s="360">
        <v>3000</v>
      </c>
      <c r="F883" s="360">
        <f t="shared" si="5"/>
        <v>12000</v>
      </c>
      <c r="G883" s="346">
        <v>1</v>
      </c>
      <c r="H883" s="346">
        <f t="shared" si="6"/>
        <v>4</v>
      </c>
    </row>
    <row r="884" spans="1:8" s="346" customFormat="1" ht="15.75" x14ac:dyDescent="0.3">
      <c r="A884" s="357">
        <v>9</v>
      </c>
      <c r="B884" s="361" t="s">
        <v>381</v>
      </c>
      <c r="C884" s="359" t="s">
        <v>373</v>
      </c>
      <c r="D884" s="359">
        <v>4</v>
      </c>
      <c r="E884" s="360">
        <v>2300</v>
      </c>
      <c r="F884" s="360">
        <f t="shared" si="5"/>
        <v>9200</v>
      </c>
      <c r="G884" s="346">
        <v>1</v>
      </c>
      <c r="H884" s="346">
        <f t="shared" si="6"/>
        <v>4</v>
      </c>
    </row>
    <row r="885" spans="1:8" s="346" customFormat="1" ht="15.75" x14ac:dyDescent="0.3">
      <c r="A885" s="357">
        <v>10</v>
      </c>
      <c r="B885" s="361" t="s">
        <v>382</v>
      </c>
      <c r="C885" s="359" t="s">
        <v>373</v>
      </c>
      <c r="D885" s="359">
        <v>96</v>
      </c>
      <c r="E885" s="360">
        <v>1800</v>
      </c>
      <c r="F885" s="360">
        <f t="shared" si="5"/>
        <v>172800</v>
      </c>
      <c r="G885" s="346">
        <v>24</v>
      </c>
      <c r="H885" s="346">
        <f t="shared" si="6"/>
        <v>96</v>
      </c>
    </row>
    <row r="886" spans="1:8" s="346" customFormat="1" ht="15.75" x14ac:dyDescent="0.3">
      <c r="A886" s="357">
        <v>11</v>
      </c>
      <c r="B886" s="361" t="s">
        <v>383</v>
      </c>
      <c r="C886" s="359" t="s">
        <v>375</v>
      </c>
      <c r="D886" s="359">
        <v>96</v>
      </c>
      <c r="E886" s="360">
        <v>2900</v>
      </c>
      <c r="F886" s="360">
        <f t="shared" si="5"/>
        <v>278400</v>
      </c>
      <c r="G886" s="346">
        <v>24</v>
      </c>
      <c r="H886" s="346">
        <f t="shared" si="6"/>
        <v>96</v>
      </c>
    </row>
    <row r="887" spans="1:8" s="346" customFormat="1" ht="30" x14ac:dyDescent="0.3">
      <c r="A887" s="357">
        <v>12</v>
      </c>
      <c r="B887" s="361" t="s">
        <v>384</v>
      </c>
      <c r="C887" s="359" t="s">
        <v>375</v>
      </c>
      <c r="D887" s="359">
        <v>80</v>
      </c>
      <c r="E887" s="360">
        <v>450</v>
      </c>
      <c r="F887" s="360">
        <f t="shared" si="5"/>
        <v>36000</v>
      </c>
      <c r="G887" s="346">
        <v>20</v>
      </c>
      <c r="H887" s="346">
        <f t="shared" si="6"/>
        <v>80</v>
      </c>
    </row>
    <row r="888" spans="1:8" s="346" customFormat="1" ht="30" x14ac:dyDescent="0.3">
      <c r="A888" s="357">
        <v>13</v>
      </c>
      <c r="B888" s="361" t="s">
        <v>385</v>
      </c>
      <c r="C888" s="359" t="s">
        <v>375</v>
      </c>
      <c r="D888" s="359">
        <v>12</v>
      </c>
      <c r="E888" s="360">
        <v>3100</v>
      </c>
      <c r="F888" s="360">
        <f t="shared" si="5"/>
        <v>37200</v>
      </c>
      <c r="G888" s="346">
        <v>3</v>
      </c>
      <c r="H888" s="346">
        <f t="shared" si="6"/>
        <v>12</v>
      </c>
    </row>
    <row r="889" spans="1:8" s="346" customFormat="1" ht="30" x14ac:dyDescent="0.3">
      <c r="A889" s="357">
        <v>14</v>
      </c>
      <c r="B889" s="361" t="s">
        <v>386</v>
      </c>
      <c r="C889" s="359" t="s">
        <v>375</v>
      </c>
      <c r="D889" s="359">
        <v>8</v>
      </c>
      <c r="E889" s="360">
        <f>E888</f>
        <v>3100</v>
      </c>
      <c r="F889" s="360">
        <f t="shared" si="5"/>
        <v>24800</v>
      </c>
      <c r="G889" s="346">
        <v>2</v>
      </c>
      <c r="H889" s="346">
        <f t="shared" si="6"/>
        <v>8</v>
      </c>
    </row>
    <row r="890" spans="1:8" s="346" customFormat="1" ht="30" x14ac:dyDescent="0.3">
      <c r="A890" s="359">
        <v>15</v>
      </c>
      <c r="B890" s="361" t="s">
        <v>387</v>
      </c>
      <c r="C890" s="359" t="s">
        <v>375</v>
      </c>
      <c r="D890" s="359">
        <v>8</v>
      </c>
      <c r="E890" s="360">
        <v>2100</v>
      </c>
      <c r="F890" s="360">
        <f t="shared" si="5"/>
        <v>16800</v>
      </c>
      <c r="G890" s="346">
        <v>2</v>
      </c>
      <c r="H890" s="346">
        <f t="shared" si="6"/>
        <v>8</v>
      </c>
    </row>
    <row r="891" spans="1:8" s="346" customFormat="1" ht="30" x14ac:dyDescent="0.3">
      <c r="A891" s="359">
        <v>16</v>
      </c>
      <c r="B891" s="361" t="s">
        <v>388</v>
      </c>
      <c r="C891" s="359" t="s">
        <v>375</v>
      </c>
      <c r="D891" s="359">
        <v>8</v>
      </c>
      <c r="E891" s="360">
        <v>4700</v>
      </c>
      <c r="F891" s="360">
        <f t="shared" si="5"/>
        <v>37600</v>
      </c>
      <c r="G891" s="346">
        <v>2</v>
      </c>
      <c r="H891" s="346">
        <f t="shared" si="6"/>
        <v>8</v>
      </c>
    </row>
    <row r="892" spans="1:8" s="346" customFormat="1" ht="30" x14ac:dyDescent="0.3">
      <c r="A892" s="359">
        <v>17</v>
      </c>
      <c r="B892" s="361" t="s">
        <v>389</v>
      </c>
      <c r="C892" s="359" t="s">
        <v>390</v>
      </c>
      <c r="D892" s="359">
        <v>56</v>
      </c>
      <c r="E892" s="360">
        <v>3000</v>
      </c>
      <c r="F892" s="360">
        <f t="shared" si="5"/>
        <v>168000</v>
      </c>
      <c r="G892" s="346">
        <v>14</v>
      </c>
      <c r="H892" s="346">
        <f t="shared" si="6"/>
        <v>56</v>
      </c>
    </row>
    <row r="893" spans="1:8" s="346" customFormat="1" ht="45" x14ac:dyDescent="0.3">
      <c r="A893" s="359">
        <v>18</v>
      </c>
      <c r="B893" s="361" t="s">
        <v>391</v>
      </c>
      <c r="C893" s="359" t="s">
        <v>392</v>
      </c>
      <c r="D893" s="359">
        <v>4</v>
      </c>
      <c r="E893" s="360">
        <v>27900</v>
      </c>
      <c r="F893" s="360">
        <f t="shared" si="5"/>
        <v>111600</v>
      </c>
      <c r="G893" s="346">
        <v>1</v>
      </c>
      <c r="H893" s="346">
        <f t="shared" si="6"/>
        <v>4</v>
      </c>
    </row>
    <row r="894" spans="1:8" s="346" customFormat="1" ht="15.75" x14ac:dyDescent="0.3">
      <c r="A894" s="359">
        <v>19</v>
      </c>
      <c r="B894" s="361" t="s">
        <v>393</v>
      </c>
      <c r="C894" s="359" t="s">
        <v>373</v>
      </c>
      <c r="D894" s="359">
        <v>4</v>
      </c>
      <c r="E894" s="360">
        <v>3000</v>
      </c>
      <c r="F894" s="360">
        <f t="shared" si="5"/>
        <v>12000</v>
      </c>
      <c r="G894" s="346">
        <v>1</v>
      </c>
      <c r="H894" s="346">
        <f t="shared" si="6"/>
        <v>4</v>
      </c>
    </row>
    <row r="895" spans="1:8" s="346" customFormat="1" ht="15.75" x14ac:dyDescent="0.3">
      <c r="A895" s="359">
        <v>20</v>
      </c>
      <c r="B895" s="361" t="s">
        <v>394</v>
      </c>
      <c r="C895" s="359" t="s">
        <v>373</v>
      </c>
      <c r="D895" s="359">
        <v>4</v>
      </c>
      <c r="E895" s="360">
        <f>E894</f>
        <v>3000</v>
      </c>
      <c r="F895" s="360">
        <f t="shared" si="5"/>
        <v>12000</v>
      </c>
      <c r="G895" s="346">
        <v>1</v>
      </c>
      <c r="H895" s="346">
        <f t="shared" si="6"/>
        <v>4</v>
      </c>
    </row>
    <row r="896" spans="1:8" s="346" customFormat="1" ht="30" x14ac:dyDescent="0.3">
      <c r="A896" s="359">
        <v>21</v>
      </c>
      <c r="B896" s="361" t="s">
        <v>395</v>
      </c>
      <c r="C896" s="359" t="s">
        <v>396</v>
      </c>
      <c r="D896" s="359">
        <v>12</v>
      </c>
      <c r="E896" s="360">
        <v>6200</v>
      </c>
      <c r="F896" s="360">
        <f t="shared" si="5"/>
        <v>74400</v>
      </c>
      <c r="G896" s="346">
        <v>3</v>
      </c>
      <c r="H896" s="346">
        <f t="shared" si="6"/>
        <v>12</v>
      </c>
    </row>
    <row r="897" spans="1:8" s="346" customFormat="1" ht="30" x14ac:dyDescent="0.3">
      <c r="A897" s="359">
        <v>22</v>
      </c>
      <c r="B897" s="361" t="s">
        <v>397</v>
      </c>
      <c r="C897" s="359" t="s">
        <v>396</v>
      </c>
      <c r="D897" s="359">
        <v>24</v>
      </c>
      <c r="E897" s="360">
        <v>2400</v>
      </c>
      <c r="F897" s="360">
        <f t="shared" si="5"/>
        <v>57600</v>
      </c>
      <c r="G897" s="346">
        <v>6</v>
      </c>
      <c r="H897" s="346">
        <f t="shared" si="6"/>
        <v>24</v>
      </c>
    </row>
    <row r="898" spans="1:8" s="346" customFormat="1" ht="15.75" x14ac:dyDescent="0.3">
      <c r="A898" s="362">
        <v>23</v>
      </c>
      <c r="B898" s="361" t="s">
        <v>398</v>
      </c>
      <c r="C898" s="359" t="s">
        <v>399</v>
      </c>
      <c r="D898" s="359">
        <v>12</v>
      </c>
      <c r="E898" s="360">
        <v>5500</v>
      </c>
      <c r="F898" s="360">
        <f t="shared" si="5"/>
        <v>66000</v>
      </c>
      <c r="G898" s="346">
        <v>3</v>
      </c>
      <c r="H898" s="346">
        <f t="shared" si="6"/>
        <v>12</v>
      </c>
    </row>
    <row r="899" spans="1:8" s="346" customFormat="1" ht="15.75" x14ac:dyDescent="0.3">
      <c r="A899" s="359">
        <v>24</v>
      </c>
      <c r="B899" s="361" t="s">
        <v>813</v>
      </c>
      <c r="C899" s="359"/>
      <c r="D899" s="359"/>
      <c r="E899" s="360"/>
      <c r="F899" s="360">
        <v>480000</v>
      </c>
      <c r="H899" s="346">
        <f t="shared" si="6"/>
        <v>0</v>
      </c>
    </row>
    <row r="900" spans="1:8" s="346" customFormat="1" x14ac:dyDescent="0.35">
      <c r="A900" s="359"/>
      <c r="B900" s="363" t="s">
        <v>520</v>
      </c>
      <c r="C900" s="359"/>
      <c r="D900" s="359"/>
      <c r="E900" s="360"/>
      <c r="F900" s="364">
        <f>SUM(F876:F899)</f>
        <v>3170160</v>
      </c>
      <c r="H900" s="346">
        <f t="shared" si="6"/>
        <v>0</v>
      </c>
    </row>
    <row r="901" spans="1:8" s="346" customFormat="1" x14ac:dyDescent="0.35">
      <c r="A901" s="359"/>
      <c r="B901" s="365"/>
      <c r="C901" s="359"/>
      <c r="D901" s="359"/>
      <c r="E901" s="360"/>
      <c r="F901" s="366"/>
      <c r="H901" s="346">
        <f t="shared" si="6"/>
        <v>0</v>
      </c>
    </row>
    <row r="902" spans="1:8" s="346" customFormat="1" x14ac:dyDescent="0.35">
      <c r="A902" s="367" t="s">
        <v>4</v>
      </c>
      <c r="B902" s="355" t="s">
        <v>769</v>
      </c>
      <c r="C902" s="354" t="s">
        <v>765</v>
      </c>
      <c r="D902" s="354" t="s">
        <v>773</v>
      </c>
      <c r="E902" s="354" t="s">
        <v>767</v>
      </c>
      <c r="F902" s="354" t="s">
        <v>768</v>
      </c>
      <c r="G902" s="346" t="s">
        <v>766</v>
      </c>
      <c r="H902" s="346" t="e">
        <f t="shared" si="6"/>
        <v>#VALUE!</v>
      </c>
    </row>
    <row r="903" spans="1:8" s="346" customFormat="1" ht="45" x14ac:dyDescent="0.3">
      <c r="A903" s="359">
        <v>1</v>
      </c>
      <c r="B903" s="361" t="s">
        <v>814</v>
      </c>
      <c r="C903" s="359" t="s">
        <v>770</v>
      </c>
      <c r="D903" s="359">
        <v>12</v>
      </c>
      <c r="E903" s="360">
        <v>52000</v>
      </c>
      <c r="F903" s="360">
        <f t="shared" si="5"/>
        <v>624000</v>
      </c>
      <c r="G903" s="346">
        <v>3</v>
      </c>
      <c r="H903" s="346">
        <f t="shared" si="6"/>
        <v>12</v>
      </c>
    </row>
    <row r="904" spans="1:8" s="346" customFormat="1" ht="15.75" x14ac:dyDescent="0.3">
      <c r="A904" s="359">
        <v>2</v>
      </c>
      <c r="B904" s="361" t="s">
        <v>815</v>
      </c>
      <c r="C904" s="359" t="s">
        <v>771</v>
      </c>
      <c r="D904" s="359">
        <v>120</v>
      </c>
      <c r="E904" s="360">
        <v>2000</v>
      </c>
      <c r="F904" s="360">
        <f t="shared" si="5"/>
        <v>240000</v>
      </c>
      <c r="G904" s="346">
        <v>30</v>
      </c>
      <c r="H904" s="346">
        <f t="shared" si="6"/>
        <v>120</v>
      </c>
    </row>
    <row r="905" spans="1:8" s="346" customFormat="1" ht="15.75" x14ac:dyDescent="0.3">
      <c r="A905" s="359">
        <v>3</v>
      </c>
      <c r="B905" s="361" t="s">
        <v>816</v>
      </c>
      <c r="C905" s="359" t="s">
        <v>375</v>
      </c>
      <c r="D905" s="359">
        <v>120</v>
      </c>
      <c r="E905" s="360">
        <v>300</v>
      </c>
      <c r="F905" s="360">
        <f t="shared" si="5"/>
        <v>36000</v>
      </c>
      <c r="G905" s="346">
        <v>30</v>
      </c>
      <c r="H905" s="346">
        <f t="shared" si="6"/>
        <v>120</v>
      </c>
    </row>
    <row r="906" spans="1:8" s="346" customFormat="1" ht="15.75" x14ac:dyDescent="0.3">
      <c r="A906" s="359">
        <v>4</v>
      </c>
      <c r="B906" s="361" t="s">
        <v>817</v>
      </c>
      <c r="C906" s="359" t="s">
        <v>375</v>
      </c>
      <c r="D906" s="359">
        <v>60</v>
      </c>
      <c r="E906" s="360">
        <v>300</v>
      </c>
      <c r="F906" s="360">
        <f t="shared" si="5"/>
        <v>18000</v>
      </c>
      <c r="G906" s="346">
        <v>15</v>
      </c>
      <c r="H906" s="346">
        <f t="shared" si="6"/>
        <v>60</v>
      </c>
    </row>
    <row r="907" spans="1:8" s="346" customFormat="1" ht="30" x14ac:dyDescent="0.3">
      <c r="A907" s="359">
        <v>5</v>
      </c>
      <c r="B907" s="361" t="s">
        <v>389</v>
      </c>
      <c r="C907" s="359" t="s">
        <v>390</v>
      </c>
      <c r="D907" s="359">
        <v>8</v>
      </c>
      <c r="E907" s="360">
        <v>2500</v>
      </c>
      <c r="F907" s="360">
        <f t="shared" si="5"/>
        <v>20000</v>
      </c>
      <c r="G907" s="346">
        <v>2</v>
      </c>
      <c r="H907" s="346">
        <f t="shared" si="6"/>
        <v>8</v>
      </c>
    </row>
    <row r="908" spans="1:8" s="346" customFormat="1" ht="15.75" x14ac:dyDescent="0.3">
      <c r="A908" s="359">
        <v>6</v>
      </c>
      <c r="B908" s="361" t="s">
        <v>818</v>
      </c>
      <c r="C908" s="359" t="s">
        <v>399</v>
      </c>
      <c r="D908" s="359">
        <v>4</v>
      </c>
      <c r="E908" s="360">
        <v>5500</v>
      </c>
      <c r="F908" s="360">
        <f t="shared" si="5"/>
        <v>22000</v>
      </c>
      <c r="G908" s="346">
        <v>1</v>
      </c>
      <c r="H908" s="346">
        <f t="shared" si="6"/>
        <v>4</v>
      </c>
    </row>
    <row r="909" spans="1:8" s="346" customFormat="1" ht="15.75" x14ac:dyDescent="0.3">
      <c r="A909" s="359"/>
      <c r="B909" s="361" t="s">
        <v>813</v>
      </c>
      <c r="C909" s="359"/>
      <c r="D909" s="359"/>
      <c r="E909" s="360"/>
      <c r="F909" s="360">
        <v>180000</v>
      </c>
      <c r="H909" s="346">
        <f t="shared" si="6"/>
        <v>0</v>
      </c>
    </row>
    <row r="910" spans="1:8" s="346" customFormat="1" x14ac:dyDescent="0.35">
      <c r="A910" s="359"/>
      <c r="B910" s="363" t="s">
        <v>520</v>
      </c>
      <c r="C910" s="359"/>
      <c r="D910" s="359"/>
      <c r="E910" s="360"/>
      <c r="F910" s="364">
        <f>SUM(F903:F909)</f>
        <v>1140000</v>
      </c>
      <c r="H910" s="346">
        <f t="shared" si="6"/>
        <v>0</v>
      </c>
    </row>
    <row r="911" spans="1:8" s="346" customFormat="1" x14ac:dyDescent="0.35">
      <c r="A911" s="359"/>
      <c r="B911" s="365"/>
      <c r="C911" s="359"/>
      <c r="D911" s="359"/>
      <c r="E911" s="360"/>
      <c r="F911" s="366"/>
      <c r="H911" s="346">
        <f t="shared" si="6"/>
        <v>0</v>
      </c>
    </row>
    <row r="912" spans="1:8" s="346" customFormat="1" x14ac:dyDescent="0.35">
      <c r="A912" s="359"/>
      <c r="B912" s="368"/>
      <c r="C912" s="359"/>
      <c r="D912" s="359"/>
      <c r="E912" s="360"/>
      <c r="F912" s="366"/>
      <c r="H912" s="346">
        <f t="shared" si="6"/>
        <v>0</v>
      </c>
    </row>
    <row r="913" spans="1:8" s="346" customFormat="1" ht="99" x14ac:dyDescent="0.35">
      <c r="A913" s="367" t="s">
        <v>5</v>
      </c>
      <c r="B913" s="355" t="s">
        <v>777</v>
      </c>
      <c r="C913" s="359"/>
      <c r="D913" s="359"/>
      <c r="E913" s="360"/>
      <c r="F913" s="360"/>
      <c r="H913" s="346">
        <f t="shared" si="6"/>
        <v>0</v>
      </c>
    </row>
    <row r="914" spans="1:8" s="346" customFormat="1" ht="45" x14ac:dyDescent="0.3">
      <c r="A914" s="359">
        <v>1</v>
      </c>
      <c r="B914" s="358" t="s">
        <v>819</v>
      </c>
      <c r="C914" s="359" t="s">
        <v>371</v>
      </c>
      <c r="D914" s="359">
        <v>19</v>
      </c>
      <c r="E914" s="360">
        <f>E876</f>
        <v>26700</v>
      </c>
      <c r="F914" s="360">
        <f>D914*E914</f>
        <v>507300</v>
      </c>
      <c r="G914" s="346">
        <v>3</v>
      </c>
      <c r="H914" s="346">
        <f t="shared" si="6"/>
        <v>12</v>
      </c>
    </row>
    <row r="915" spans="1:8" s="346" customFormat="1" ht="15.75" x14ac:dyDescent="0.3">
      <c r="A915" s="359">
        <v>2</v>
      </c>
      <c r="B915" s="361" t="s">
        <v>372</v>
      </c>
      <c r="C915" s="359" t="s">
        <v>373</v>
      </c>
      <c r="D915" s="359">
        <v>6</v>
      </c>
      <c r="E915" s="360">
        <f>E877</f>
        <v>2800</v>
      </c>
      <c r="F915" s="360">
        <f t="shared" ref="F915:F927" si="7">D915*E915</f>
        <v>16800</v>
      </c>
      <c r="G915" s="346">
        <v>1</v>
      </c>
      <c r="H915" s="346">
        <f t="shared" si="6"/>
        <v>4</v>
      </c>
    </row>
    <row r="916" spans="1:8" s="346" customFormat="1" ht="15.75" x14ac:dyDescent="0.3">
      <c r="A916" s="359">
        <v>3</v>
      </c>
      <c r="B916" s="361" t="s">
        <v>377</v>
      </c>
      <c r="C916" s="359" t="s">
        <v>373</v>
      </c>
      <c r="D916" s="359">
        <v>2</v>
      </c>
      <c r="E916" s="360">
        <f>E880</f>
        <v>3000</v>
      </c>
      <c r="F916" s="360">
        <f t="shared" si="7"/>
        <v>6000</v>
      </c>
      <c r="G916" s="346">
        <v>0.25</v>
      </c>
      <c r="H916" s="346">
        <f t="shared" si="6"/>
        <v>1</v>
      </c>
    </row>
    <row r="917" spans="1:8" s="346" customFormat="1" ht="45" x14ac:dyDescent="0.3">
      <c r="A917" s="359">
        <v>4</v>
      </c>
      <c r="B917" s="358" t="s">
        <v>812</v>
      </c>
      <c r="C917" s="359" t="s">
        <v>371</v>
      </c>
      <c r="D917" s="359">
        <v>5</v>
      </c>
      <c r="E917" s="360">
        <f>E882</f>
        <v>28000</v>
      </c>
      <c r="F917" s="360">
        <f t="shared" si="7"/>
        <v>140000</v>
      </c>
      <c r="G917" s="346">
        <v>1</v>
      </c>
      <c r="H917" s="346">
        <f t="shared" si="6"/>
        <v>4</v>
      </c>
    </row>
    <row r="918" spans="1:8" s="346" customFormat="1" ht="15.75" x14ac:dyDescent="0.3">
      <c r="A918" s="359">
        <v>5</v>
      </c>
      <c r="B918" s="361" t="s">
        <v>380</v>
      </c>
      <c r="C918" s="359" t="s">
        <v>373</v>
      </c>
      <c r="D918" s="359">
        <v>1</v>
      </c>
      <c r="E918" s="360">
        <f>E883</f>
        <v>3000</v>
      </c>
      <c r="F918" s="360">
        <f t="shared" si="7"/>
        <v>3000</v>
      </c>
      <c r="G918" s="346">
        <v>0.25</v>
      </c>
      <c r="H918" s="346">
        <f t="shared" si="6"/>
        <v>1</v>
      </c>
    </row>
    <row r="919" spans="1:8" s="346" customFormat="1" ht="30" x14ac:dyDescent="0.3">
      <c r="A919" s="362">
        <v>6</v>
      </c>
      <c r="B919" s="361" t="s">
        <v>384</v>
      </c>
      <c r="C919" s="359" t="s">
        <v>375</v>
      </c>
      <c r="D919" s="359">
        <v>80</v>
      </c>
      <c r="E919" s="360">
        <f>E887</f>
        <v>450</v>
      </c>
      <c r="F919" s="360">
        <f t="shared" si="7"/>
        <v>36000</v>
      </c>
      <c r="G919" s="346">
        <v>20</v>
      </c>
      <c r="H919" s="346">
        <f t="shared" si="6"/>
        <v>80</v>
      </c>
    </row>
    <row r="920" spans="1:8" s="346" customFormat="1" ht="15.75" x14ac:dyDescent="0.3">
      <c r="A920" s="362">
        <v>7</v>
      </c>
      <c r="B920" s="361" t="s">
        <v>382</v>
      </c>
      <c r="C920" s="359" t="s">
        <v>373</v>
      </c>
      <c r="D920" s="359">
        <v>8</v>
      </c>
      <c r="E920" s="360">
        <f>E885</f>
        <v>1800</v>
      </c>
      <c r="F920" s="360">
        <f t="shared" si="7"/>
        <v>14400</v>
      </c>
      <c r="G920" s="346">
        <v>2</v>
      </c>
      <c r="H920" s="346">
        <f t="shared" si="6"/>
        <v>8</v>
      </c>
    </row>
    <row r="921" spans="1:8" s="346" customFormat="1" ht="30" x14ac:dyDescent="0.3">
      <c r="A921" s="362">
        <v>8</v>
      </c>
      <c r="B921" s="361" t="s">
        <v>820</v>
      </c>
      <c r="C921" s="359" t="s">
        <v>375</v>
      </c>
      <c r="D921" s="359">
        <v>80</v>
      </c>
      <c r="E921" s="360">
        <v>580</v>
      </c>
      <c r="F921" s="360">
        <f t="shared" si="7"/>
        <v>46400</v>
      </c>
      <c r="G921" s="346">
        <v>20</v>
      </c>
      <c r="H921" s="346">
        <f t="shared" si="6"/>
        <v>80</v>
      </c>
    </row>
    <row r="922" spans="1:8" s="346" customFormat="1" ht="30" x14ac:dyDescent="0.3">
      <c r="A922" s="362">
        <v>9</v>
      </c>
      <c r="B922" s="361" t="s">
        <v>386</v>
      </c>
      <c r="C922" s="359" t="s">
        <v>375</v>
      </c>
      <c r="D922" s="359">
        <v>24</v>
      </c>
      <c r="E922" s="360">
        <f>E889</f>
        <v>3100</v>
      </c>
      <c r="F922" s="360">
        <f t="shared" si="7"/>
        <v>74400</v>
      </c>
      <c r="G922" s="346">
        <v>6</v>
      </c>
      <c r="H922" s="346">
        <f t="shared" si="6"/>
        <v>24</v>
      </c>
    </row>
    <row r="923" spans="1:8" s="346" customFormat="1" ht="30" x14ac:dyDescent="0.3">
      <c r="A923" s="362"/>
      <c r="B923" s="361" t="s">
        <v>821</v>
      </c>
      <c r="C923" s="359" t="s">
        <v>375</v>
      </c>
      <c r="D923" s="359">
        <v>8</v>
      </c>
      <c r="E923" s="360">
        <f>E890</f>
        <v>2100</v>
      </c>
      <c r="F923" s="360">
        <f t="shared" si="7"/>
        <v>16800</v>
      </c>
      <c r="G923" s="346">
        <v>2</v>
      </c>
      <c r="H923" s="346">
        <f t="shared" si="6"/>
        <v>8</v>
      </c>
    </row>
    <row r="924" spans="1:8" s="346" customFormat="1" ht="30" x14ac:dyDescent="0.3">
      <c r="A924" s="362">
        <v>10</v>
      </c>
      <c r="B924" s="361" t="s">
        <v>389</v>
      </c>
      <c r="C924" s="359" t="s">
        <v>390</v>
      </c>
      <c r="D924" s="359">
        <v>12</v>
      </c>
      <c r="E924" s="360">
        <f>E907</f>
        <v>2500</v>
      </c>
      <c r="F924" s="360">
        <f t="shared" si="7"/>
        <v>30000</v>
      </c>
      <c r="G924" s="346">
        <v>3</v>
      </c>
      <c r="H924" s="346">
        <f t="shared" si="6"/>
        <v>12</v>
      </c>
    </row>
    <row r="925" spans="1:8" s="346" customFormat="1" ht="15.75" x14ac:dyDescent="0.3">
      <c r="A925" s="362"/>
      <c r="B925" s="361" t="s">
        <v>393</v>
      </c>
      <c r="C925" s="359" t="s">
        <v>373</v>
      </c>
      <c r="D925" s="359">
        <v>4</v>
      </c>
      <c r="E925" s="360">
        <f>E894</f>
        <v>3000</v>
      </c>
      <c r="F925" s="360">
        <f t="shared" si="7"/>
        <v>12000</v>
      </c>
      <c r="G925" s="346">
        <v>1</v>
      </c>
      <c r="H925" s="346">
        <f t="shared" si="6"/>
        <v>4</v>
      </c>
    </row>
    <row r="926" spans="1:8" s="346" customFormat="1" ht="15.75" x14ac:dyDescent="0.3">
      <c r="A926" s="362">
        <v>11</v>
      </c>
      <c r="B926" s="361" t="s">
        <v>394</v>
      </c>
      <c r="C926" s="359" t="s">
        <v>373</v>
      </c>
      <c r="D926" s="359">
        <v>4</v>
      </c>
      <c r="E926" s="360">
        <f>E925</f>
        <v>3000</v>
      </c>
      <c r="F926" s="360">
        <f t="shared" si="7"/>
        <v>12000</v>
      </c>
      <c r="G926" s="346">
        <v>1</v>
      </c>
      <c r="H926" s="346">
        <f t="shared" si="6"/>
        <v>4</v>
      </c>
    </row>
    <row r="927" spans="1:8" s="346" customFormat="1" ht="45" x14ac:dyDescent="0.3">
      <c r="A927" s="362">
        <v>12</v>
      </c>
      <c r="B927" s="361" t="s">
        <v>391</v>
      </c>
      <c r="C927" s="359" t="s">
        <v>392</v>
      </c>
      <c r="D927" s="359">
        <v>4</v>
      </c>
      <c r="E927" s="360">
        <f>E893</f>
        <v>27900</v>
      </c>
      <c r="F927" s="360">
        <f t="shared" si="7"/>
        <v>111600</v>
      </c>
      <c r="G927" s="346">
        <v>1</v>
      </c>
      <c r="H927" s="346">
        <f t="shared" si="6"/>
        <v>4</v>
      </c>
    </row>
    <row r="928" spans="1:8" s="346" customFormat="1" x14ac:dyDescent="0.35">
      <c r="A928" s="362"/>
      <c r="B928" s="361" t="s">
        <v>813</v>
      </c>
      <c r="C928" s="359"/>
      <c r="D928" s="359"/>
      <c r="E928" s="360"/>
      <c r="F928" s="369">
        <v>200000</v>
      </c>
      <c r="H928" s="346">
        <f t="shared" si="6"/>
        <v>0</v>
      </c>
    </row>
    <row r="929" spans="1:8" s="346" customFormat="1" x14ac:dyDescent="0.35">
      <c r="A929" s="362"/>
      <c r="B929" s="363" t="s">
        <v>520</v>
      </c>
      <c r="C929" s="359"/>
      <c r="D929" s="359"/>
      <c r="E929" s="360"/>
      <c r="F929" s="364">
        <f>SUM(F914:F928)</f>
        <v>1226700</v>
      </c>
      <c r="H929" s="346">
        <f t="shared" si="6"/>
        <v>0</v>
      </c>
    </row>
    <row r="930" spans="1:8" s="346" customFormat="1" x14ac:dyDescent="0.35">
      <c r="A930" s="362"/>
      <c r="B930" s="361"/>
      <c r="C930" s="359"/>
      <c r="D930" s="359"/>
      <c r="E930" s="360"/>
      <c r="F930" s="369"/>
      <c r="H930" s="346">
        <f t="shared" si="6"/>
        <v>0</v>
      </c>
    </row>
    <row r="931" spans="1:8" s="346" customFormat="1" x14ac:dyDescent="0.35">
      <c r="A931" s="367" t="s">
        <v>6</v>
      </c>
      <c r="B931" s="355" t="s">
        <v>778</v>
      </c>
      <c r="C931" s="367" t="s">
        <v>765</v>
      </c>
      <c r="D931" s="367" t="s">
        <v>773</v>
      </c>
      <c r="E931" s="364" t="s">
        <v>767</v>
      </c>
      <c r="F931" s="364" t="s">
        <v>768</v>
      </c>
      <c r="G931" s="346" t="s">
        <v>766</v>
      </c>
      <c r="H931" s="346" t="e">
        <f t="shared" si="6"/>
        <v>#VALUE!</v>
      </c>
    </row>
    <row r="932" spans="1:8" s="346" customFormat="1" x14ac:dyDescent="0.35">
      <c r="A932" s="359"/>
      <c r="B932" s="355" t="s">
        <v>403</v>
      </c>
      <c r="C932" s="359"/>
      <c r="D932" s="367"/>
      <c r="E932" s="360"/>
      <c r="F932" s="364"/>
      <c r="H932" s="346">
        <f t="shared" si="6"/>
        <v>0</v>
      </c>
    </row>
    <row r="933" spans="1:8" s="346" customFormat="1" ht="15.75" x14ac:dyDescent="0.3">
      <c r="A933" s="359">
        <v>1</v>
      </c>
      <c r="B933" s="361" t="s">
        <v>822</v>
      </c>
      <c r="C933" s="359" t="s">
        <v>392</v>
      </c>
      <c r="D933" s="359">
        <v>52</v>
      </c>
      <c r="E933" s="360">
        <v>21500</v>
      </c>
      <c r="F933" s="360">
        <f>D933*E933</f>
        <v>1118000</v>
      </c>
      <c r="G933" s="346">
        <v>13</v>
      </c>
      <c r="H933" s="346">
        <f t="shared" si="6"/>
        <v>52</v>
      </c>
    </row>
    <row r="934" spans="1:8" s="346" customFormat="1" ht="15.75" x14ac:dyDescent="0.3">
      <c r="A934" s="359">
        <v>2</v>
      </c>
      <c r="B934" s="361" t="s">
        <v>823</v>
      </c>
      <c r="C934" s="359" t="s">
        <v>392</v>
      </c>
      <c r="D934" s="359">
        <v>52</v>
      </c>
      <c r="E934" s="360">
        <f>E933</f>
        <v>21500</v>
      </c>
      <c r="F934" s="360">
        <f t="shared" ref="F934:F949" si="8">D934*E934</f>
        <v>1118000</v>
      </c>
      <c r="G934" s="346">
        <v>10</v>
      </c>
      <c r="H934" s="346">
        <f t="shared" si="6"/>
        <v>40</v>
      </c>
    </row>
    <row r="935" spans="1:8" s="346" customFormat="1" ht="15.75" x14ac:dyDescent="0.3">
      <c r="A935" s="359">
        <v>3</v>
      </c>
      <c r="B935" s="361" t="s">
        <v>824</v>
      </c>
      <c r="C935" s="359" t="s">
        <v>392</v>
      </c>
      <c r="D935" s="359">
        <v>52</v>
      </c>
      <c r="E935" s="360">
        <f>E934</f>
        <v>21500</v>
      </c>
      <c r="F935" s="360">
        <f t="shared" si="8"/>
        <v>1118000</v>
      </c>
      <c r="G935" s="346">
        <v>8.5</v>
      </c>
      <c r="H935" s="346">
        <f t="shared" si="6"/>
        <v>34</v>
      </c>
    </row>
    <row r="936" spans="1:8" s="346" customFormat="1" ht="15.75" x14ac:dyDescent="0.3">
      <c r="A936" s="359">
        <v>4</v>
      </c>
      <c r="B936" s="361" t="s">
        <v>407</v>
      </c>
      <c r="C936" s="359" t="s">
        <v>392</v>
      </c>
      <c r="D936" s="359">
        <v>28</v>
      </c>
      <c r="E936" s="360">
        <v>35700</v>
      </c>
      <c r="F936" s="360">
        <f t="shared" si="8"/>
        <v>999600</v>
      </c>
      <c r="G936" s="346">
        <v>7</v>
      </c>
      <c r="H936" s="346">
        <f t="shared" si="6"/>
        <v>28</v>
      </c>
    </row>
    <row r="937" spans="1:8" s="346" customFormat="1" ht="15.75" x14ac:dyDescent="0.3">
      <c r="A937" s="359">
        <v>5</v>
      </c>
      <c r="B937" s="361" t="s">
        <v>408</v>
      </c>
      <c r="C937" s="359" t="s">
        <v>392</v>
      </c>
      <c r="D937" s="359">
        <v>28</v>
      </c>
      <c r="E937" s="360">
        <f>E936</f>
        <v>35700</v>
      </c>
      <c r="F937" s="360">
        <f t="shared" si="8"/>
        <v>999600</v>
      </c>
      <c r="G937" s="346">
        <v>7</v>
      </c>
      <c r="H937" s="346">
        <f t="shared" si="6"/>
        <v>28</v>
      </c>
    </row>
    <row r="938" spans="1:8" s="346" customFormat="1" ht="15.75" x14ac:dyDescent="0.3">
      <c r="A938" s="359">
        <v>6</v>
      </c>
      <c r="B938" s="361" t="s">
        <v>409</v>
      </c>
      <c r="C938" s="359" t="s">
        <v>392</v>
      </c>
      <c r="D938" s="359">
        <v>2</v>
      </c>
      <c r="E938" s="360">
        <f>E937</f>
        <v>35700</v>
      </c>
      <c r="F938" s="360">
        <f t="shared" si="8"/>
        <v>71400</v>
      </c>
      <c r="G938" s="346">
        <v>0.5</v>
      </c>
      <c r="H938" s="346">
        <f t="shared" si="6"/>
        <v>2</v>
      </c>
    </row>
    <row r="939" spans="1:8" s="346" customFormat="1" ht="15.75" x14ac:dyDescent="0.3">
      <c r="A939" s="359">
        <v>7</v>
      </c>
      <c r="B939" s="361" t="s">
        <v>410</v>
      </c>
      <c r="C939" s="359" t="s">
        <v>392</v>
      </c>
      <c r="D939" s="359">
        <v>12</v>
      </c>
      <c r="E939" s="360">
        <v>60000</v>
      </c>
      <c r="F939" s="360">
        <f t="shared" si="8"/>
        <v>720000</v>
      </c>
      <c r="G939" s="346">
        <v>1.5</v>
      </c>
      <c r="H939" s="346">
        <f t="shared" si="6"/>
        <v>6</v>
      </c>
    </row>
    <row r="940" spans="1:8" s="346" customFormat="1" ht="15.75" x14ac:dyDescent="0.3">
      <c r="A940" s="359">
        <v>8</v>
      </c>
      <c r="B940" s="361" t="s">
        <v>411</v>
      </c>
      <c r="C940" s="359" t="s">
        <v>392</v>
      </c>
      <c r="D940" s="359">
        <v>12</v>
      </c>
      <c r="E940" s="360">
        <f>E939</f>
        <v>60000</v>
      </c>
      <c r="F940" s="360">
        <f t="shared" si="8"/>
        <v>720000</v>
      </c>
      <c r="G940" s="346">
        <v>1.5</v>
      </c>
      <c r="H940" s="346">
        <f t="shared" si="6"/>
        <v>6</v>
      </c>
    </row>
    <row r="941" spans="1:8" s="346" customFormat="1" ht="15.75" x14ac:dyDescent="0.3">
      <c r="A941" s="359">
        <v>9</v>
      </c>
      <c r="B941" s="361" t="s">
        <v>412</v>
      </c>
      <c r="C941" s="359" t="s">
        <v>392</v>
      </c>
      <c r="D941" s="359">
        <v>5</v>
      </c>
      <c r="E941" s="360">
        <v>156000</v>
      </c>
      <c r="F941" s="360">
        <f t="shared" si="8"/>
        <v>780000</v>
      </c>
      <c r="G941" s="346">
        <v>1</v>
      </c>
      <c r="H941" s="346">
        <f t="shared" ref="H941:H1004" si="9">G941*$G$874</f>
        <v>4</v>
      </c>
    </row>
    <row r="942" spans="1:8" s="346" customFormat="1" ht="15.75" x14ac:dyDescent="0.3">
      <c r="A942" s="359">
        <v>10</v>
      </c>
      <c r="B942" s="368" t="s">
        <v>413</v>
      </c>
      <c r="C942" s="359" t="s">
        <v>392</v>
      </c>
      <c r="D942" s="359">
        <v>5</v>
      </c>
      <c r="E942" s="360">
        <f>E941</f>
        <v>156000</v>
      </c>
      <c r="F942" s="360">
        <f t="shared" si="8"/>
        <v>780000</v>
      </c>
      <c r="G942" s="346">
        <v>1</v>
      </c>
      <c r="H942" s="346">
        <f t="shared" si="9"/>
        <v>4</v>
      </c>
    </row>
    <row r="943" spans="1:8" s="346" customFormat="1" ht="15.75" x14ac:dyDescent="0.3">
      <c r="A943" s="359">
        <v>11</v>
      </c>
      <c r="B943" s="361" t="s">
        <v>414</v>
      </c>
      <c r="C943" s="359" t="s">
        <v>392</v>
      </c>
      <c r="D943" s="359">
        <v>5</v>
      </c>
      <c r="E943" s="360">
        <f>E942</f>
        <v>156000</v>
      </c>
      <c r="F943" s="360">
        <f t="shared" si="8"/>
        <v>780000</v>
      </c>
      <c r="G943" s="346">
        <v>1</v>
      </c>
      <c r="H943" s="346">
        <f t="shared" si="9"/>
        <v>4</v>
      </c>
    </row>
    <row r="944" spans="1:8" s="346" customFormat="1" ht="15.75" x14ac:dyDescent="0.3">
      <c r="A944" s="359">
        <v>12</v>
      </c>
      <c r="B944" s="361" t="s">
        <v>415</v>
      </c>
      <c r="C944" s="359" t="s">
        <v>392</v>
      </c>
      <c r="D944" s="359">
        <v>5</v>
      </c>
      <c r="E944" s="360">
        <f>E943</f>
        <v>156000</v>
      </c>
      <c r="F944" s="360">
        <f t="shared" si="8"/>
        <v>780000</v>
      </c>
      <c r="G944" s="346">
        <v>1</v>
      </c>
      <c r="H944" s="346">
        <f t="shared" si="9"/>
        <v>4</v>
      </c>
    </row>
    <row r="945" spans="1:8" s="346" customFormat="1" ht="60" x14ac:dyDescent="0.3">
      <c r="A945" s="359">
        <v>13</v>
      </c>
      <c r="B945" s="361" t="s">
        <v>825</v>
      </c>
      <c r="C945" s="359" t="s">
        <v>417</v>
      </c>
      <c r="D945" s="359">
        <v>8</v>
      </c>
      <c r="E945" s="360">
        <v>35000</v>
      </c>
      <c r="F945" s="360">
        <f t="shared" si="8"/>
        <v>280000</v>
      </c>
      <c r="G945" s="346">
        <v>2</v>
      </c>
      <c r="H945" s="346">
        <f t="shared" si="9"/>
        <v>8</v>
      </c>
    </row>
    <row r="946" spans="1:8" s="346" customFormat="1" ht="45" x14ac:dyDescent="0.3">
      <c r="A946" s="359">
        <v>14</v>
      </c>
      <c r="B946" s="361" t="s">
        <v>826</v>
      </c>
      <c r="C946" s="359" t="s">
        <v>417</v>
      </c>
      <c r="D946" s="359">
        <v>4</v>
      </c>
      <c r="E946" s="360">
        <v>54000</v>
      </c>
      <c r="F946" s="360">
        <f t="shared" si="8"/>
        <v>216000</v>
      </c>
      <c r="G946" s="346">
        <v>1</v>
      </c>
      <c r="H946" s="346">
        <f t="shared" si="9"/>
        <v>4</v>
      </c>
    </row>
    <row r="947" spans="1:8" s="346" customFormat="1" ht="45" x14ac:dyDescent="0.3">
      <c r="A947" s="359">
        <v>15</v>
      </c>
      <c r="B947" s="361" t="s">
        <v>827</v>
      </c>
      <c r="C947" s="359" t="s">
        <v>417</v>
      </c>
      <c r="D947" s="359">
        <v>4</v>
      </c>
      <c r="E947" s="360">
        <v>51000</v>
      </c>
      <c r="F947" s="360">
        <f t="shared" si="8"/>
        <v>204000</v>
      </c>
      <c r="G947" s="346">
        <v>1</v>
      </c>
      <c r="H947" s="346">
        <f t="shared" si="9"/>
        <v>4</v>
      </c>
    </row>
    <row r="948" spans="1:8" s="346" customFormat="1" ht="30" x14ac:dyDescent="0.3">
      <c r="A948" s="359">
        <v>16</v>
      </c>
      <c r="B948" s="361" t="s">
        <v>828</v>
      </c>
      <c r="C948" s="359" t="s">
        <v>417</v>
      </c>
      <c r="D948" s="359">
        <v>8</v>
      </c>
      <c r="E948" s="360">
        <v>24000</v>
      </c>
      <c r="F948" s="360">
        <f t="shared" si="8"/>
        <v>192000</v>
      </c>
      <c r="G948" s="346">
        <v>2</v>
      </c>
      <c r="H948" s="346">
        <f t="shared" si="9"/>
        <v>8</v>
      </c>
    </row>
    <row r="949" spans="1:8" s="346" customFormat="1" ht="45" x14ac:dyDescent="0.3">
      <c r="A949" s="359">
        <v>17</v>
      </c>
      <c r="B949" s="361" t="s">
        <v>391</v>
      </c>
      <c r="C949" s="359" t="s">
        <v>392</v>
      </c>
      <c r="D949" s="359">
        <v>4</v>
      </c>
      <c r="E949" s="360">
        <f>E948</f>
        <v>24000</v>
      </c>
      <c r="F949" s="360">
        <f t="shared" si="8"/>
        <v>96000</v>
      </c>
      <c r="G949" s="346">
        <v>1</v>
      </c>
      <c r="H949" s="346">
        <f t="shared" si="9"/>
        <v>4</v>
      </c>
    </row>
    <row r="950" spans="1:8" s="346" customFormat="1" ht="15.75" x14ac:dyDescent="0.3">
      <c r="A950" s="359"/>
      <c r="B950" s="361" t="s">
        <v>813</v>
      </c>
      <c r="C950" s="359"/>
      <c r="D950" s="359"/>
      <c r="E950" s="360"/>
      <c r="F950" s="360">
        <v>400000</v>
      </c>
      <c r="H950" s="346">
        <f t="shared" si="9"/>
        <v>0</v>
      </c>
    </row>
    <row r="951" spans="1:8" s="346" customFormat="1" x14ac:dyDescent="0.35">
      <c r="A951" s="359"/>
      <c r="B951" s="363" t="s">
        <v>520</v>
      </c>
      <c r="C951" s="359"/>
      <c r="D951" s="359"/>
      <c r="E951" s="360"/>
      <c r="F951" s="364">
        <f>SUM(F933:F950)</f>
        <v>11372600</v>
      </c>
      <c r="H951" s="346">
        <f t="shared" si="9"/>
        <v>0</v>
      </c>
    </row>
    <row r="952" spans="1:8" s="346" customFormat="1" x14ac:dyDescent="0.35">
      <c r="A952" s="359"/>
      <c r="B952" s="365"/>
      <c r="C952" s="359"/>
      <c r="D952" s="359"/>
      <c r="E952" s="360"/>
      <c r="F952" s="360"/>
      <c r="H952" s="346">
        <f t="shared" si="9"/>
        <v>0</v>
      </c>
    </row>
    <row r="953" spans="1:8" s="346" customFormat="1" ht="99" x14ac:dyDescent="0.35">
      <c r="A953" s="367" t="s">
        <v>7</v>
      </c>
      <c r="B953" s="355" t="s">
        <v>772</v>
      </c>
      <c r="C953" s="359"/>
      <c r="D953" s="359"/>
      <c r="E953" s="360"/>
      <c r="F953" s="360"/>
      <c r="H953" s="346">
        <f t="shared" si="9"/>
        <v>0</v>
      </c>
    </row>
    <row r="954" spans="1:8" s="346" customFormat="1" x14ac:dyDescent="0.35">
      <c r="A954" s="367"/>
      <c r="B954" s="354" t="s">
        <v>764</v>
      </c>
      <c r="C954" s="359" t="s">
        <v>765</v>
      </c>
      <c r="D954" s="359" t="s">
        <v>773</v>
      </c>
      <c r="E954" s="360" t="s">
        <v>767</v>
      </c>
      <c r="F954" s="360" t="s">
        <v>768</v>
      </c>
      <c r="G954" s="346" t="s">
        <v>773</v>
      </c>
      <c r="H954" s="346" t="e">
        <f t="shared" si="9"/>
        <v>#VALUE!</v>
      </c>
    </row>
    <row r="955" spans="1:8" s="346" customFormat="1" ht="60" x14ac:dyDescent="0.3">
      <c r="A955" s="359">
        <v>1</v>
      </c>
      <c r="B955" s="361" t="s">
        <v>829</v>
      </c>
      <c r="C955" s="359" t="s">
        <v>774</v>
      </c>
      <c r="D955" s="359">
        <v>4</v>
      </c>
      <c r="E955" s="360">
        <v>48000</v>
      </c>
      <c r="F955" s="360">
        <f>D955*E955</f>
        <v>192000</v>
      </c>
      <c r="G955" s="346">
        <v>1</v>
      </c>
      <c r="H955" s="346">
        <f t="shared" si="9"/>
        <v>4</v>
      </c>
    </row>
    <row r="956" spans="1:8" s="346" customFormat="1" ht="30" x14ac:dyDescent="0.3">
      <c r="A956" s="359">
        <v>2</v>
      </c>
      <c r="B956" s="361" t="s">
        <v>830</v>
      </c>
      <c r="C956" s="359" t="s">
        <v>774</v>
      </c>
      <c r="D956" s="359">
        <v>4</v>
      </c>
      <c r="E956" s="360">
        <v>42000</v>
      </c>
      <c r="F956" s="360">
        <f t="shared" ref="F956:F966" si="10">D956*E956</f>
        <v>168000</v>
      </c>
      <c r="G956" s="346">
        <v>1</v>
      </c>
      <c r="H956" s="346">
        <f t="shared" si="9"/>
        <v>4</v>
      </c>
    </row>
    <row r="957" spans="1:8" s="346" customFormat="1" ht="45" x14ac:dyDescent="0.3">
      <c r="A957" s="359">
        <v>3</v>
      </c>
      <c r="B957" s="361" t="s">
        <v>831</v>
      </c>
      <c r="C957" s="359" t="s">
        <v>774</v>
      </c>
      <c r="D957" s="359">
        <v>2</v>
      </c>
      <c r="E957" s="360">
        <f>E956</f>
        <v>42000</v>
      </c>
      <c r="F957" s="360">
        <f t="shared" si="10"/>
        <v>84000</v>
      </c>
      <c r="G957" s="346">
        <v>0.5</v>
      </c>
      <c r="H957" s="346">
        <f t="shared" si="9"/>
        <v>2</v>
      </c>
    </row>
    <row r="958" spans="1:8" s="346" customFormat="1" ht="30" x14ac:dyDescent="0.3">
      <c r="A958" s="359">
        <v>4</v>
      </c>
      <c r="B958" s="361" t="s">
        <v>832</v>
      </c>
      <c r="C958" s="359" t="s">
        <v>774</v>
      </c>
      <c r="D958" s="359">
        <v>4</v>
      </c>
      <c r="E958" s="360">
        <v>78000</v>
      </c>
      <c r="F958" s="360">
        <f t="shared" si="10"/>
        <v>312000</v>
      </c>
      <c r="G958" s="346">
        <v>1</v>
      </c>
      <c r="H958" s="346">
        <f t="shared" si="9"/>
        <v>4</v>
      </c>
    </row>
    <row r="959" spans="1:8" s="346" customFormat="1" ht="30" x14ac:dyDescent="0.3">
      <c r="A959" s="359">
        <v>5</v>
      </c>
      <c r="B959" s="361" t="s">
        <v>833</v>
      </c>
      <c r="C959" s="359" t="s">
        <v>774</v>
      </c>
      <c r="D959" s="359">
        <v>4</v>
      </c>
      <c r="E959" s="360">
        <f>E958</f>
        <v>78000</v>
      </c>
      <c r="F959" s="360">
        <f t="shared" si="10"/>
        <v>312000</v>
      </c>
      <c r="G959" s="346">
        <v>1</v>
      </c>
      <c r="H959" s="346">
        <f t="shared" si="9"/>
        <v>4</v>
      </c>
    </row>
    <row r="960" spans="1:8" s="346" customFormat="1" ht="30" x14ac:dyDescent="0.3">
      <c r="A960" s="359">
        <v>6</v>
      </c>
      <c r="B960" s="361" t="s">
        <v>834</v>
      </c>
      <c r="C960" s="359" t="s">
        <v>392</v>
      </c>
      <c r="D960" s="359">
        <v>8</v>
      </c>
      <c r="E960" s="360">
        <v>45000</v>
      </c>
      <c r="F960" s="360">
        <f t="shared" si="10"/>
        <v>360000</v>
      </c>
      <c r="G960" s="346">
        <v>2</v>
      </c>
      <c r="H960" s="346">
        <f t="shared" si="9"/>
        <v>8</v>
      </c>
    </row>
    <row r="961" spans="1:8" s="346" customFormat="1" ht="15.75" x14ac:dyDescent="0.3">
      <c r="A961" s="359">
        <v>7</v>
      </c>
      <c r="B961" s="361" t="s">
        <v>835</v>
      </c>
      <c r="C961" s="359" t="s">
        <v>392</v>
      </c>
      <c r="D961" s="359">
        <v>6</v>
      </c>
      <c r="E961" s="360">
        <f>E960</f>
        <v>45000</v>
      </c>
      <c r="F961" s="360">
        <f t="shared" si="10"/>
        <v>270000</v>
      </c>
      <c r="G961" s="346">
        <v>1.5</v>
      </c>
      <c r="H961" s="346">
        <f t="shared" si="9"/>
        <v>6</v>
      </c>
    </row>
    <row r="962" spans="1:8" s="346" customFormat="1" ht="45" x14ac:dyDescent="0.3">
      <c r="A962" s="359">
        <v>8</v>
      </c>
      <c r="B962" s="361" t="s">
        <v>836</v>
      </c>
      <c r="C962" s="359" t="s">
        <v>375</v>
      </c>
      <c r="D962" s="359">
        <v>28</v>
      </c>
      <c r="E962" s="360">
        <v>25000</v>
      </c>
      <c r="F962" s="360">
        <f t="shared" si="10"/>
        <v>700000</v>
      </c>
      <c r="G962" s="346">
        <v>7</v>
      </c>
      <c r="H962" s="346">
        <f t="shared" si="9"/>
        <v>28</v>
      </c>
    </row>
    <row r="963" spans="1:8" s="346" customFormat="1" ht="30" x14ac:dyDescent="0.3">
      <c r="A963" s="359">
        <v>9</v>
      </c>
      <c r="B963" s="361" t="s">
        <v>837</v>
      </c>
      <c r="C963" s="359" t="s">
        <v>375</v>
      </c>
      <c r="D963" s="359">
        <v>4</v>
      </c>
      <c r="E963" s="360">
        <v>43000</v>
      </c>
      <c r="F963" s="360">
        <f t="shared" si="10"/>
        <v>172000</v>
      </c>
      <c r="G963" s="346">
        <v>1</v>
      </c>
      <c r="H963" s="346">
        <f t="shared" si="9"/>
        <v>4</v>
      </c>
    </row>
    <row r="964" spans="1:8" s="346" customFormat="1" ht="30" x14ac:dyDescent="0.3">
      <c r="A964" s="359">
        <v>10</v>
      </c>
      <c r="B964" s="361" t="s">
        <v>838</v>
      </c>
      <c r="C964" s="359" t="s">
        <v>375</v>
      </c>
      <c r="D964" s="359">
        <v>8</v>
      </c>
      <c r="E964" s="360">
        <v>25000</v>
      </c>
      <c r="F964" s="360">
        <f t="shared" si="10"/>
        <v>200000</v>
      </c>
      <c r="G964" s="346">
        <v>2</v>
      </c>
      <c r="H964" s="346">
        <f t="shared" si="9"/>
        <v>8</v>
      </c>
    </row>
    <row r="965" spans="1:8" s="346" customFormat="1" ht="45" x14ac:dyDescent="0.3">
      <c r="A965" s="359">
        <v>11</v>
      </c>
      <c r="B965" s="361" t="s">
        <v>839</v>
      </c>
      <c r="C965" s="359" t="s">
        <v>375</v>
      </c>
      <c r="D965" s="359">
        <v>8</v>
      </c>
      <c r="E965" s="360">
        <v>12000</v>
      </c>
      <c r="F965" s="360">
        <f t="shared" si="10"/>
        <v>96000</v>
      </c>
      <c r="G965" s="346">
        <v>2</v>
      </c>
      <c r="H965" s="346">
        <f t="shared" si="9"/>
        <v>8</v>
      </c>
    </row>
    <row r="966" spans="1:8" s="346" customFormat="1" ht="45" x14ac:dyDescent="0.3">
      <c r="A966" s="359">
        <v>12</v>
      </c>
      <c r="B966" s="361" t="s">
        <v>840</v>
      </c>
      <c r="C966" s="359" t="s">
        <v>375</v>
      </c>
      <c r="D966" s="359">
        <v>4</v>
      </c>
      <c r="E966" s="360">
        <v>280000</v>
      </c>
      <c r="F966" s="360">
        <f t="shared" si="10"/>
        <v>1120000</v>
      </c>
      <c r="G966" s="346">
        <v>1</v>
      </c>
      <c r="H966" s="346">
        <f t="shared" si="9"/>
        <v>4</v>
      </c>
    </row>
    <row r="967" spans="1:8" s="346" customFormat="1" ht="15.75" x14ac:dyDescent="0.3">
      <c r="A967" s="362"/>
      <c r="B967" s="368"/>
      <c r="C967" s="359"/>
      <c r="D967" s="359"/>
      <c r="E967" s="360"/>
      <c r="F967" s="360"/>
      <c r="H967" s="346">
        <f t="shared" si="9"/>
        <v>0</v>
      </c>
    </row>
    <row r="968" spans="1:8" s="346" customFormat="1" ht="15.75" x14ac:dyDescent="0.3">
      <c r="A968" s="359"/>
      <c r="B968" s="361" t="s">
        <v>813</v>
      </c>
      <c r="C968" s="359"/>
      <c r="D968" s="359"/>
      <c r="E968" s="360"/>
      <c r="F968" s="360">
        <v>300000</v>
      </c>
      <c r="H968" s="346">
        <f t="shared" si="9"/>
        <v>0</v>
      </c>
    </row>
    <row r="969" spans="1:8" s="346" customFormat="1" x14ac:dyDescent="0.35">
      <c r="A969" s="359"/>
      <c r="B969" s="363" t="s">
        <v>520</v>
      </c>
      <c r="C969" s="359"/>
      <c r="D969" s="359"/>
      <c r="E969" s="360"/>
      <c r="F969" s="364">
        <f>SUM(F955:F968)</f>
        <v>4286000</v>
      </c>
      <c r="H969" s="346">
        <f t="shared" si="9"/>
        <v>0</v>
      </c>
    </row>
    <row r="970" spans="1:8" s="346" customFormat="1" x14ac:dyDescent="0.35">
      <c r="A970" s="359"/>
      <c r="B970" s="355"/>
      <c r="C970" s="359"/>
      <c r="D970" s="359"/>
      <c r="E970" s="360"/>
      <c r="F970" s="369"/>
      <c r="H970" s="346">
        <f t="shared" si="9"/>
        <v>0</v>
      </c>
    </row>
    <row r="971" spans="1:8" s="346" customFormat="1" ht="33" x14ac:dyDescent="0.35">
      <c r="A971" s="367" t="s">
        <v>8</v>
      </c>
      <c r="B971" s="355" t="s">
        <v>775</v>
      </c>
      <c r="C971" s="367" t="s">
        <v>765</v>
      </c>
      <c r="D971" s="367" t="s">
        <v>773</v>
      </c>
      <c r="E971" s="364" t="s">
        <v>767</v>
      </c>
      <c r="F971" s="364" t="s">
        <v>768</v>
      </c>
      <c r="G971" s="346" t="s">
        <v>766</v>
      </c>
      <c r="H971" s="346" t="e">
        <f t="shared" si="9"/>
        <v>#VALUE!</v>
      </c>
    </row>
    <row r="972" spans="1:8" s="346" customFormat="1" ht="45" x14ac:dyDescent="0.3">
      <c r="A972" s="359">
        <v>1</v>
      </c>
      <c r="B972" s="370" t="s">
        <v>841</v>
      </c>
      <c r="C972" s="314" t="s">
        <v>375</v>
      </c>
      <c r="D972" s="359">
        <v>88</v>
      </c>
      <c r="E972" s="371">
        <v>3450</v>
      </c>
      <c r="F972" s="360">
        <f>D972*E972</f>
        <v>303600</v>
      </c>
      <c r="G972" s="346">
        <v>22</v>
      </c>
      <c r="H972" s="346">
        <f t="shared" si="9"/>
        <v>88</v>
      </c>
    </row>
    <row r="973" spans="1:8" s="346" customFormat="1" ht="45" x14ac:dyDescent="0.3">
      <c r="A973" s="359">
        <v>2</v>
      </c>
      <c r="B973" s="370" t="s">
        <v>842</v>
      </c>
      <c r="C973" s="314" t="s">
        <v>375</v>
      </c>
      <c r="D973" s="359">
        <v>88</v>
      </c>
      <c r="E973" s="371">
        <v>5150</v>
      </c>
      <c r="F973" s="360">
        <f t="shared" ref="F973:F1004" si="11">D973*E973</f>
        <v>453200</v>
      </c>
      <c r="G973" s="346">
        <v>22</v>
      </c>
      <c r="H973" s="346">
        <f t="shared" si="9"/>
        <v>88</v>
      </c>
    </row>
    <row r="974" spans="1:8" s="346" customFormat="1" ht="45" x14ac:dyDescent="0.3">
      <c r="A974" s="359">
        <v>3</v>
      </c>
      <c r="B974" s="370" t="s">
        <v>843</v>
      </c>
      <c r="C974" s="314" t="s">
        <v>375</v>
      </c>
      <c r="D974" s="359">
        <v>88</v>
      </c>
      <c r="E974" s="371">
        <v>6700</v>
      </c>
      <c r="F974" s="360">
        <f t="shared" si="11"/>
        <v>589600</v>
      </c>
      <c r="G974" s="346">
        <v>22</v>
      </c>
      <c r="H974" s="346">
        <f t="shared" si="9"/>
        <v>88</v>
      </c>
    </row>
    <row r="975" spans="1:8" s="346" customFormat="1" ht="45" x14ac:dyDescent="0.3">
      <c r="A975" s="359">
        <v>5</v>
      </c>
      <c r="B975" s="370" t="s">
        <v>844</v>
      </c>
      <c r="C975" s="314" t="s">
        <v>375</v>
      </c>
      <c r="D975" s="359">
        <v>28</v>
      </c>
      <c r="E975" s="371">
        <v>11950</v>
      </c>
      <c r="F975" s="360">
        <f t="shared" si="11"/>
        <v>334600</v>
      </c>
      <c r="G975" s="346">
        <v>7</v>
      </c>
      <c r="H975" s="346">
        <f t="shared" si="9"/>
        <v>28</v>
      </c>
    </row>
    <row r="976" spans="1:8" s="346" customFormat="1" ht="30" x14ac:dyDescent="0.3">
      <c r="A976" s="359">
        <v>6</v>
      </c>
      <c r="B976" s="372" t="s">
        <v>845</v>
      </c>
      <c r="C976" s="314" t="s">
        <v>375</v>
      </c>
      <c r="D976" s="359">
        <v>40</v>
      </c>
      <c r="E976" s="371">
        <v>4000</v>
      </c>
      <c r="F976" s="360">
        <f t="shared" si="11"/>
        <v>160000</v>
      </c>
      <c r="G976" s="346">
        <v>10</v>
      </c>
      <c r="H976" s="346">
        <f t="shared" si="9"/>
        <v>40</v>
      </c>
    </row>
    <row r="977" spans="1:8" s="346" customFormat="1" ht="30" x14ac:dyDescent="0.3">
      <c r="A977" s="359">
        <v>8</v>
      </c>
      <c r="B977" s="372" t="s">
        <v>846</v>
      </c>
      <c r="C977" s="314" t="s">
        <v>375</v>
      </c>
      <c r="D977" s="359">
        <v>12</v>
      </c>
      <c r="E977" s="371">
        <v>3400</v>
      </c>
      <c r="F977" s="360">
        <f t="shared" si="11"/>
        <v>40800</v>
      </c>
      <c r="G977" s="346">
        <v>3</v>
      </c>
      <c r="H977" s="346">
        <f t="shared" si="9"/>
        <v>12</v>
      </c>
    </row>
    <row r="978" spans="1:8" s="346" customFormat="1" ht="45" x14ac:dyDescent="0.3">
      <c r="A978" s="359">
        <v>9</v>
      </c>
      <c r="B978" s="372" t="s">
        <v>847</v>
      </c>
      <c r="C978" s="314" t="s">
        <v>375</v>
      </c>
      <c r="D978" s="359">
        <v>152</v>
      </c>
      <c r="E978" s="371">
        <v>8031</v>
      </c>
      <c r="F978" s="360">
        <f>D978*E978</f>
        <v>1220712</v>
      </c>
      <c r="G978" s="346">
        <v>38</v>
      </c>
      <c r="H978" s="346">
        <f t="shared" si="9"/>
        <v>152</v>
      </c>
    </row>
    <row r="979" spans="1:8" s="346" customFormat="1" ht="30" x14ac:dyDescent="0.3">
      <c r="A979" s="359">
        <v>10</v>
      </c>
      <c r="B979" s="372" t="s">
        <v>848</v>
      </c>
      <c r="C979" s="314" t="s">
        <v>375</v>
      </c>
      <c r="D979" s="359">
        <v>4</v>
      </c>
      <c r="E979" s="371">
        <v>6500</v>
      </c>
      <c r="F979" s="360">
        <f t="shared" si="11"/>
        <v>26000</v>
      </c>
      <c r="G979" s="346">
        <v>1</v>
      </c>
      <c r="H979" s="346">
        <f t="shared" si="9"/>
        <v>4</v>
      </c>
    </row>
    <row r="980" spans="1:8" s="346" customFormat="1" ht="105" x14ac:dyDescent="0.3">
      <c r="A980" s="359">
        <v>11</v>
      </c>
      <c r="B980" s="372" t="s">
        <v>849</v>
      </c>
      <c r="C980" s="314" t="s">
        <v>375</v>
      </c>
      <c r="D980" s="359">
        <v>72</v>
      </c>
      <c r="E980" s="371">
        <v>6500</v>
      </c>
      <c r="F980" s="360">
        <f t="shared" si="11"/>
        <v>468000</v>
      </c>
      <c r="G980" s="346">
        <v>18</v>
      </c>
      <c r="H980" s="346">
        <f t="shared" si="9"/>
        <v>72</v>
      </c>
    </row>
    <row r="981" spans="1:8" s="346" customFormat="1" ht="105" x14ac:dyDescent="0.3">
      <c r="A981" s="359">
        <v>12</v>
      </c>
      <c r="B981" s="372" t="s">
        <v>850</v>
      </c>
      <c r="C981" s="314" t="s">
        <v>375</v>
      </c>
      <c r="D981" s="359">
        <v>4</v>
      </c>
      <c r="E981" s="371">
        <v>7800</v>
      </c>
      <c r="F981" s="360">
        <f t="shared" si="11"/>
        <v>31200</v>
      </c>
      <c r="G981" s="346">
        <v>1</v>
      </c>
      <c r="H981" s="346">
        <f t="shared" si="9"/>
        <v>4</v>
      </c>
    </row>
    <row r="982" spans="1:8" s="346" customFormat="1" ht="75" x14ac:dyDescent="0.3">
      <c r="A982" s="359">
        <v>13</v>
      </c>
      <c r="B982" s="372" t="s">
        <v>851</v>
      </c>
      <c r="C982" s="314" t="s">
        <v>375</v>
      </c>
      <c r="D982" s="359">
        <v>40</v>
      </c>
      <c r="E982" s="371">
        <v>18000</v>
      </c>
      <c r="F982" s="360">
        <f t="shared" si="11"/>
        <v>720000</v>
      </c>
      <c r="G982" s="346">
        <v>10</v>
      </c>
      <c r="H982" s="346">
        <f t="shared" si="9"/>
        <v>40</v>
      </c>
    </row>
    <row r="983" spans="1:8" s="346" customFormat="1" ht="75" x14ac:dyDescent="0.3">
      <c r="A983" s="359">
        <v>14</v>
      </c>
      <c r="B983" s="372" t="s">
        <v>852</v>
      </c>
      <c r="C983" s="314" t="s">
        <v>375</v>
      </c>
      <c r="D983" s="359">
        <v>28</v>
      </c>
      <c r="E983" s="371">
        <v>186000</v>
      </c>
      <c r="F983" s="360">
        <f t="shared" si="11"/>
        <v>5208000</v>
      </c>
      <c r="G983" s="346">
        <v>7</v>
      </c>
      <c r="H983" s="346">
        <f t="shared" si="9"/>
        <v>28</v>
      </c>
    </row>
    <row r="984" spans="1:8" s="346" customFormat="1" ht="45" x14ac:dyDescent="0.3">
      <c r="A984" s="359">
        <v>15</v>
      </c>
      <c r="B984" s="372" t="s">
        <v>853</v>
      </c>
      <c r="C984" s="314" t="s">
        <v>375</v>
      </c>
      <c r="D984" s="359">
        <v>72</v>
      </c>
      <c r="E984" s="371">
        <v>98000</v>
      </c>
      <c r="F984" s="360">
        <f t="shared" si="11"/>
        <v>7056000</v>
      </c>
      <c r="G984" s="346">
        <v>18</v>
      </c>
      <c r="H984" s="346">
        <f t="shared" si="9"/>
        <v>72</v>
      </c>
    </row>
    <row r="985" spans="1:8" s="346" customFormat="1" ht="90" x14ac:dyDescent="0.3">
      <c r="A985" s="359">
        <v>16</v>
      </c>
      <c r="B985" s="372" t="s">
        <v>854</v>
      </c>
      <c r="C985" s="314" t="s">
        <v>776</v>
      </c>
      <c r="D985" s="359">
        <v>152</v>
      </c>
      <c r="E985" s="371">
        <v>85000</v>
      </c>
      <c r="F985" s="360">
        <f t="shared" si="11"/>
        <v>12920000</v>
      </c>
      <c r="G985" s="346">
        <v>38</v>
      </c>
      <c r="H985" s="346">
        <f t="shared" si="9"/>
        <v>152</v>
      </c>
    </row>
    <row r="986" spans="1:8" s="346" customFormat="1" ht="30" x14ac:dyDescent="0.3">
      <c r="A986" s="359">
        <v>17</v>
      </c>
      <c r="B986" s="372" t="s">
        <v>855</v>
      </c>
      <c r="C986" s="314" t="s">
        <v>375</v>
      </c>
      <c r="D986" s="359">
        <v>56</v>
      </c>
      <c r="E986" s="371">
        <v>4200</v>
      </c>
      <c r="F986" s="360">
        <f t="shared" si="11"/>
        <v>235200</v>
      </c>
      <c r="G986" s="346">
        <v>14</v>
      </c>
      <c r="H986" s="346">
        <f t="shared" si="9"/>
        <v>56</v>
      </c>
    </row>
    <row r="987" spans="1:8" s="346" customFormat="1" ht="15.75" x14ac:dyDescent="0.3">
      <c r="A987" s="359">
        <v>18</v>
      </c>
      <c r="B987" s="372" t="s">
        <v>856</v>
      </c>
      <c r="C987" s="314" t="s">
        <v>375</v>
      </c>
      <c r="D987" s="359">
        <v>16</v>
      </c>
      <c r="E987" s="371">
        <v>2200</v>
      </c>
      <c r="F987" s="360">
        <f t="shared" si="11"/>
        <v>35200</v>
      </c>
      <c r="G987" s="346">
        <v>4</v>
      </c>
      <c r="H987" s="346">
        <f t="shared" si="9"/>
        <v>16</v>
      </c>
    </row>
    <row r="988" spans="1:8" s="346" customFormat="1" ht="30" x14ac:dyDescent="0.3">
      <c r="A988" s="359">
        <v>19</v>
      </c>
      <c r="B988" s="372" t="s">
        <v>857</v>
      </c>
      <c r="C988" s="314" t="s">
        <v>373</v>
      </c>
      <c r="D988" s="359">
        <v>16</v>
      </c>
      <c r="E988" s="371">
        <v>7500</v>
      </c>
      <c r="F988" s="360">
        <f t="shared" si="11"/>
        <v>120000</v>
      </c>
      <c r="G988" s="346">
        <v>4</v>
      </c>
      <c r="H988" s="346">
        <f t="shared" si="9"/>
        <v>16</v>
      </c>
    </row>
    <row r="989" spans="1:8" s="346" customFormat="1" ht="30" x14ac:dyDescent="0.3">
      <c r="A989" s="359">
        <v>20</v>
      </c>
      <c r="B989" s="372" t="s">
        <v>858</v>
      </c>
      <c r="C989" s="314" t="s">
        <v>373</v>
      </c>
      <c r="D989" s="359">
        <v>8</v>
      </c>
      <c r="E989" s="371">
        <v>1500</v>
      </c>
      <c r="F989" s="360">
        <f t="shared" si="11"/>
        <v>12000</v>
      </c>
      <c r="G989" s="346">
        <v>2</v>
      </c>
      <c r="H989" s="346">
        <f t="shared" si="9"/>
        <v>8</v>
      </c>
    </row>
    <row r="990" spans="1:8" s="346" customFormat="1" ht="15.75" x14ac:dyDescent="0.3">
      <c r="A990" s="359">
        <v>21</v>
      </c>
      <c r="B990" s="372" t="s">
        <v>859</v>
      </c>
      <c r="C990" s="314" t="s">
        <v>375</v>
      </c>
      <c r="D990" s="359">
        <v>56</v>
      </c>
      <c r="E990" s="371">
        <v>200</v>
      </c>
      <c r="F990" s="360">
        <f t="shared" si="11"/>
        <v>11200</v>
      </c>
      <c r="G990" s="346">
        <v>14</v>
      </c>
      <c r="H990" s="346">
        <f t="shared" si="9"/>
        <v>56</v>
      </c>
    </row>
    <row r="991" spans="1:8" s="346" customFormat="1" ht="15.75" x14ac:dyDescent="0.3">
      <c r="A991" s="359">
        <v>22</v>
      </c>
      <c r="B991" s="372" t="s">
        <v>860</v>
      </c>
      <c r="C991" s="314" t="s">
        <v>375</v>
      </c>
      <c r="D991" s="359">
        <v>8</v>
      </c>
      <c r="E991" s="371">
        <v>400</v>
      </c>
      <c r="F991" s="360">
        <f t="shared" si="11"/>
        <v>3200</v>
      </c>
      <c r="G991" s="346">
        <v>2</v>
      </c>
      <c r="H991" s="346">
        <f t="shared" si="9"/>
        <v>8</v>
      </c>
    </row>
    <row r="992" spans="1:8" s="346" customFormat="1" ht="15.75" x14ac:dyDescent="0.3">
      <c r="A992" s="359">
        <v>23</v>
      </c>
      <c r="B992" s="372" t="s">
        <v>861</v>
      </c>
      <c r="C992" s="314" t="s">
        <v>375</v>
      </c>
      <c r="D992" s="359">
        <v>8</v>
      </c>
      <c r="E992" s="371">
        <v>200</v>
      </c>
      <c r="F992" s="360">
        <f t="shared" si="11"/>
        <v>1600</v>
      </c>
      <c r="G992" s="346">
        <v>2</v>
      </c>
      <c r="H992" s="346">
        <f t="shared" si="9"/>
        <v>8</v>
      </c>
    </row>
    <row r="993" spans="1:8" s="346" customFormat="1" ht="15.75" x14ac:dyDescent="0.3">
      <c r="A993" s="359">
        <v>24</v>
      </c>
      <c r="B993" s="372" t="s">
        <v>862</v>
      </c>
      <c r="C993" s="314" t="s">
        <v>375</v>
      </c>
      <c r="D993" s="359">
        <v>4</v>
      </c>
      <c r="E993" s="371">
        <v>800</v>
      </c>
      <c r="F993" s="360">
        <f t="shared" si="11"/>
        <v>3200</v>
      </c>
      <c r="G993" s="346">
        <v>1</v>
      </c>
      <c r="H993" s="346">
        <f t="shared" si="9"/>
        <v>4</v>
      </c>
    </row>
    <row r="994" spans="1:8" s="346" customFormat="1" ht="30" x14ac:dyDescent="0.3">
      <c r="A994" s="359">
        <v>25</v>
      </c>
      <c r="B994" s="372" t="s">
        <v>863</v>
      </c>
      <c r="C994" s="314" t="s">
        <v>375</v>
      </c>
      <c r="D994" s="359">
        <v>32</v>
      </c>
      <c r="E994" s="371">
        <v>300</v>
      </c>
      <c r="F994" s="360">
        <f t="shared" si="11"/>
        <v>9600</v>
      </c>
      <c r="G994" s="346">
        <v>8</v>
      </c>
      <c r="H994" s="346">
        <f t="shared" si="9"/>
        <v>32</v>
      </c>
    </row>
    <row r="995" spans="1:8" s="346" customFormat="1" ht="30" x14ac:dyDescent="0.3">
      <c r="A995" s="359">
        <v>26</v>
      </c>
      <c r="B995" s="372" t="s">
        <v>864</v>
      </c>
      <c r="C995" s="314" t="s">
        <v>375</v>
      </c>
      <c r="D995" s="359">
        <v>8</v>
      </c>
      <c r="E995" s="371">
        <v>22000</v>
      </c>
      <c r="F995" s="360">
        <f t="shared" si="11"/>
        <v>176000</v>
      </c>
      <c r="G995" s="346">
        <v>2</v>
      </c>
      <c r="H995" s="346">
        <f t="shared" si="9"/>
        <v>8</v>
      </c>
    </row>
    <row r="996" spans="1:8" s="346" customFormat="1" ht="45" x14ac:dyDescent="0.3">
      <c r="A996" s="359">
        <v>27</v>
      </c>
      <c r="B996" s="372" t="s">
        <v>865</v>
      </c>
      <c r="C996" s="314" t="s">
        <v>375</v>
      </c>
      <c r="D996" s="359">
        <v>24</v>
      </c>
      <c r="E996" s="371">
        <f>E995</f>
        <v>22000</v>
      </c>
      <c r="F996" s="360">
        <f t="shared" si="11"/>
        <v>528000</v>
      </c>
      <c r="G996" s="346">
        <v>6</v>
      </c>
      <c r="H996" s="346">
        <f t="shared" si="9"/>
        <v>24</v>
      </c>
    </row>
    <row r="997" spans="1:8" s="346" customFormat="1" ht="45" x14ac:dyDescent="0.3">
      <c r="A997" s="359">
        <v>28</v>
      </c>
      <c r="B997" s="372" t="s">
        <v>866</v>
      </c>
      <c r="C997" s="314" t="s">
        <v>375</v>
      </c>
      <c r="D997" s="359">
        <v>32</v>
      </c>
      <c r="E997" s="371">
        <f>E996</f>
        <v>22000</v>
      </c>
      <c r="F997" s="360">
        <f t="shared" si="11"/>
        <v>704000</v>
      </c>
      <c r="G997" s="346">
        <v>8</v>
      </c>
      <c r="H997" s="346">
        <f t="shared" si="9"/>
        <v>32</v>
      </c>
    </row>
    <row r="998" spans="1:8" s="346" customFormat="1" ht="45" x14ac:dyDescent="0.3">
      <c r="A998" s="359">
        <v>29</v>
      </c>
      <c r="B998" s="372" t="s">
        <v>867</v>
      </c>
      <c r="C998" s="314" t="s">
        <v>375</v>
      </c>
      <c r="D998" s="359">
        <v>8</v>
      </c>
      <c r="E998" s="371">
        <v>10000</v>
      </c>
      <c r="F998" s="360">
        <f t="shared" si="11"/>
        <v>80000</v>
      </c>
      <c r="G998" s="346">
        <v>2</v>
      </c>
      <c r="H998" s="346">
        <f t="shared" si="9"/>
        <v>8</v>
      </c>
    </row>
    <row r="999" spans="1:8" s="346" customFormat="1" ht="45" x14ac:dyDescent="0.3">
      <c r="A999" s="359">
        <v>30</v>
      </c>
      <c r="B999" s="372" t="s">
        <v>868</v>
      </c>
      <c r="C999" s="314" t="s">
        <v>375</v>
      </c>
      <c r="D999" s="359">
        <v>8</v>
      </c>
      <c r="E999" s="371">
        <v>11950</v>
      </c>
      <c r="F999" s="360">
        <f t="shared" si="11"/>
        <v>95600</v>
      </c>
      <c r="G999" s="346">
        <v>2</v>
      </c>
      <c r="H999" s="346">
        <f t="shared" si="9"/>
        <v>8</v>
      </c>
    </row>
    <row r="1000" spans="1:8" s="346" customFormat="1" ht="135" x14ac:dyDescent="0.3">
      <c r="A1000" s="359">
        <v>31</v>
      </c>
      <c r="B1000" s="372" t="s">
        <v>869</v>
      </c>
      <c r="C1000" s="314" t="s">
        <v>375</v>
      </c>
      <c r="D1000" s="359">
        <v>40</v>
      </c>
      <c r="E1000" s="371">
        <v>7800</v>
      </c>
      <c r="F1000" s="360">
        <f t="shared" si="11"/>
        <v>312000</v>
      </c>
      <c r="G1000" s="346">
        <v>10</v>
      </c>
      <c r="H1000" s="346">
        <f t="shared" si="9"/>
        <v>40</v>
      </c>
    </row>
    <row r="1001" spans="1:8" s="346" customFormat="1" ht="151.5" x14ac:dyDescent="0.3">
      <c r="A1001" s="359">
        <v>32</v>
      </c>
      <c r="B1001" s="372" t="s">
        <v>870</v>
      </c>
      <c r="C1001" s="314" t="s">
        <v>375</v>
      </c>
      <c r="D1001" s="359">
        <v>24</v>
      </c>
      <c r="E1001" s="371">
        <v>12000</v>
      </c>
      <c r="F1001" s="360">
        <f t="shared" si="11"/>
        <v>288000</v>
      </c>
      <c r="G1001" s="346">
        <v>6</v>
      </c>
      <c r="H1001" s="346">
        <f t="shared" si="9"/>
        <v>24</v>
      </c>
    </row>
    <row r="1002" spans="1:8" s="346" customFormat="1" ht="136.5" x14ac:dyDescent="0.3">
      <c r="A1002" s="359">
        <v>33</v>
      </c>
      <c r="B1002" s="372" t="s">
        <v>871</v>
      </c>
      <c r="C1002" s="314" t="s">
        <v>375</v>
      </c>
      <c r="D1002" s="359">
        <v>40</v>
      </c>
      <c r="E1002" s="371">
        <v>16500</v>
      </c>
      <c r="F1002" s="360">
        <f t="shared" si="11"/>
        <v>660000</v>
      </c>
      <c r="G1002" s="346">
        <v>10</v>
      </c>
      <c r="H1002" s="346">
        <f t="shared" si="9"/>
        <v>40</v>
      </c>
    </row>
    <row r="1003" spans="1:8" s="346" customFormat="1" ht="105" x14ac:dyDescent="0.3">
      <c r="A1003" s="359">
        <v>34</v>
      </c>
      <c r="B1003" s="372" t="s">
        <v>872</v>
      </c>
      <c r="C1003" s="314" t="s">
        <v>375</v>
      </c>
      <c r="D1003" s="359">
        <v>32</v>
      </c>
      <c r="E1003" s="371">
        <v>18000</v>
      </c>
      <c r="F1003" s="360">
        <f t="shared" si="11"/>
        <v>576000</v>
      </c>
      <c r="G1003" s="346">
        <v>8</v>
      </c>
      <c r="H1003" s="346">
        <f t="shared" si="9"/>
        <v>32</v>
      </c>
    </row>
    <row r="1004" spans="1:8" s="346" customFormat="1" ht="45" x14ac:dyDescent="0.3">
      <c r="A1004" s="359">
        <v>35</v>
      </c>
      <c r="B1004" s="372" t="s">
        <v>873</v>
      </c>
      <c r="C1004" s="314" t="s">
        <v>375</v>
      </c>
      <c r="D1004" s="359">
        <v>24</v>
      </c>
      <c r="E1004" s="371">
        <v>29500</v>
      </c>
      <c r="F1004" s="360">
        <f t="shared" si="11"/>
        <v>708000</v>
      </c>
      <c r="G1004" s="346">
        <v>6</v>
      </c>
      <c r="H1004" s="346">
        <f t="shared" si="9"/>
        <v>24</v>
      </c>
    </row>
    <row r="1005" spans="1:8" s="346" customFormat="1" ht="15.75" x14ac:dyDescent="0.3">
      <c r="A1005" s="349"/>
      <c r="B1005" s="361" t="s">
        <v>813</v>
      </c>
      <c r="C1005" s="347"/>
      <c r="D1005" s="347"/>
      <c r="E1005" s="348"/>
      <c r="F1005" s="352">
        <v>540000</v>
      </c>
    </row>
    <row r="1006" spans="1:8" s="346" customFormat="1" x14ac:dyDescent="0.35">
      <c r="A1006" s="349"/>
      <c r="B1006" s="363" t="s">
        <v>520</v>
      </c>
      <c r="C1006" s="347"/>
      <c r="D1006" s="347"/>
      <c r="E1006" s="348"/>
      <c r="F1006" s="352">
        <f>SUM(F972:F1005)</f>
        <v>34630512</v>
      </c>
    </row>
    <row r="1007" spans="1:8" s="346" customFormat="1" ht="15" x14ac:dyDescent="0.25">
      <c r="A1007" s="349"/>
      <c r="B1007" s="350"/>
      <c r="C1007" s="347"/>
      <c r="D1007" s="347"/>
      <c r="E1007" s="348"/>
      <c r="F1007" s="353"/>
    </row>
    <row r="1008" spans="1:8" s="346" customFormat="1" x14ac:dyDescent="0.35">
      <c r="A1008" s="349" t="s">
        <v>2</v>
      </c>
      <c r="B1008" s="367" t="s">
        <v>779</v>
      </c>
      <c r="C1008" s="347"/>
      <c r="D1008" s="347"/>
      <c r="E1008" s="348"/>
      <c r="F1008" s="351"/>
    </row>
    <row r="1009" spans="1:7" s="346" customFormat="1" ht="30" x14ac:dyDescent="0.3">
      <c r="A1009" s="349"/>
      <c r="B1009" s="361" t="s">
        <v>763</v>
      </c>
      <c r="C1009" s="347"/>
      <c r="D1009" s="347"/>
      <c r="E1009" s="348"/>
      <c r="F1009" s="352">
        <f>F900</f>
        <v>3170160</v>
      </c>
    </row>
    <row r="1010" spans="1:7" s="346" customFormat="1" ht="15.75" x14ac:dyDescent="0.3">
      <c r="A1010" s="349"/>
      <c r="B1010" s="361" t="s">
        <v>769</v>
      </c>
      <c r="C1010" s="347"/>
      <c r="D1010" s="347"/>
      <c r="E1010" s="348"/>
      <c r="F1010" s="352">
        <f>F910</f>
        <v>1140000</v>
      </c>
    </row>
    <row r="1011" spans="1:7" s="346" customFormat="1" ht="90" x14ac:dyDescent="0.3">
      <c r="A1011" s="349"/>
      <c r="B1011" s="361" t="s">
        <v>777</v>
      </c>
      <c r="C1011" s="347"/>
      <c r="D1011" s="347"/>
      <c r="E1011" s="348"/>
      <c r="F1011" s="352">
        <f>F929</f>
        <v>1226700</v>
      </c>
    </row>
    <row r="1012" spans="1:7" s="346" customFormat="1" ht="15.75" x14ac:dyDescent="0.3">
      <c r="A1012" s="349"/>
      <c r="B1012" s="361" t="s">
        <v>778</v>
      </c>
      <c r="C1012" s="347"/>
      <c r="D1012" s="347"/>
      <c r="E1012" s="348"/>
      <c r="F1012" s="352">
        <f>F951</f>
        <v>11372600</v>
      </c>
    </row>
    <row r="1013" spans="1:7" s="346" customFormat="1" ht="75" x14ac:dyDescent="0.3">
      <c r="A1013" s="349"/>
      <c r="B1013" s="361" t="s">
        <v>780</v>
      </c>
      <c r="C1013" s="347"/>
      <c r="D1013" s="347"/>
      <c r="E1013" s="348"/>
      <c r="F1013" s="352">
        <f>F969</f>
        <v>4286000</v>
      </c>
    </row>
    <row r="1014" spans="1:7" s="346" customFormat="1" ht="23.45" customHeight="1" x14ac:dyDescent="0.3">
      <c r="A1014" s="349"/>
      <c r="B1014" s="361" t="s">
        <v>775</v>
      </c>
      <c r="C1014" s="347"/>
      <c r="D1014" s="347"/>
      <c r="E1014" s="348"/>
      <c r="F1014" s="352">
        <f>F1006</f>
        <v>34630512</v>
      </c>
    </row>
    <row r="1015" spans="1:7" customFormat="1" ht="18.75" x14ac:dyDescent="0.25">
      <c r="A1015" s="197"/>
      <c r="B1015" s="300" t="s">
        <v>659</v>
      </c>
      <c r="C1015" s="202"/>
      <c r="D1015" s="197"/>
      <c r="E1015" s="299"/>
      <c r="F1015" s="201"/>
    </row>
    <row r="1016" spans="1:7" customFormat="1" ht="18" x14ac:dyDescent="0.35">
      <c r="A1016" s="297"/>
      <c r="B1016" s="293" t="s">
        <v>520</v>
      </c>
      <c r="C1016" s="298"/>
      <c r="D1016" s="297"/>
      <c r="E1016" s="308" t="s">
        <v>15</v>
      </c>
      <c r="F1016" s="301">
        <f>SUM(F1009:F1015)</f>
        <v>55825972</v>
      </c>
    </row>
    <row r="1017" spans="1:7" x14ac:dyDescent="0.25">
      <c r="B1017" s="211"/>
    </row>
    <row r="1018" spans="1:7" x14ac:dyDescent="0.25">
      <c r="B1018" s="211"/>
    </row>
    <row r="1019" spans="1:7" ht="19.5" customHeight="1" x14ac:dyDescent="0.25">
      <c r="B1019" s="211" t="s">
        <v>450</v>
      </c>
    </row>
    <row r="1020" spans="1:7" x14ac:dyDescent="0.25">
      <c r="F1020" s="273"/>
      <c r="G1020" s="273"/>
    </row>
    <row r="1021" spans="1:7" ht="15.75" customHeight="1" x14ac:dyDescent="0.25">
      <c r="B1021" s="218" t="s">
        <v>533</v>
      </c>
      <c r="E1021" s="304">
        <f>F100</f>
        <v>18109553.13076923</v>
      </c>
      <c r="F1021" s="274"/>
      <c r="G1021" s="274"/>
    </row>
    <row r="1022" spans="1:7" x14ac:dyDescent="0.25">
      <c r="F1022" s="274"/>
      <c r="G1022" s="274"/>
    </row>
    <row r="1023" spans="1:7" x14ac:dyDescent="0.25">
      <c r="B1023" s="214" t="s">
        <v>108</v>
      </c>
      <c r="E1023" s="304">
        <f>F148</f>
        <v>7943336.4733333336</v>
      </c>
      <c r="F1023" s="274"/>
      <c r="G1023" s="274"/>
    </row>
    <row r="1024" spans="1:7" x14ac:dyDescent="0.25">
      <c r="F1024" s="274"/>
      <c r="G1024" s="274"/>
    </row>
    <row r="1025" spans="2:7" x14ac:dyDescent="0.25">
      <c r="B1025" s="214" t="s">
        <v>453</v>
      </c>
      <c r="E1025" s="304">
        <f>F192</f>
        <v>10989300</v>
      </c>
      <c r="F1025" s="274"/>
      <c r="G1025" s="274"/>
    </row>
    <row r="1026" spans="2:7" x14ac:dyDescent="0.25">
      <c r="C1026" s="275"/>
      <c r="D1026" s="276"/>
      <c r="F1026" s="274"/>
      <c r="G1026" s="274"/>
    </row>
    <row r="1027" spans="2:7" x14ac:dyDescent="0.25">
      <c r="B1027" s="214" t="s">
        <v>125</v>
      </c>
      <c r="E1027" s="304">
        <f>F237</f>
        <v>1767560</v>
      </c>
      <c r="F1027" s="274"/>
      <c r="G1027" s="274"/>
    </row>
    <row r="1028" spans="2:7" ht="18" customHeight="1" x14ac:dyDescent="0.25">
      <c r="C1028" s="275"/>
      <c r="D1028" s="276"/>
      <c r="F1028" s="274"/>
      <c r="G1028" s="274"/>
    </row>
    <row r="1029" spans="2:7" x14ac:dyDescent="0.25">
      <c r="B1029" s="214" t="s">
        <v>163</v>
      </c>
      <c r="E1029" s="304">
        <f>F375</f>
        <v>5071720</v>
      </c>
      <c r="F1029" s="274"/>
      <c r="G1029" s="274"/>
    </row>
    <row r="1030" spans="2:7" x14ac:dyDescent="0.25">
      <c r="C1030" s="275"/>
      <c r="D1030" s="276"/>
      <c r="F1030" s="274"/>
      <c r="G1030" s="274"/>
    </row>
    <row r="1031" spans="2:7" x14ac:dyDescent="0.25">
      <c r="B1031" s="214" t="s">
        <v>195</v>
      </c>
      <c r="E1031" s="304">
        <f>F516</f>
        <v>4545514.3</v>
      </c>
      <c r="F1031" s="274"/>
      <c r="G1031" s="274"/>
    </row>
    <row r="1032" spans="2:7" x14ac:dyDescent="0.25">
      <c r="F1032" s="274"/>
      <c r="G1032" s="274"/>
    </row>
    <row r="1033" spans="2:7" x14ac:dyDescent="0.25">
      <c r="B1033" s="214" t="s">
        <v>602</v>
      </c>
      <c r="E1033" s="304">
        <f>F561</f>
        <v>87188760</v>
      </c>
      <c r="F1033" s="274"/>
      <c r="G1033" s="274"/>
    </row>
    <row r="1034" spans="2:7" x14ac:dyDescent="0.25">
      <c r="F1034" s="274"/>
      <c r="G1034" s="274"/>
    </row>
    <row r="1035" spans="2:7" x14ac:dyDescent="0.25">
      <c r="B1035" s="214" t="s">
        <v>210</v>
      </c>
      <c r="E1035" s="304">
        <f>F608</f>
        <v>3807971.4</v>
      </c>
      <c r="F1035" s="274"/>
      <c r="G1035" s="274"/>
    </row>
    <row r="1036" spans="2:7" x14ac:dyDescent="0.25">
      <c r="F1036" s="274"/>
      <c r="G1036" s="274"/>
    </row>
    <row r="1037" spans="2:7" x14ac:dyDescent="0.25">
      <c r="B1037" s="214" t="s">
        <v>607</v>
      </c>
      <c r="E1037" s="304">
        <f>F629</f>
        <v>5620000</v>
      </c>
      <c r="F1037" s="274"/>
      <c r="G1037" s="274"/>
    </row>
    <row r="1038" spans="2:7" x14ac:dyDescent="0.25">
      <c r="C1038" s="275"/>
      <c r="D1038" s="276"/>
      <c r="F1038" s="274"/>
      <c r="G1038" s="274"/>
    </row>
    <row r="1039" spans="2:7" x14ac:dyDescent="0.25">
      <c r="B1039" s="214" t="s">
        <v>236</v>
      </c>
      <c r="E1039" s="304">
        <f>F666</f>
        <v>7639576</v>
      </c>
      <c r="F1039" s="274"/>
      <c r="G1039" s="274"/>
    </row>
    <row r="1040" spans="2:7" x14ac:dyDescent="0.25">
      <c r="F1040" s="274"/>
      <c r="G1040" s="274"/>
    </row>
    <row r="1041" spans="2:9" x14ac:dyDescent="0.25">
      <c r="B1041" s="214" t="s">
        <v>689</v>
      </c>
      <c r="E1041" s="304">
        <f>F745</f>
        <v>6548284</v>
      </c>
      <c r="F1041" s="274"/>
      <c r="G1041" s="274"/>
    </row>
    <row r="1042" spans="2:9" x14ac:dyDescent="0.25">
      <c r="F1042" s="274"/>
      <c r="G1042" s="274"/>
    </row>
    <row r="1043" spans="2:9" x14ac:dyDescent="0.25">
      <c r="B1043" s="214" t="s">
        <v>690</v>
      </c>
      <c r="E1043" s="304">
        <f>F783</f>
        <v>7824500</v>
      </c>
      <c r="F1043" s="274"/>
      <c r="G1043" s="274"/>
    </row>
    <row r="1044" spans="2:9" x14ac:dyDescent="0.25">
      <c r="F1044" s="274"/>
      <c r="G1044" s="274"/>
    </row>
    <row r="1045" spans="2:9" x14ac:dyDescent="0.25">
      <c r="B1045" s="214" t="s">
        <v>658</v>
      </c>
      <c r="E1045" s="304">
        <f>F870</f>
        <v>50890770</v>
      </c>
      <c r="F1045" s="274"/>
      <c r="G1045" s="274"/>
    </row>
    <row r="1046" spans="2:9" x14ac:dyDescent="0.25">
      <c r="C1046" s="275"/>
      <c r="D1046" s="276"/>
      <c r="F1046" s="274"/>
      <c r="G1046" s="274"/>
    </row>
    <row r="1047" spans="2:9" x14ac:dyDescent="0.25">
      <c r="B1047" s="214" t="s">
        <v>659</v>
      </c>
      <c r="C1047" s="277"/>
      <c r="E1047" s="304">
        <f>F1016</f>
        <v>55825972</v>
      </c>
      <c r="F1047" s="274"/>
      <c r="G1047" s="274"/>
    </row>
    <row r="1048" spans="2:9" x14ac:dyDescent="0.25">
      <c r="C1048" s="277"/>
      <c r="F1048" s="274"/>
      <c r="G1048" s="274"/>
    </row>
    <row r="1049" spans="2:9" x14ac:dyDescent="0.25">
      <c r="B1049" s="278" t="s">
        <v>691</v>
      </c>
      <c r="C1049" s="279"/>
      <c r="D1049" s="280"/>
      <c r="E1049" s="309"/>
      <c r="F1049" s="274"/>
      <c r="G1049" s="274"/>
    </row>
    <row r="1050" spans="2:9" ht="17.25" customHeight="1" x14ac:dyDescent="0.25">
      <c r="B1050" s="220" t="s">
        <v>660</v>
      </c>
      <c r="D1050" s="276" t="s">
        <v>20</v>
      </c>
      <c r="E1050" s="310"/>
      <c r="F1050" s="222">
        <f>SUM(E1021:E1049)</f>
        <v>273772817.30410254</v>
      </c>
      <c r="G1050" s="222"/>
    </row>
    <row r="1051" spans="2:9" ht="19.5" customHeight="1" x14ac:dyDescent="0.25">
      <c r="B1051" s="220" t="s">
        <v>692</v>
      </c>
      <c r="F1051" s="281">
        <f>F1050*5%</f>
        <v>13688640.865205128</v>
      </c>
      <c r="G1051" s="222"/>
    </row>
    <row r="1052" spans="2:9" ht="19.5" customHeight="1" x14ac:dyDescent="0.25">
      <c r="B1052" s="220" t="s">
        <v>474</v>
      </c>
      <c r="F1052" s="222">
        <f>SUM(F1050:F1051)</f>
        <v>287461458.16930765</v>
      </c>
      <c r="G1052" s="222"/>
    </row>
    <row r="1053" spans="2:9" ht="19.5" customHeight="1" x14ac:dyDescent="0.25">
      <c r="B1053" s="220" t="s">
        <v>693</v>
      </c>
      <c r="F1053" s="222">
        <f>F1052*5%</f>
        <v>14373072.908465384</v>
      </c>
      <c r="G1053" s="222"/>
    </row>
    <row r="1054" spans="2:9" ht="19.5" customHeight="1" x14ac:dyDescent="0.25">
      <c r="B1054" s="220"/>
      <c r="F1054" s="282">
        <f>SUM(F1052:F1053)</f>
        <v>301834531.07777303</v>
      </c>
      <c r="G1054" s="222"/>
    </row>
    <row r="1055" spans="2:9" x14ac:dyDescent="0.25">
      <c r="B1055" s="220" t="s">
        <v>477</v>
      </c>
      <c r="F1055" s="281">
        <f>F1054*7.5%</f>
        <v>22637589.830832977</v>
      </c>
      <c r="G1055" s="222"/>
      <c r="I1055" s="302"/>
    </row>
    <row r="1056" spans="2:9" ht="17.25" customHeight="1" thickBot="1" x14ac:dyDescent="0.3">
      <c r="B1056" s="210" t="s">
        <v>694</v>
      </c>
      <c r="E1056" s="303" t="s">
        <v>15</v>
      </c>
      <c r="F1056" s="283">
        <f>SUM(F1054:F1055)</f>
        <v>324472120.90860599</v>
      </c>
      <c r="G1056" s="222"/>
    </row>
    <row r="1057" spans="2:5" ht="17.25" customHeight="1" thickTop="1" x14ac:dyDescent="0.25">
      <c r="B1057" s="220" t="s">
        <v>695</v>
      </c>
    </row>
    <row r="1058" spans="2:5" ht="17.25" customHeight="1" x14ac:dyDescent="0.25">
      <c r="B1058" s="220"/>
    </row>
    <row r="1059" spans="2:5" ht="17.25" customHeight="1" x14ac:dyDescent="0.25">
      <c r="B1059" s="220" t="s">
        <v>471</v>
      </c>
      <c r="C1059" s="221">
        <v>2270</v>
      </c>
      <c r="D1059" s="209" t="s">
        <v>472</v>
      </c>
    </row>
    <row r="1060" spans="2:5" ht="20.45" customHeight="1" x14ac:dyDescent="0.25">
      <c r="B1060" s="220" t="s">
        <v>661</v>
      </c>
      <c r="E1060" s="303">
        <f>F1056/C1059</f>
        <v>142939.26031216123</v>
      </c>
    </row>
    <row r="1061" spans="2:5" ht="17.25" customHeight="1" x14ac:dyDescent="0.25">
      <c r="B1061" s="220" t="s">
        <v>874</v>
      </c>
      <c r="E1061" s="303">
        <f>F1056/4</f>
        <v>81118030.227151498</v>
      </c>
    </row>
    <row r="1062" spans="2:5" ht="17.25" customHeight="1" x14ac:dyDescent="0.25">
      <c r="B1062" s="218"/>
    </row>
    <row r="1063" spans="2:5" ht="17.25" customHeight="1" x14ac:dyDescent="0.25"/>
    <row r="1064" spans="2:5" ht="17.25" customHeight="1" x14ac:dyDescent="0.25"/>
    <row r="1065" spans="2:5" ht="17.25" customHeight="1" x14ac:dyDescent="0.25"/>
    <row r="1066" spans="2:5" ht="17.25" customHeight="1" x14ac:dyDescent="0.25"/>
    <row r="1077" spans="1:7" x14ac:dyDescent="0.25">
      <c r="B1077" s="214" t="s">
        <v>696</v>
      </c>
    </row>
    <row r="1080" spans="1:7" s="223" customFormat="1" x14ac:dyDescent="0.25">
      <c r="A1080" s="206"/>
      <c r="B1080" s="214"/>
      <c r="C1080" s="205"/>
      <c r="D1080" s="206"/>
      <c r="E1080" s="304"/>
      <c r="F1080" s="207"/>
      <c r="G1080" s="207"/>
    </row>
    <row r="1081" spans="1:7" s="223" customFormat="1" x14ac:dyDescent="0.25">
      <c r="A1081" s="206"/>
      <c r="B1081" s="214"/>
      <c r="C1081" s="205"/>
      <c r="D1081" s="206"/>
      <c r="E1081" s="304"/>
      <c r="F1081" s="207"/>
      <c r="G1081" s="207"/>
    </row>
    <row r="1082" spans="1:7" s="223" customFormat="1" x14ac:dyDescent="0.25">
      <c r="A1082" s="206"/>
      <c r="B1082" s="214"/>
      <c r="C1082" s="205"/>
      <c r="D1082" s="206"/>
      <c r="E1082" s="304"/>
      <c r="F1082" s="207"/>
      <c r="G1082" s="207"/>
    </row>
    <row r="1083" spans="1:7" s="223" customFormat="1" x14ac:dyDescent="0.25">
      <c r="A1083" s="206"/>
      <c r="B1083" s="214"/>
      <c r="C1083" s="205"/>
      <c r="D1083" s="206"/>
      <c r="E1083" s="304"/>
      <c r="F1083" s="207"/>
      <c r="G1083" s="207"/>
    </row>
    <row r="1084" spans="1:7" s="223" customFormat="1" x14ac:dyDescent="0.25">
      <c r="A1084" s="206"/>
      <c r="B1084" s="214"/>
      <c r="C1084" s="205"/>
      <c r="D1084" s="206"/>
      <c r="E1084" s="304"/>
      <c r="F1084" s="207"/>
      <c r="G1084" s="207"/>
    </row>
    <row r="1085" spans="1:7" s="223" customFormat="1" x14ac:dyDescent="0.25">
      <c r="A1085" s="206"/>
      <c r="B1085" s="214"/>
      <c r="C1085" s="205"/>
      <c r="D1085" s="206"/>
      <c r="E1085" s="304"/>
      <c r="F1085" s="207"/>
      <c r="G1085" s="207"/>
    </row>
    <row r="1109" spans="1:7" s="223" customFormat="1" x14ac:dyDescent="0.25">
      <c r="A1109" s="206"/>
      <c r="B1109" s="214"/>
      <c r="C1109" s="205"/>
      <c r="D1109" s="206"/>
      <c r="E1109" s="304"/>
      <c r="F1109" s="207"/>
      <c r="G1109" s="207"/>
    </row>
    <row r="1110" spans="1:7" ht="21" customHeight="1" x14ac:dyDescent="0.25"/>
    <row r="1147" spans="1:7" s="223" customFormat="1" x14ac:dyDescent="0.25">
      <c r="A1147" s="206"/>
      <c r="B1147" s="214"/>
      <c r="C1147" s="205"/>
      <c r="D1147" s="206"/>
      <c r="E1147" s="304"/>
      <c r="F1147" s="207"/>
      <c r="G1147" s="207"/>
    </row>
    <row r="1148" spans="1:7" s="223" customFormat="1" x14ac:dyDescent="0.25">
      <c r="A1148" s="206"/>
      <c r="B1148" s="214"/>
      <c r="C1148" s="205"/>
      <c r="D1148" s="206"/>
      <c r="E1148" s="304"/>
      <c r="F1148" s="207"/>
      <c r="G1148" s="207"/>
    </row>
    <row r="1179" spans="1:7" s="223" customFormat="1" x14ac:dyDescent="0.25">
      <c r="A1179" s="206"/>
      <c r="B1179" s="214"/>
      <c r="C1179" s="205"/>
      <c r="D1179" s="206"/>
      <c r="E1179" s="304"/>
      <c r="F1179" s="207"/>
      <c r="G1179" s="207"/>
    </row>
    <row r="1180" spans="1:7" s="223" customFormat="1" x14ac:dyDescent="0.25">
      <c r="A1180" s="206"/>
      <c r="B1180" s="214"/>
      <c r="C1180" s="205"/>
      <c r="D1180" s="206"/>
      <c r="E1180" s="304"/>
      <c r="F1180" s="207"/>
      <c r="G1180" s="207"/>
    </row>
  </sheetData>
  <printOptions gridLines="1"/>
  <pageMargins left="0.75" right="0.75" top="1" bottom="1" header="0.5" footer="0.5"/>
  <pageSetup paperSize="9" scale="58" orientation="portrait" horizontalDpi="300" verticalDpi="300" r:id="rId1"/>
  <headerFooter alignWithMargins="0">
    <oddHeader>&amp;LGUEST HOUSE, GWARINPA</oddHeader>
    <oddFooter>&amp;R&amp;"Comic Sans MS,Bold Italic"Page /&amp;P</oddFooter>
  </headerFooter>
  <rowBreaks count="29" manualBreakCount="29">
    <brk id="30" max="16383" man="1"/>
    <brk id="57" max="16383" man="1"/>
    <brk id="100" max="16383" man="1"/>
    <brk id="148" max="16383" man="1"/>
    <brk id="192" max="16383" man="1"/>
    <brk id="237" max="16383" man="1"/>
    <brk id="283" max="16383" man="1"/>
    <brk id="329" max="16383" man="1"/>
    <brk id="375" max="16383" man="1"/>
    <brk id="426" max="5" man="1"/>
    <brk id="471" max="16383" man="1"/>
    <brk id="516" max="16383" man="1"/>
    <brk id="561" max="16383" man="1"/>
    <brk id="608" max="16383" man="1"/>
    <brk id="629" max="16383" man="1"/>
    <brk id="666" max="16383" man="1"/>
    <brk id="709" max="16383" man="1"/>
    <brk id="745" max="16383" man="1"/>
    <brk id="783" max="16383" man="1"/>
    <brk id="822" max="5" man="1"/>
    <brk id="850" max="5" man="1"/>
    <brk id="870" max="16383" man="1"/>
    <brk id="900" max="5" man="1"/>
    <brk id="910" max="5" man="1"/>
    <brk id="929" max="16383" man="1"/>
    <brk id="951" max="16383" man="1"/>
    <brk id="969" max="16383" man="1"/>
    <brk id="1006" max="16383" man="1"/>
    <brk id="101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2F1F-3AB4-43DD-8370-03AE7D20C839}">
  <dimension ref="A1:J36"/>
  <sheetViews>
    <sheetView view="pageBreakPreview" topLeftCell="A22" zoomScaleNormal="100" zoomScaleSheetLayoutView="100" zoomScalePageLayoutView="85" workbookViewId="0">
      <selection activeCell="F30" sqref="F30"/>
    </sheetView>
  </sheetViews>
  <sheetFormatPr defaultColWidth="9.140625" defaultRowHeight="15" x14ac:dyDescent="0.25"/>
  <cols>
    <col min="1" max="1" width="9.140625" style="481"/>
    <col min="2" max="16384" width="9.140625" style="467"/>
  </cols>
  <sheetData>
    <row r="1" spans="1:10" ht="60" customHeight="1" x14ac:dyDescent="0.25">
      <c r="A1" s="576" t="s">
        <v>968</v>
      </c>
      <c r="B1" s="576"/>
      <c r="C1" s="576"/>
      <c r="D1" s="576"/>
      <c r="E1" s="576"/>
      <c r="F1" s="576"/>
      <c r="G1" s="576"/>
      <c r="H1" s="576"/>
      <c r="I1" s="576"/>
      <c r="J1" s="576"/>
    </row>
    <row r="2" spans="1:10" ht="18" x14ac:dyDescent="0.25">
      <c r="A2" s="468"/>
      <c r="B2" s="469"/>
      <c r="C2" s="469"/>
      <c r="D2" s="469"/>
    </row>
    <row r="3" spans="1:10" ht="18" x14ac:dyDescent="0.25">
      <c r="A3" s="468"/>
      <c r="B3" s="469"/>
      <c r="C3" s="469"/>
      <c r="D3" s="469"/>
    </row>
    <row r="4" spans="1:10" ht="33" x14ac:dyDescent="0.25">
      <c r="A4" s="577" t="s">
        <v>938</v>
      </c>
      <c r="B4" s="577"/>
      <c r="C4" s="577"/>
      <c r="D4" s="577"/>
      <c r="E4" s="577"/>
      <c r="F4" s="577"/>
      <c r="G4" s="577"/>
      <c r="H4" s="577"/>
      <c r="I4" s="577"/>
      <c r="J4" s="577"/>
    </row>
    <row r="5" spans="1:10" x14ac:dyDescent="0.25">
      <c r="A5" s="467"/>
      <c r="D5" s="469"/>
    </row>
    <row r="6" spans="1:10" ht="18" x14ac:dyDescent="0.25">
      <c r="A6" s="470"/>
      <c r="B6" s="471"/>
      <c r="C6" s="469"/>
      <c r="D6" s="469"/>
    </row>
    <row r="7" spans="1:10" ht="18" x14ac:dyDescent="0.25">
      <c r="A7" s="470"/>
      <c r="B7" s="471"/>
      <c r="C7" s="469"/>
      <c r="D7" s="469"/>
    </row>
    <row r="8" spans="1:10" ht="29.25" x14ac:dyDescent="0.25">
      <c r="A8" s="472" t="s">
        <v>934</v>
      </c>
      <c r="B8" s="469"/>
      <c r="C8" s="469"/>
      <c r="D8" s="469"/>
      <c r="E8" s="469"/>
      <c r="F8" s="469"/>
      <c r="G8" s="469"/>
    </row>
    <row r="9" spans="1:10" ht="39" customHeight="1" x14ac:dyDescent="0.25">
      <c r="A9" s="578" t="s">
        <v>988</v>
      </c>
      <c r="B9" s="578"/>
      <c r="C9" s="578"/>
      <c r="D9" s="578"/>
      <c r="E9" s="578"/>
      <c r="F9" s="578"/>
      <c r="G9" s="578"/>
      <c r="H9" s="578"/>
      <c r="I9" s="578"/>
      <c r="J9" s="578"/>
    </row>
    <row r="10" spans="1:10" ht="14.45" customHeight="1" x14ac:dyDescent="0.25">
      <c r="A10" s="578"/>
      <c r="B10" s="578"/>
      <c r="C10" s="578"/>
      <c r="D10" s="578"/>
      <c r="E10" s="578"/>
      <c r="F10" s="578"/>
      <c r="G10" s="578"/>
      <c r="H10" s="578"/>
      <c r="I10" s="578"/>
      <c r="J10" s="578"/>
    </row>
    <row r="11" spans="1:10" x14ac:dyDescent="0.25">
      <c r="A11" s="578"/>
      <c r="B11" s="578"/>
      <c r="C11" s="578"/>
      <c r="D11" s="578"/>
      <c r="E11" s="578"/>
      <c r="F11" s="578"/>
      <c r="G11" s="578"/>
      <c r="H11" s="578"/>
      <c r="I11" s="578"/>
      <c r="J11" s="578"/>
    </row>
    <row r="12" spans="1:10" ht="14.45" customHeight="1" x14ac:dyDescent="0.25">
      <c r="A12" s="473"/>
      <c r="B12" s="473"/>
      <c r="C12" s="473"/>
      <c r="D12" s="473"/>
      <c r="E12" s="473"/>
      <c r="F12" s="473"/>
      <c r="G12" s="473"/>
      <c r="H12" s="473"/>
      <c r="I12" s="473"/>
      <c r="J12" s="473"/>
    </row>
    <row r="13" spans="1:10" ht="14.45" customHeight="1" x14ac:dyDescent="0.25">
      <c r="A13" s="473"/>
      <c r="B13" s="473"/>
      <c r="C13" s="473"/>
      <c r="D13" s="473"/>
      <c r="E13" s="473"/>
      <c r="F13" s="473"/>
      <c r="G13" s="473"/>
      <c r="H13" s="473"/>
      <c r="I13" s="473"/>
      <c r="J13" s="473"/>
    </row>
    <row r="14" spans="1:10" ht="29.25" x14ac:dyDescent="0.25">
      <c r="A14" s="472" t="s">
        <v>935</v>
      </c>
      <c r="B14" s="469"/>
      <c r="C14" s="469"/>
      <c r="D14" s="469"/>
      <c r="E14" s="469"/>
      <c r="F14" s="469"/>
      <c r="G14" s="469"/>
    </row>
    <row r="15" spans="1:10" ht="39" customHeight="1" x14ac:dyDescent="0.25">
      <c r="A15" s="578" t="s">
        <v>989</v>
      </c>
      <c r="B15" s="578"/>
      <c r="C15" s="578"/>
      <c r="D15" s="578"/>
      <c r="E15" s="578"/>
      <c r="F15" s="578"/>
      <c r="G15" s="578"/>
      <c r="H15" s="578"/>
      <c r="I15" s="578"/>
      <c r="J15" s="578"/>
    </row>
    <row r="16" spans="1:10" ht="8.25" customHeight="1" x14ac:dyDescent="0.25">
      <c r="A16" s="578"/>
      <c r="B16" s="578"/>
      <c r="C16" s="578"/>
      <c r="D16" s="578"/>
      <c r="E16" s="578"/>
      <c r="F16" s="578"/>
      <c r="G16" s="578"/>
      <c r="H16" s="578"/>
      <c r="I16" s="578"/>
      <c r="J16" s="578"/>
    </row>
    <row r="17" spans="1:10" ht="10.5" hidden="1" customHeight="1" x14ac:dyDescent="0.25">
      <c r="A17" s="578"/>
      <c r="B17" s="578"/>
      <c r="C17" s="578"/>
      <c r="D17" s="578"/>
      <c r="E17" s="578"/>
      <c r="F17" s="578"/>
      <c r="G17" s="578"/>
      <c r="H17" s="578"/>
      <c r="I17" s="578"/>
      <c r="J17" s="578"/>
    </row>
    <row r="18" spans="1:10" ht="14.45" customHeight="1" x14ac:dyDescent="0.25">
      <c r="A18" s="473"/>
      <c r="B18" s="473"/>
      <c r="C18" s="473"/>
      <c r="D18" s="473"/>
      <c r="E18" s="473"/>
      <c r="F18" s="473"/>
      <c r="G18" s="473"/>
      <c r="H18" s="473"/>
      <c r="I18" s="473"/>
      <c r="J18" s="473"/>
    </row>
    <row r="19" spans="1:10" ht="14.45" customHeight="1" x14ac:dyDescent="0.25">
      <c r="A19" s="473"/>
      <c r="B19" s="473"/>
      <c r="C19" s="473"/>
      <c r="D19" s="473"/>
      <c r="E19" s="473"/>
      <c r="F19" s="473"/>
      <c r="G19" s="473"/>
      <c r="H19" s="473"/>
      <c r="I19" s="473"/>
      <c r="J19" s="473"/>
    </row>
    <row r="20" spans="1:10" ht="14.45" customHeight="1" x14ac:dyDescent="0.25">
      <c r="A20" s="473"/>
      <c r="B20" s="473"/>
      <c r="C20" s="473"/>
      <c r="D20" s="473"/>
      <c r="E20" s="473"/>
      <c r="F20" s="473"/>
      <c r="G20" s="473"/>
      <c r="H20" s="473"/>
      <c r="I20" s="473"/>
      <c r="J20" s="473"/>
    </row>
    <row r="21" spans="1:10" ht="14.45" customHeight="1" x14ac:dyDescent="0.25">
      <c r="A21" s="473"/>
      <c r="B21" s="473"/>
      <c r="C21" s="473"/>
      <c r="D21" s="473"/>
      <c r="E21" s="473"/>
      <c r="F21" s="473"/>
      <c r="G21" s="473"/>
      <c r="H21" s="473"/>
      <c r="I21" s="473"/>
      <c r="J21" s="473"/>
    </row>
    <row r="22" spans="1:10" ht="14.45" customHeight="1" x14ac:dyDescent="0.25">
      <c r="A22" s="474" t="s">
        <v>936</v>
      </c>
      <c r="B22" s="473"/>
      <c r="C22" s="473"/>
      <c r="D22" s="473"/>
      <c r="E22" s="473"/>
      <c r="F22" s="473"/>
      <c r="G22" s="473"/>
      <c r="H22" s="473"/>
      <c r="I22" s="473"/>
      <c r="J22" s="473"/>
    </row>
    <row r="23" spans="1:10" ht="14.45" customHeight="1" x14ac:dyDescent="0.25">
      <c r="A23" s="474"/>
      <c r="B23" s="473"/>
      <c r="C23" s="473"/>
      <c r="D23" s="473"/>
      <c r="E23" s="473"/>
      <c r="F23" s="473"/>
      <c r="G23" s="473"/>
      <c r="H23" s="473"/>
      <c r="I23" s="473"/>
      <c r="J23" s="473"/>
    </row>
    <row r="24" spans="1:10" ht="14.45" customHeight="1" x14ac:dyDescent="0.25">
      <c r="A24" s="474"/>
      <c r="B24" s="473"/>
      <c r="C24" s="473"/>
      <c r="D24" s="473"/>
      <c r="E24" s="473"/>
      <c r="F24" s="473"/>
      <c r="G24" s="473"/>
      <c r="H24" s="473"/>
      <c r="I24" s="473"/>
      <c r="J24" s="473"/>
    </row>
    <row r="25" spans="1:10" ht="14.45" customHeight="1" x14ac:dyDescent="0.25">
      <c r="A25" s="474"/>
      <c r="B25" s="473"/>
      <c r="C25" s="473"/>
      <c r="D25" s="473"/>
      <c r="E25" s="473"/>
      <c r="F25" s="473"/>
      <c r="G25" s="473"/>
      <c r="H25" s="473"/>
      <c r="I25" s="473"/>
      <c r="J25" s="473"/>
    </row>
    <row r="26" spans="1:10" ht="14.45" customHeight="1" x14ac:dyDescent="0.25">
      <c r="A26" s="474"/>
      <c r="B26" s="473"/>
      <c r="C26" s="473"/>
      <c r="D26" s="473"/>
      <c r="E26" s="473"/>
      <c r="F26" s="473"/>
      <c r="G26" s="473"/>
      <c r="H26" s="473"/>
      <c r="I26" s="473"/>
      <c r="J26" s="473"/>
    </row>
    <row r="27" spans="1:10" ht="14.45" customHeight="1" x14ac:dyDescent="0.25">
      <c r="A27" s="473"/>
      <c r="B27" s="473"/>
      <c r="C27" s="473"/>
      <c r="D27" s="473"/>
      <c r="E27" s="473"/>
      <c r="F27" s="473"/>
      <c r="G27" s="473"/>
      <c r="H27" s="473"/>
      <c r="I27" s="473"/>
      <c r="J27" s="473"/>
    </row>
    <row r="28" spans="1:10" ht="38.25" x14ac:dyDescent="0.25">
      <c r="A28" s="579" t="s">
        <v>959</v>
      </c>
      <c r="B28" s="579"/>
      <c r="C28" s="579"/>
      <c r="D28" s="579"/>
      <c r="E28" s="579"/>
      <c r="F28" s="579"/>
      <c r="G28" s="579"/>
      <c r="H28" s="579"/>
      <c r="I28" s="579"/>
      <c r="J28" s="579"/>
    </row>
    <row r="29" spans="1:10" ht="38.25" x14ac:dyDescent="0.25">
      <c r="A29" s="475"/>
      <c r="B29" s="475"/>
      <c r="C29" s="475"/>
      <c r="D29" s="475"/>
      <c r="E29" s="475"/>
      <c r="F29" s="475"/>
      <c r="G29" s="475"/>
      <c r="H29" s="475"/>
      <c r="I29" s="475"/>
      <c r="J29" s="475"/>
    </row>
    <row r="30" spans="1:10" ht="38.25" x14ac:dyDescent="0.25">
      <c r="A30" s="580" t="s">
        <v>937</v>
      </c>
      <c r="B30" s="580"/>
      <c r="C30" s="580"/>
      <c r="D30" s="580"/>
      <c r="E30" s="475"/>
      <c r="F30" s="475"/>
      <c r="G30" s="475"/>
      <c r="H30" s="475"/>
      <c r="I30" s="475"/>
      <c r="J30" s="475"/>
    </row>
    <row r="31" spans="1:10" ht="21.6" customHeight="1" x14ac:dyDescent="0.25">
      <c r="A31" s="476"/>
      <c r="B31" s="581" t="s">
        <v>960</v>
      </c>
      <c r="C31" s="581"/>
      <c r="D31" s="581"/>
      <c r="E31" s="581"/>
      <c r="F31" s="581"/>
      <c r="G31" s="581"/>
      <c r="H31" s="581"/>
      <c r="I31" s="581"/>
      <c r="J31" s="475"/>
    </row>
    <row r="32" spans="1:10" ht="14.45" customHeight="1" x14ac:dyDescent="0.25">
      <c r="A32" s="469"/>
      <c r="B32" s="574"/>
      <c r="C32" s="574"/>
      <c r="D32" s="574"/>
      <c r="E32" s="574"/>
      <c r="F32" s="574"/>
      <c r="G32" s="574"/>
      <c r="H32" s="574"/>
      <c r="I32" s="574"/>
      <c r="J32" s="469"/>
    </row>
    <row r="33" spans="1:10" ht="14.45" customHeight="1" x14ac:dyDescent="0.25">
      <c r="A33" s="473"/>
      <c r="B33" s="473"/>
      <c r="C33" s="473"/>
      <c r="D33" s="473"/>
      <c r="E33" s="473"/>
      <c r="F33" s="473"/>
      <c r="G33" s="473"/>
      <c r="H33" s="473"/>
      <c r="I33" s="473"/>
      <c r="J33" s="473"/>
    </row>
    <row r="34" spans="1:10" x14ac:dyDescent="0.25">
      <c r="A34" s="477"/>
      <c r="B34" s="478"/>
      <c r="C34" s="469"/>
      <c r="D34" s="479"/>
    </row>
    <row r="35" spans="1:10" ht="29.25" x14ac:dyDescent="0.25">
      <c r="A35" s="575" t="s">
        <v>1024</v>
      </c>
      <c r="B35" s="575"/>
      <c r="C35" s="575"/>
      <c r="D35" s="575"/>
      <c r="E35" s="575"/>
      <c r="F35" s="575"/>
      <c r="G35" s="575"/>
      <c r="H35" s="575"/>
      <c r="I35" s="575"/>
      <c r="J35" s="575"/>
    </row>
    <row r="36" spans="1:10" x14ac:dyDescent="0.25">
      <c r="A36" s="480"/>
      <c r="G36" s="474"/>
    </row>
  </sheetData>
  <mergeCells count="9">
    <mergeCell ref="B32:I32"/>
    <mergeCell ref="A35:J35"/>
    <mergeCell ref="A1:J1"/>
    <mergeCell ref="A4:J4"/>
    <mergeCell ref="A9:J11"/>
    <mergeCell ref="A15:J17"/>
    <mergeCell ref="A28:J28"/>
    <mergeCell ref="A30:D30"/>
    <mergeCell ref="B31:I31"/>
  </mergeCells>
  <printOptions horizontalCentered="1"/>
  <pageMargins left="1.1000000000000001" right="0.45" top="0.5" bottom="0.2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D006-C1F5-4949-B6D2-C5EF2C28422B}">
  <dimension ref="A1:J29"/>
  <sheetViews>
    <sheetView view="pageBreakPreview" topLeftCell="A11" zoomScaleNormal="96" zoomScaleSheetLayoutView="100" workbookViewId="0">
      <selection activeCell="D11" sqref="D11"/>
    </sheetView>
  </sheetViews>
  <sheetFormatPr defaultColWidth="11.42578125" defaultRowHeight="26.25" x14ac:dyDescent="0.4"/>
  <cols>
    <col min="1" max="1" width="8.5703125" style="388" customWidth="1"/>
    <col min="2" max="2" width="14.42578125" style="388" customWidth="1"/>
    <col min="3" max="7" width="11.42578125" style="388"/>
    <col min="8" max="8" width="14.85546875" style="388" customWidth="1"/>
    <col min="9" max="16384" width="11.42578125" style="388"/>
  </cols>
  <sheetData>
    <row r="1" spans="1:10" ht="31.5" x14ac:dyDescent="0.4">
      <c r="A1" s="582"/>
      <c r="B1" s="582"/>
      <c r="C1" s="582"/>
      <c r="D1" s="582"/>
      <c r="E1" s="582"/>
      <c r="F1" s="582"/>
      <c r="G1" s="582"/>
      <c r="H1" s="582"/>
      <c r="I1" s="582"/>
      <c r="J1" s="582"/>
    </row>
    <row r="2" spans="1:10" ht="17.25" customHeight="1" x14ac:dyDescent="0.5">
      <c r="A2" s="389"/>
      <c r="B2" s="389"/>
      <c r="C2" s="389"/>
      <c r="D2" s="389"/>
      <c r="E2" s="389"/>
      <c r="F2" s="389"/>
      <c r="G2" s="389"/>
      <c r="H2" s="389"/>
      <c r="I2" s="390"/>
      <c r="J2" s="390"/>
    </row>
    <row r="3" spans="1:10" ht="31.5" x14ac:dyDescent="0.4">
      <c r="A3" s="582"/>
      <c r="B3" s="582"/>
      <c r="C3" s="582"/>
      <c r="D3" s="582"/>
      <c r="E3" s="582"/>
      <c r="F3" s="582"/>
      <c r="G3" s="582"/>
      <c r="H3" s="582"/>
      <c r="I3" s="582"/>
      <c r="J3" s="582"/>
    </row>
    <row r="4" spans="1:10" ht="13.5" customHeight="1" x14ac:dyDescent="0.5">
      <c r="A4" s="389"/>
      <c r="B4" s="389"/>
      <c r="C4" s="389"/>
      <c r="D4" s="389"/>
      <c r="E4" s="389"/>
      <c r="F4" s="389"/>
      <c r="G4" s="389"/>
      <c r="H4" s="389"/>
      <c r="I4" s="390"/>
      <c r="J4" s="390"/>
    </row>
    <row r="5" spans="1:10" ht="21" customHeight="1" x14ac:dyDescent="0.4"/>
    <row r="6" spans="1:10" ht="17.25" customHeight="1" x14ac:dyDescent="0.4"/>
    <row r="8" spans="1:10" ht="8.25" customHeight="1" x14ac:dyDescent="0.4"/>
    <row r="9" spans="1:10" hidden="1" x14ac:dyDescent="0.4"/>
    <row r="10" spans="1:10" ht="5.25" hidden="1" customHeight="1" x14ac:dyDescent="0.4"/>
    <row r="12" spans="1:10" ht="17.25" customHeight="1" x14ac:dyDescent="0.4"/>
    <row r="15" spans="1:10" ht="26.25" customHeight="1" x14ac:dyDescent="0.4">
      <c r="A15" s="583" t="s">
        <v>986</v>
      </c>
      <c r="B15" s="583"/>
      <c r="C15" s="583"/>
      <c r="D15" s="583"/>
      <c r="E15" s="583"/>
      <c r="F15" s="583"/>
      <c r="G15" s="583"/>
      <c r="H15" s="583"/>
      <c r="I15" s="583"/>
      <c r="J15" s="583"/>
    </row>
    <row r="16" spans="1:10" ht="26.25" customHeight="1" x14ac:dyDescent="0.4">
      <c r="A16" s="583"/>
      <c r="B16" s="583"/>
      <c r="C16" s="583"/>
      <c r="D16" s="583"/>
      <c r="E16" s="583"/>
      <c r="F16" s="583"/>
      <c r="G16" s="583"/>
      <c r="H16" s="583"/>
      <c r="I16" s="583"/>
      <c r="J16" s="583"/>
    </row>
    <row r="17" spans="1:10" ht="26.25" customHeight="1" x14ac:dyDescent="0.4">
      <c r="A17" s="583"/>
      <c r="B17" s="583"/>
      <c r="C17" s="583"/>
      <c r="D17" s="583"/>
      <c r="E17" s="583"/>
      <c r="F17" s="583"/>
      <c r="G17" s="583"/>
      <c r="H17" s="583"/>
      <c r="I17" s="583"/>
      <c r="J17" s="583"/>
    </row>
    <row r="18" spans="1:10" ht="26.25" customHeight="1" x14ac:dyDescent="0.4">
      <c r="A18" s="583"/>
      <c r="B18" s="583"/>
      <c r="C18" s="583"/>
      <c r="D18" s="583"/>
      <c r="E18" s="583"/>
      <c r="F18" s="583"/>
      <c r="G18" s="583"/>
      <c r="H18" s="583"/>
      <c r="I18" s="583"/>
      <c r="J18" s="583"/>
    </row>
    <row r="19" spans="1:10" ht="26.25" customHeight="1" x14ac:dyDescent="0.4">
      <c r="A19" s="583"/>
      <c r="B19" s="583"/>
      <c r="C19" s="583"/>
      <c r="D19" s="583"/>
      <c r="E19" s="583"/>
      <c r="F19" s="583"/>
      <c r="G19" s="583"/>
      <c r="H19" s="583"/>
      <c r="I19" s="583"/>
      <c r="J19" s="583"/>
    </row>
    <row r="20" spans="1:10" ht="26.25" customHeight="1" x14ac:dyDescent="0.4">
      <c r="A20" s="583"/>
      <c r="B20" s="583"/>
      <c r="C20" s="583"/>
      <c r="D20" s="583"/>
      <c r="E20" s="583"/>
      <c r="F20" s="583"/>
      <c r="G20" s="583"/>
      <c r="H20" s="583"/>
      <c r="I20" s="583"/>
      <c r="J20" s="583"/>
    </row>
    <row r="24" spans="1:10" s="392" customFormat="1" ht="18.75" x14ac:dyDescent="0.3">
      <c r="A24" s="391"/>
      <c r="G24" s="391"/>
    </row>
    <row r="25" spans="1:10" s="394" customFormat="1" ht="16.5" x14ac:dyDescent="0.3">
      <c r="A25" s="393"/>
      <c r="G25" s="395"/>
    </row>
    <row r="26" spans="1:10" s="394" customFormat="1" ht="15.75" x14ac:dyDescent="0.25"/>
    <row r="27" spans="1:10" s="394" customFormat="1" ht="15.75" x14ac:dyDescent="0.25"/>
    <row r="28" spans="1:10" s="392" customFormat="1" ht="15.75" x14ac:dyDescent="0.25"/>
    <row r="29" spans="1:10" s="392" customFormat="1" ht="15.75" x14ac:dyDescent="0.25">
      <c r="A29" s="584"/>
      <c r="B29" s="584"/>
      <c r="C29" s="584"/>
      <c r="D29" s="584"/>
      <c r="E29" s="584"/>
      <c r="F29" s="584"/>
      <c r="G29" s="584"/>
      <c r="H29" s="584"/>
      <c r="I29" s="584"/>
      <c r="J29" s="584"/>
    </row>
  </sheetData>
  <mergeCells count="4">
    <mergeCell ref="A1:J1"/>
    <mergeCell ref="A3:J3"/>
    <mergeCell ref="A15:J20"/>
    <mergeCell ref="A29:J29"/>
  </mergeCells>
  <pageMargins left="0.7" right="0.7" top="0.75" bottom="0.75" header="0.3" footer="0.3"/>
  <pageSetup paperSize="9" scale="7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B573-D7AC-4C96-9C9A-3A5BA557FDFA}">
  <dimension ref="A1:S1041"/>
  <sheetViews>
    <sheetView view="pageBreakPreview" topLeftCell="A907" zoomScale="120" zoomScaleNormal="100" zoomScaleSheetLayoutView="120" workbookViewId="0">
      <selection activeCell="E696" sqref="E696"/>
    </sheetView>
  </sheetViews>
  <sheetFormatPr defaultColWidth="9.140625" defaultRowHeight="16.5" x14ac:dyDescent="0.25"/>
  <cols>
    <col min="1" max="1" width="4.85546875" style="206" bestFit="1" customWidth="1"/>
    <col min="2" max="2" width="47.7109375" style="214" customWidth="1"/>
    <col min="3" max="3" width="9.5703125" style="205" bestFit="1" customWidth="1"/>
    <col min="4" max="4" width="6.85546875" style="206" bestFit="1" customWidth="1"/>
    <col min="5" max="5" width="16" style="304" bestFit="1" customWidth="1"/>
    <col min="6" max="6" width="17.5703125" style="207" bestFit="1" customWidth="1"/>
    <col min="7" max="7" width="9.28515625" style="208" customWidth="1"/>
    <col min="8" max="9" width="9.140625" style="208"/>
    <col min="10" max="10" width="12.5703125" style="208" bestFit="1" customWidth="1"/>
    <col min="11" max="11" width="9.140625" style="208"/>
    <col min="12" max="12" width="12.42578125" style="208" bestFit="1" customWidth="1"/>
    <col min="13" max="16384" width="9.140625" style="208"/>
  </cols>
  <sheetData>
    <row r="1" spans="1:9" x14ac:dyDescent="0.25">
      <c r="A1" s="209" t="s">
        <v>795</v>
      </c>
      <c r="B1" s="220" t="s">
        <v>907</v>
      </c>
      <c r="C1" s="221" t="s">
        <v>773</v>
      </c>
      <c r="D1" s="209" t="s">
        <v>765</v>
      </c>
      <c r="E1" s="303" t="s">
        <v>908</v>
      </c>
      <c r="F1" s="222" t="s">
        <v>768</v>
      </c>
    </row>
    <row r="2" spans="1:9" x14ac:dyDescent="0.25">
      <c r="A2" s="203"/>
      <c r="B2" s="204" t="s">
        <v>508</v>
      </c>
    </row>
    <row r="3" spans="1:9" x14ac:dyDescent="0.25">
      <c r="B3" s="209"/>
    </row>
    <row r="4" spans="1:9" x14ac:dyDescent="0.25">
      <c r="B4" s="210" t="s">
        <v>509</v>
      </c>
    </row>
    <row r="5" spans="1:9" x14ac:dyDescent="0.25">
      <c r="B5" s="210"/>
    </row>
    <row r="6" spans="1:9" s="214" customFormat="1" x14ac:dyDescent="0.25">
      <c r="A6" s="206"/>
      <c r="B6" s="211" t="s">
        <v>44</v>
      </c>
      <c r="C6" s="205"/>
      <c r="D6" s="206"/>
      <c r="E6" s="304"/>
      <c r="F6" s="212"/>
    </row>
    <row r="7" spans="1:9" s="214" customFormat="1" ht="15" x14ac:dyDescent="0.25">
      <c r="A7" s="206"/>
      <c r="C7" s="205"/>
      <c r="D7" s="206"/>
      <c r="E7" s="304"/>
      <c r="F7" s="212"/>
    </row>
    <row r="8" spans="1:9" ht="17.25" customHeight="1" x14ac:dyDescent="0.25">
      <c r="B8" s="211" t="s">
        <v>510</v>
      </c>
      <c r="I8" s="208">
        <f>272*2</f>
        <v>544</v>
      </c>
    </row>
    <row r="9" spans="1:9" ht="40.5" customHeight="1" x14ac:dyDescent="0.25">
      <c r="A9" s="206" t="s">
        <v>2</v>
      </c>
      <c r="B9" s="215" t="s">
        <v>45</v>
      </c>
      <c r="C9" s="205">
        <v>484</v>
      </c>
      <c r="D9" s="206" t="s">
        <v>511</v>
      </c>
      <c r="E9" s="304">
        <v>500</v>
      </c>
      <c r="F9" s="207">
        <f t="shared" ref="F9:F18" si="0">C9*E9</f>
        <v>242000</v>
      </c>
      <c r="I9" s="208">
        <f>144*2</f>
        <v>288</v>
      </c>
    </row>
    <row r="10" spans="1:9" ht="51.75" customHeight="1" x14ac:dyDescent="0.25">
      <c r="A10" s="206" t="s">
        <v>4</v>
      </c>
      <c r="B10" s="215" t="s">
        <v>512</v>
      </c>
      <c r="C10" s="205">
        <v>130</v>
      </c>
      <c r="D10" s="206" t="s">
        <v>513</v>
      </c>
      <c r="E10" s="304">
        <v>1500</v>
      </c>
      <c r="F10" s="207">
        <f t="shared" si="0"/>
        <v>195000</v>
      </c>
      <c r="I10" s="208">
        <f>SUM(I8:I9)</f>
        <v>832</v>
      </c>
    </row>
    <row r="11" spans="1:9" ht="45" customHeight="1" x14ac:dyDescent="0.25">
      <c r="A11" s="206" t="s">
        <v>5</v>
      </c>
      <c r="B11" s="215" t="s">
        <v>49</v>
      </c>
      <c r="C11" s="205">
        <v>64</v>
      </c>
      <c r="D11" s="206" t="s">
        <v>513</v>
      </c>
      <c r="E11" s="304">
        <f>E10</f>
        <v>1500</v>
      </c>
      <c r="F11" s="207">
        <f t="shared" si="0"/>
        <v>96000</v>
      </c>
      <c r="I11" s="208">
        <f>I10*1.5*0.69</f>
        <v>861.11999999999989</v>
      </c>
    </row>
    <row r="12" spans="1:9" ht="55.5" customHeight="1" x14ac:dyDescent="0.25">
      <c r="A12" s="206" t="s">
        <v>6</v>
      </c>
      <c r="B12" s="215" t="s">
        <v>514</v>
      </c>
      <c r="D12" s="206" t="s">
        <v>513</v>
      </c>
      <c r="E12" s="304">
        <f>E10</f>
        <v>1500</v>
      </c>
      <c r="F12" s="207">
        <f t="shared" si="0"/>
        <v>0</v>
      </c>
    </row>
    <row r="13" spans="1:9" ht="30.75" customHeight="1" x14ac:dyDescent="0.25">
      <c r="A13" s="206" t="s">
        <v>7</v>
      </c>
      <c r="B13" s="215" t="s">
        <v>19</v>
      </c>
      <c r="C13" s="205">
        <f>86+41</f>
        <v>127</v>
      </c>
      <c r="D13" s="206" t="s">
        <v>511</v>
      </c>
      <c r="E13" s="304">
        <f>'[31]AJIWE STRIP MALL '!E49</f>
        <v>250</v>
      </c>
      <c r="F13" s="207">
        <f t="shared" si="0"/>
        <v>31750</v>
      </c>
    </row>
    <row r="14" spans="1:9" ht="30.75" customHeight="1" x14ac:dyDescent="0.25">
      <c r="A14" s="206" t="s">
        <v>8</v>
      </c>
      <c r="B14" s="215" t="s">
        <v>515</v>
      </c>
      <c r="C14" s="205">
        <v>101</v>
      </c>
      <c r="D14" s="206" t="s">
        <v>513</v>
      </c>
      <c r="E14" s="304">
        <v>1400</v>
      </c>
      <c r="F14" s="207">
        <f t="shared" si="0"/>
        <v>141400</v>
      </c>
    </row>
    <row r="15" spans="1:9" ht="44.25" customHeight="1" x14ac:dyDescent="0.25">
      <c r="A15" s="206" t="s">
        <v>9</v>
      </c>
      <c r="B15" s="215" t="s">
        <v>516</v>
      </c>
      <c r="C15" s="205">
        <v>81</v>
      </c>
      <c r="D15" s="206" t="s">
        <v>513</v>
      </c>
      <c r="E15" s="304">
        <v>900</v>
      </c>
      <c r="F15" s="207">
        <f t="shared" si="0"/>
        <v>72900</v>
      </c>
    </row>
    <row r="16" spans="1:9" ht="44.25" customHeight="1" x14ac:dyDescent="0.25">
      <c r="A16" s="206" t="s">
        <v>10</v>
      </c>
      <c r="B16" s="218" t="s">
        <v>801</v>
      </c>
      <c r="C16" s="205">
        <f>159.1*0.3</f>
        <v>47.73</v>
      </c>
      <c r="D16" s="206" t="s">
        <v>513</v>
      </c>
      <c r="E16" s="304">
        <v>6500</v>
      </c>
      <c r="F16" s="207">
        <f t="shared" si="0"/>
        <v>310245</v>
      </c>
    </row>
    <row r="17" spans="1:6" ht="36" customHeight="1" x14ac:dyDescent="0.25">
      <c r="A17" s="206" t="s">
        <v>11</v>
      </c>
      <c r="B17" s="215" t="s">
        <v>663</v>
      </c>
      <c r="C17" s="205">
        <v>159</v>
      </c>
      <c r="D17" s="206" t="s">
        <v>511</v>
      </c>
      <c r="E17" s="304">
        <v>4500</v>
      </c>
      <c r="F17" s="207">
        <f t="shared" si="0"/>
        <v>715500</v>
      </c>
    </row>
    <row r="18" spans="1:6" ht="36" customHeight="1" x14ac:dyDescent="0.25">
      <c r="A18" s="206" t="s">
        <v>12</v>
      </c>
      <c r="B18" s="215" t="s">
        <v>517</v>
      </c>
      <c r="D18" s="206" t="s">
        <v>511</v>
      </c>
      <c r="E18" s="304">
        <f>'[31]AJIWE STRIP MALL '!E54</f>
        <v>150</v>
      </c>
      <c r="F18" s="207">
        <f t="shared" si="0"/>
        <v>0</v>
      </c>
    </row>
    <row r="19" spans="1:6" x14ac:dyDescent="0.25">
      <c r="B19" s="211" t="s">
        <v>98</v>
      </c>
    </row>
    <row r="20" spans="1:6" ht="17.25" customHeight="1" x14ac:dyDescent="0.25">
      <c r="B20" s="219" t="s">
        <v>664</v>
      </c>
    </row>
    <row r="21" spans="1:6" ht="17.25" customHeight="1" x14ac:dyDescent="0.25">
      <c r="A21" s="206" t="s">
        <v>13</v>
      </c>
      <c r="B21" s="214" t="s">
        <v>802</v>
      </c>
      <c r="C21" s="205">
        <v>41</v>
      </c>
      <c r="D21" s="206" t="s">
        <v>511</v>
      </c>
      <c r="E21" s="304">
        <v>3000</v>
      </c>
      <c r="F21" s="207">
        <f>C21*E21</f>
        <v>123000</v>
      </c>
    </row>
    <row r="22" spans="1:6" ht="17.25" customHeight="1" x14ac:dyDescent="0.25"/>
    <row r="23" spans="1:6" ht="17.25" customHeight="1" x14ac:dyDescent="0.25"/>
    <row r="24" spans="1:6" ht="17.25" customHeight="1" x14ac:dyDescent="0.25"/>
    <row r="25" spans="1:6" ht="17.25" customHeight="1" x14ac:dyDescent="0.25"/>
    <row r="26" spans="1:6" ht="17.25" customHeight="1" x14ac:dyDescent="0.25"/>
    <row r="27" spans="1:6" ht="17.25" customHeight="1" x14ac:dyDescent="0.25"/>
    <row r="28" spans="1:6" ht="17.25" customHeight="1" x14ac:dyDescent="0.25"/>
    <row r="29" spans="1:6" ht="17.25" customHeight="1" x14ac:dyDescent="0.25"/>
    <row r="30" spans="1:6" ht="17.25" customHeight="1" x14ac:dyDescent="0.25"/>
    <row r="31" spans="1:6" ht="17.25" customHeight="1" x14ac:dyDescent="0.25">
      <c r="B31" s="220" t="s">
        <v>520</v>
      </c>
      <c r="C31" s="221"/>
      <c r="D31" s="209"/>
      <c r="E31" s="303" t="s">
        <v>15</v>
      </c>
      <c r="F31" s="285">
        <f>SUM(F9:F21)</f>
        <v>1927795</v>
      </c>
    </row>
    <row r="32" spans="1:6" x14ac:dyDescent="0.25">
      <c r="A32" s="209" t="s">
        <v>795</v>
      </c>
      <c r="B32" s="209" t="s">
        <v>907</v>
      </c>
      <c r="C32" s="221" t="s">
        <v>773</v>
      </c>
      <c r="D32" s="209" t="s">
        <v>765</v>
      </c>
      <c r="E32" s="303" t="s">
        <v>908</v>
      </c>
      <c r="F32" s="273" t="s">
        <v>768</v>
      </c>
    </row>
    <row r="33" spans="1:6" s="223" customFormat="1" ht="17.25" customHeight="1" x14ac:dyDescent="0.25">
      <c r="A33" s="209"/>
      <c r="B33" s="210" t="s">
        <v>521</v>
      </c>
      <c r="C33" s="221"/>
      <c r="D33" s="209"/>
      <c r="E33" s="303"/>
      <c r="F33" s="222"/>
    </row>
    <row r="34" spans="1:6" ht="30.75" customHeight="1" x14ac:dyDescent="0.25">
      <c r="B34" s="219" t="s">
        <v>522</v>
      </c>
    </row>
    <row r="35" spans="1:6" ht="22.9" customHeight="1" x14ac:dyDescent="0.25">
      <c r="B35" s="219" t="s">
        <v>910</v>
      </c>
    </row>
    <row r="36" spans="1:6" ht="22.5" customHeight="1" x14ac:dyDescent="0.25">
      <c r="A36" s="206" t="s">
        <v>2</v>
      </c>
      <c r="B36" s="214" t="s">
        <v>904</v>
      </c>
      <c r="C36" s="205">
        <v>26</v>
      </c>
      <c r="D36" s="206" t="s">
        <v>513</v>
      </c>
      <c r="E36" s="304">
        <v>85000</v>
      </c>
      <c r="F36" s="207">
        <f>C36*E36</f>
        <v>2210000</v>
      </c>
    </row>
    <row r="37" spans="1:6" ht="21.75" customHeight="1" x14ac:dyDescent="0.25">
      <c r="A37" s="206" t="s">
        <v>4</v>
      </c>
      <c r="B37" s="214" t="s">
        <v>519</v>
      </c>
      <c r="C37" s="205">
        <f>363.3*0.15</f>
        <v>54.494999999999997</v>
      </c>
      <c r="D37" s="206" t="s">
        <v>513</v>
      </c>
      <c r="E37" s="304">
        <f>E36</f>
        <v>85000</v>
      </c>
      <c r="F37" s="207">
        <f>C37*E37</f>
        <v>4632075</v>
      </c>
    </row>
    <row r="38" spans="1:6" s="214" customFormat="1" ht="15" x14ac:dyDescent="0.3">
      <c r="A38" s="514"/>
      <c r="B38" s="519"/>
      <c r="C38" s="516"/>
      <c r="D38" s="517"/>
      <c r="E38" s="563"/>
      <c r="F38" s="518"/>
    </row>
    <row r="39" spans="1:6" s="214" customFormat="1" ht="15" x14ac:dyDescent="0.3">
      <c r="A39" s="514"/>
      <c r="B39" s="515" t="s">
        <v>796</v>
      </c>
      <c r="C39" s="516"/>
      <c r="D39" s="517"/>
      <c r="E39" s="563"/>
      <c r="F39" s="518"/>
    </row>
    <row r="40" spans="1:6" s="214" customFormat="1" ht="30" x14ac:dyDescent="0.3">
      <c r="A40" s="514"/>
      <c r="B40" s="520" t="s">
        <v>909</v>
      </c>
      <c r="C40" s="516"/>
      <c r="D40" s="517"/>
      <c r="E40" s="563"/>
      <c r="F40" s="518"/>
    </row>
    <row r="41" spans="1:6" s="214" customFormat="1" ht="14.25" customHeight="1" x14ac:dyDescent="0.3">
      <c r="A41" s="514"/>
      <c r="B41" s="519"/>
      <c r="C41" s="516"/>
      <c r="D41" s="517"/>
      <c r="E41" s="563"/>
      <c r="F41" s="518"/>
    </row>
    <row r="42" spans="1:6" s="214" customFormat="1" ht="15" x14ac:dyDescent="0.3">
      <c r="A42" s="514" t="s">
        <v>5</v>
      </c>
      <c r="B42" s="521" t="s">
        <v>906</v>
      </c>
      <c r="C42" s="516">
        <v>14</v>
      </c>
      <c r="D42" s="517" t="s">
        <v>47</v>
      </c>
      <c r="E42" s="563">
        <v>85000</v>
      </c>
      <c r="F42" s="518">
        <f>E42*C42</f>
        <v>1190000</v>
      </c>
    </row>
    <row r="43" spans="1:6" s="214" customFormat="1" ht="15" x14ac:dyDescent="0.3">
      <c r="A43" s="514" t="s">
        <v>6</v>
      </c>
      <c r="B43" s="521" t="s">
        <v>990</v>
      </c>
      <c r="C43" s="516">
        <v>4</v>
      </c>
      <c r="D43" s="517" t="s">
        <v>47</v>
      </c>
      <c r="E43" s="563">
        <f>E42</f>
        <v>85000</v>
      </c>
      <c r="F43" s="518">
        <f>E43*C43</f>
        <v>340000</v>
      </c>
    </row>
    <row r="44" spans="1:6" s="214" customFormat="1" ht="10.15" customHeight="1" x14ac:dyDescent="0.35">
      <c r="A44" s="514"/>
      <c r="B44" s="522"/>
      <c r="C44" s="516"/>
      <c r="D44" s="517"/>
      <c r="E44" s="563"/>
      <c r="F44" s="518"/>
    </row>
    <row r="45" spans="1:6" s="214" customFormat="1" ht="15" x14ac:dyDescent="0.3">
      <c r="A45" s="514"/>
      <c r="B45" s="515" t="s">
        <v>797</v>
      </c>
      <c r="C45" s="516"/>
      <c r="D45" s="517"/>
      <c r="E45" s="563"/>
      <c r="F45" s="518"/>
    </row>
    <row r="46" spans="1:6" s="214" customFormat="1" ht="15" x14ac:dyDescent="0.3">
      <c r="A46" s="514"/>
      <c r="B46" s="515" t="s">
        <v>102</v>
      </c>
      <c r="C46" s="516"/>
      <c r="D46" s="517"/>
      <c r="E46" s="563"/>
      <c r="F46" s="518"/>
    </row>
    <row r="47" spans="1:6" s="214" customFormat="1" ht="15" x14ac:dyDescent="0.3">
      <c r="A47" s="514"/>
      <c r="B47" s="515" t="s">
        <v>798</v>
      </c>
      <c r="C47" s="516"/>
      <c r="D47" s="517"/>
      <c r="E47" s="563"/>
      <c r="F47" s="518"/>
    </row>
    <row r="48" spans="1:6" s="214" customFormat="1" ht="11.65" customHeight="1" x14ac:dyDescent="0.3">
      <c r="A48" s="514"/>
      <c r="B48" s="521"/>
      <c r="C48" s="516"/>
      <c r="D48" s="517"/>
      <c r="E48" s="563"/>
      <c r="F48" s="518"/>
    </row>
    <row r="49" spans="1:6" s="214" customFormat="1" ht="15" x14ac:dyDescent="0.3">
      <c r="A49" s="514" t="s">
        <v>7</v>
      </c>
      <c r="B49" s="521" t="s">
        <v>964</v>
      </c>
      <c r="C49" s="516">
        <v>1333</v>
      </c>
      <c r="D49" s="517" t="s">
        <v>75</v>
      </c>
      <c r="E49" s="563">
        <v>1250</v>
      </c>
      <c r="F49" s="518">
        <f>E49*C49</f>
        <v>1666250</v>
      </c>
    </row>
    <row r="50" spans="1:6" s="214" customFormat="1" ht="15" x14ac:dyDescent="0.3">
      <c r="A50" s="514" t="s">
        <v>8</v>
      </c>
      <c r="B50" s="521" t="s">
        <v>911</v>
      </c>
      <c r="C50" s="516">
        <v>608</v>
      </c>
      <c r="D50" s="517" t="s">
        <v>75</v>
      </c>
      <c r="E50" s="563">
        <f>E49</f>
        <v>1250</v>
      </c>
      <c r="F50" s="518">
        <f>E50*C50</f>
        <v>760000</v>
      </c>
    </row>
    <row r="51" spans="1:6" s="214" customFormat="1" ht="15" x14ac:dyDescent="0.3">
      <c r="A51" s="514" t="s">
        <v>9</v>
      </c>
      <c r="B51" s="521" t="s">
        <v>914</v>
      </c>
      <c r="C51" s="516">
        <v>159</v>
      </c>
      <c r="D51" s="517" t="s">
        <v>75</v>
      </c>
      <c r="E51" s="563">
        <f>E50</f>
        <v>1250</v>
      </c>
      <c r="F51" s="518">
        <f>E51*C51</f>
        <v>198750</v>
      </c>
    </row>
    <row r="52" spans="1:6" s="214" customFormat="1" ht="12.4" customHeight="1" x14ac:dyDescent="0.3">
      <c r="A52" s="514"/>
      <c r="B52" s="521"/>
      <c r="C52" s="516"/>
      <c r="D52" s="517"/>
      <c r="E52" s="563"/>
      <c r="F52" s="518"/>
    </row>
    <row r="53" spans="1:6" s="214" customFormat="1" ht="15" x14ac:dyDescent="0.3">
      <c r="A53" s="514"/>
      <c r="B53" s="515" t="s">
        <v>67</v>
      </c>
      <c r="C53" s="516"/>
      <c r="D53" s="517"/>
      <c r="E53" s="563"/>
      <c r="F53" s="518"/>
    </row>
    <row r="54" spans="1:6" s="214" customFormat="1" ht="15" x14ac:dyDescent="0.3">
      <c r="A54" s="514"/>
      <c r="B54" s="515" t="s">
        <v>799</v>
      </c>
      <c r="C54" s="516"/>
      <c r="D54" s="517"/>
      <c r="E54" s="563"/>
      <c r="F54" s="518"/>
    </row>
    <row r="55" spans="1:6" s="214" customFormat="1" ht="13.9" customHeight="1" x14ac:dyDescent="0.3">
      <c r="A55" s="514"/>
      <c r="B55" s="521"/>
      <c r="C55" s="516"/>
      <c r="D55" s="517"/>
      <c r="E55" s="563"/>
      <c r="F55" s="518"/>
    </row>
    <row r="56" spans="1:6" s="214" customFormat="1" ht="15" x14ac:dyDescent="0.3">
      <c r="A56" s="514" t="s">
        <v>10</v>
      </c>
      <c r="B56" s="521" t="s">
        <v>912</v>
      </c>
      <c r="C56" s="516">
        <v>54</v>
      </c>
      <c r="D56" s="517" t="s">
        <v>35</v>
      </c>
      <c r="E56" s="563">
        <v>6500</v>
      </c>
      <c r="F56" s="518">
        <f>E56*C56</f>
        <v>351000</v>
      </c>
    </row>
    <row r="57" spans="1:6" s="214" customFormat="1" ht="15" x14ac:dyDescent="0.3">
      <c r="A57" s="514" t="s">
        <v>11</v>
      </c>
      <c r="B57" s="521" t="s">
        <v>913</v>
      </c>
      <c r="C57" s="516">
        <v>56</v>
      </c>
      <c r="D57" s="517" t="s">
        <v>35</v>
      </c>
      <c r="E57" s="563">
        <f>E56</f>
        <v>6500</v>
      </c>
      <c r="F57" s="518">
        <f>E57*C57</f>
        <v>364000</v>
      </c>
    </row>
    <row r="58" spans="1:6" s="214" customFormat="1" ht="15" x14ac:dyDescent="0.3">
      <c r="A58" s="514"/>
      <c r="B58" s="521"/>
      <c r="C58" s="516"/>
      <c r="D58" s="517"/>
      <c r="E58" s="563"/>
      <c r="F58" s="518"/>
    </row>
    <row r="59" spans="1:6" ht="49.5" customHeight="1" x14ac:dyDescent="0.25">
      <c r="B59" s="224" t="s">
        <v>524</v>
      </c>
    </row>
    <row r="60" spans="1:6" ht="20.25" customHeight="1" x14ac:dyDescent="0.25">
      <c r="A60" s="206" t="s">
        <v>12</v>
      </c>
      <c r="B60" s="218" t="s">
        <v>39</v>
      </c>
      <c r="C60" s="205">
        <v>351</v>
      </c>
      <c r="D60" s="206" t="s">
        <v>511</v>
      </c>
      <c r="E60" s="304">
        <v>2000</v>
      </c>
      <c r="F60" s="207">
        <f>C60*E60</f>
        <v>702000</v>
      </c>
    </row>
    <row r="61" spans="1:6" x14ac:dyDescent="0.25">
      <c r="B61" s="218"/>
    </row>
    <row r="62" spans="1:6" ht="21" customHeight="1" x14ac:dyDescent="0.25">
      <c r="B62" s="211" t="s">
        <v>67</v>
      </c>
    </row>
    <row r="63" spans="1:6" ht="24.75" customHeight="1" x14ac:dyDescent="0.25">
      <c r="B63" s="219" t="s">
        <v>120</v>
      </c>
    </row>
    <row r="64" spans="1:6" ht="21.75" customHeight="1" x14ac:dyDescent="0.25">
      <c r="A64" s="206" t="s">
        <v>13</v>
      </c>
      <c r="B64" s="214" t="s">
        <v>905</v>
      </c>
      <c r="C64" s="205">
        <v>99</v>
      </c>
      <c r="D64" s="206" t="s">
        <v>22</v>
      </c>
      <c r="E64" s="304">
        <v>975</v>
      </c>
      <c r="F64" s="207">
        <f>C64*E64</f>
        <v>96525</v>
      </c>
    </row>
    <row r="65" spans="1:6" ht="21.75" customHeight="1" x14ac:dyDescent="0.25"/>
    <row r="66" spans="1:6" ht="21.75" customHeight="1" x14ac:dyDescent="0.25"/>
    <row r="67" spans="1:6" ht="23.25" customHeight="1" x14ac:dyDescent="0.25"/>
    <row r="70" spans="1:6" x14ac:dyDescent="0.25">
      <c r="B70" s="225" t="s">
        <v>525</v>
      </c>
      <c r="E70" s="303" t="s">
        <v>15</v>
      </c>
      <c r="F70" s="222">
        <f>SUM(F35:F69)</f>
        <v>12510600</v>
      </c>
    </row>
    <row r="71" spans="1:6" x14ac:dyDescent="0.25">
      <c r="A71" s="209" t="s">
        <v>795</v>
      </c>
      <c r="B71" s="209" t="s">
        <v>907</v>
      </c>
      <c r="C71" s="221" t="s">
        <v>773</v>
      </c>
      <c r="D71" s="209" t="s">
        <v>765</v>
      </c>
      <c r="E71" s="303" t="s">
        <v>908</v>
      </c>
      <c r="F71" s="273" t="s">
        <v>768</v>
      </c>
    </row>
    <row r="72" spans="1:6" x14ac:dyDescent="0.25">
      <c r="B72" s="210" t="s">
        <v>521</v>
      </c>
    </row>
    <row r="73" spans="1:6" x14ac:dyDescent="0.25">
      <c r="B73" s="210"/>
    </row>
    <row r="74" spans="1:6" x14ac:dyDescent="0.25">
      <c r="B74" s="211" t="s">
        <v>84</v>
      </c>
      <c r="C74" s="221"/>
      <c r="D74" s="209"/>
      <c r="E74" s="303"/>
      <c r="F74" s="286"/>
    </row>
    <row r="75" spans="1:6" x14ac:dyDescent="0.25">
      <c r="B75" s="226"/>
      <c r="C75" s="221"/>
      <c r="D75" s="209"/>
      <c r="E75" s="303"/>
      <c r="F75" s="286"/>
    </row>
    <row r="76" spans="1:6" ht="57.75" customHeight="1" x14ac:dyDescent="0.25">
      <c r="B76" s="224" t="s">
        <v>526</v>
      </c>
      <c r="C76" s="221"/>
      <c r="D76" s="209"/>
      <c r="E76" s="303"/>
      <c r="F76" s="286"/>
    </row>
    <row r="77" spans="1:6" x14ac:dyDescent="0.25">
      <c r="B77" s="224"/>
      <c r="C77" s="221"/>
      <c r="D77" s="209"/>
      <c r="E77" s="303"/>
      <c r="F77" s="286"/>
    </row>
    <row r="78" spans="1:6" x14ac:dyDescent="0.25">
      <c r="A78" s="206" t="s">
        <v>2</v>
      </c>
      <c r="B78" s="218" t="s">
        <v>527</v>
      </c>
      <c r="C78" s="205">
        <v>269</v>
      </c>
      <c r="D78" s="206" t="s">
        <v>511</v>
      </c>
      <c r="E78" s="304">
        <v>11000</v>
      </c>
      <c r="F78" s="207">
        <f>C78*E78</f>
        <v>2959000</v>
      </c>
    </row>
    <row r="80" spans="1:6" x14ac:dyDescent="0.25">
      <c r="B80" s="219" t="s">
        <v>528</v>
      </c>
      <c r="F80" s="227"/>
    </row>
    <row r="81" spans="1:6" x14ac:dyDescent="0.25">
      <c r="B81" s="219" t="s">
        <v>529</v>
      </c>
      <c r="F81" s="227"/>
    </row>
    <row r="82" spans="1:6" x14ac:dyDescent="0.25">
      <c r="F82" s="227"/>
    </row>
    <row r="83" spans="1:6" ht="29.25" customHeight="1" x14ac:dyDescent="0.25">
      <c r="A83" s="206" t="s">
        <v>4</v>
      </c>
      <c r="B83" s="215" t="s">
        <v>530</v>
      </c>
      <c r="C83" s="205">
        <v>363</v>
      </c>
      <c r="D83" s="206" t="s">
        <v>511</v>
      </c>
      <c r="E83" s="304">
        <v>650</v>
      </c>
      <c r="F83" s="207">
        <f>C83*E83</f>
        <v>235950</v>
      </c>
    </row>
    <row r="84" spans="1:6" x14ac:dyDescent="0.25">
      <c r="B84" s="215"/>
      <c r="F84" s="227"/>
    </row>
    <row r="85" spans="1:6" ht="29.25" customHeight="1" x14ac:dyDescent="0.25">
      <c r="B85" s="228" t="s">
        <v>915</v>
      </c>
      <c r="C85" s="214"/>
      <c r="D85" s="386"/>
      <c r="E85" s="231"/>
    </row>
    <row r="86" spans="1:6" ht="29.25" customHeight="1" x14ac:dyDescent="0.25">
      <c r="A86" s="206" t="s">
        <v>5</v>
      </c>
      <c r="B86" s="215" t="s">
        <v>916</v>
      </c>
      <c r="C86" s="387">
        <v>26</v>
      </c>
      <c r="D86" s="206" t="s">
        <v>511</v>
      </c>
      <c r="E86" s="564">
        <v>9500</v>
      </c>
      <c r="F86" s="207">
        <f>C86*E86</f>
        <v>247000</v>
      </c>
    </row>
    <row r="87" spans="1:6" ht="29.25" customHeight="1" x14ac:dyDescent="0.25">
      <c r="A87" s="206" t="s">
        <v>6</v>
      </c>
      <c r="B87" s="215" t="s">
        <v>917</v>
      </c>
      <c r="C87" s="387">
        <v>16</v>
      </c>
      <c r="D87" s="206" t="s">
        <v>511</v>
      </c>
      <c r="E87" s="564">
        <f>E86*0.3</f>
        <v>2850</v>
      </c>
      <c r="F87" s="207">
        <f>C87*E87</f>
        <v>45600</v>
      </c>
    </row>
    <row r="88" spans="1:6" ht="35.25" customHeight="1" x14ac:dyDescent="0.25">
      <c r="B88" s="215"/>
      <c r="F88" s="229"/>
    </row>
    <row r="89" spans="1:6" x14ac:dyDescent="0.25">
      <c r="B89" s="215"/>
      <c r="F89" s="227"/>
    </row>
    <row r="90" spans="1:6" ht="18.75" customHeight="1" x14ac:dyDescent="0.25">
      <c r="B90" s="225" t="s">
        <v>525</v>
      </c>
      <c r="E90" s="303" t="s">
        <v>15</v>
      </c>
      <c r="F90" s="222">
        <f>SUM(F74:F89)</f>
        <v>3487550</v>
      </c>
    </row>
    <row r="91" spans="1:6" x14ac:dyDescent="0.25">
      <c r="B91" s="215"/>
      <c r="F91" s="227"/>
    </row>
    <row r="92" spans="1:6" x14ac:dyDescent="0.25">
      <c r="B92" s="225"/>
      <c r="E92" s="303"/>
      <c r="F92" s="285"/>
    </row>
    <row r="93" spans="1:6" x14ac:dyDescent="0.25">
      <c r="B93" s="211" t="s">
        <v>531</v>
      </c>
      <c r="E93" s="303"/>
      <c r="F93" s="285"/>
    </row>
    <row r="94" spans="1:6" x14ac:dyDescent="0.25">
      <c r="B94" s="231" t="s">
        <v>451</v>
      </c>
      <c r="E94" s="304">
        <f>F31</f>
        <v>1927795</v>
      </c>
      <c r="F94" s="230"/>
    </row>
    <row r="95" spans="1:6" x14ac:dyDescent="0.25">
      <c r="B95" s="232"/>
      <c r="F95" s="230"/>
    </row>
    <row r="96" spans="1:6" x14ac:dyDescent="0.25">
      <c r="B96" s="231" t="s">
        <v>452</v>
      </c>
      <c r="E96" s="304">
        <f>F70</f>
        <v>12510600</v>
      </c>
      <c r="F96" s="230"/>
    </row>
    <row r="97" spans="1:6" x14ac:dyDescent="0.25">
      <c r="B97" s="231"/>
      <c r="F97" s="230"/>
    </row>
    <row r="98" spans="1:6" x14ac:dyDescent="0.25">
      <c r="B98" s="231" t="s">
        <v>454</v>
      </c>
      <c r="E98" s="304">
        <f>F90</f>
        <v>3487550</v>
      </c>
      <c r="F98" s="230"/>
    </row>
    <row r="99" spans="1:6" x14ac:dyDescent="0.25">
      <c r="B99" s="233"/>
      <c r="F99" s="230"/>
    </row>
    <row r="100" spans="1:6" x14ac:dyDescent="0.25">
      <c r="B100" s="233"/>
      <c r="F100" s="230"/>
    </row>
    <row r="101" spans="1:6" x14ac:dyDescent="0.25">
      <c r="B101" s="233"/>
      <c r="F101" s="230"/>
    </row>
    <row r="102" spans="1:6" x14ac:dyDescent="0.25">
      <c r="B102" s="233"/>
      <c r="F102" s="230"/>
    </row>
    <row r="103" spans="1:6" x14ac:dyDescent="0.25">
      <c r="B103" s="233"/>
      <c r="F103" s="230"/>
    </row>
    <row r="104" spans="1:6" x14ac:dyDescent="0.25">
      <c r="B104" s="233"/>
      <c r="F104" s="230"/>
    </row>
    <row r="105" spans="1:6" x14ac:dyDescent="0.25">
      <c r="B105" s="233"/>
      <c r="F105" s="230"/>
    </row>
    <row r="106" spans="1:6" x14ac:dyDescent="0.25">
      <c r="B106" s="233"/>
      <c r="F106" s="230"/>
    </row>
    <row r="107" spans="1:6" x14ac:dyDescent="0.25">
      <c r="B107" s="234" t="s">
        <v>533</v>
      </c>
      <c r="C107" s="221"/>
      <c r="D107" s="209"/>
      <c r="F107" s="235"/>
    </row>
    <row r="108" spans="1:6" x14ac:dyDescent="0.25">
      <c r="B108" s="220" t="s">
        <v>534</v>
      </c>
      <c r="C108" s="221"/>
      <c r="D108" s="209"/>
      <c r="E108" s="303" t="s">
        <v>15</v>
      </c>
      <c r="F108" s="286">
        <f>SUM(E94:E99)</f>
        <v>17925945</v>
      </c>
    </row>
    <row r="109" spans="1:6" x14ac:dyDescent="0.25">
      <c r="A109" s="209" t="s">
        <v>795</v>
      </c>
      <c r="B109" s="209" t="s">
        <v>907</v>
      </c>
      <c r="C109" s="221" t="s">
        <v>773</v>
      </c>
      <c r="D109" s="209" t="s">
        <v>765</v>
      </c>
      <c r="E109" s="303" t="s">
        <v>908</v>
      </c>
      <c r="F109" s="273" t="s">
        <v>768</v>
      </c>
    </row>
    <row r="110" spans="1:6" x14ac:dyDescent="0.25">
      <c r="B110" s="204" t="s">
        <v>535</v>
      </c>
    </row>
    <row r="112" spans="1:6" x14ac:dyDescent="0.25">
      <c r="B112" s="210" t="s">
        <v>108</v>
      </c>
    </row>
    <row r="113" spans="1:6" x14ac:dyDescent="0.25">
      <c r="B113" s="210"/>
    </row>
    <row r="114" spans="1:6" x14ac:dyDescent="0.25">
      <c r="B114" s="211" t="s">
        <v>98</v>
      </c>
    </row>
    <row r="116" spans="1:6" x14ac:dyDescent="0.25">
      <c r="B116" s="219" t="s">
        <v>536</v>
      </c>
    </row>
    <row r="117" spans="1:6" x14ac:dyDescent="0.25">
      <c r="B117" s="219"/>
    </row>
    <row r="118" spans="1:6" x14ac:dyDescent="0.25">
      <c r="B118" s="219" t="s">
        <v>666</v>
      </c>
    </row>
    <row r="120" spans="1:6" x14ac:dyDescent="0.25">
      <c r="A120" s="206" t="s">
        <v>2</v>
      </c>
      <c r="B120" s="214" t="s">
        <v>65</v>
      </c>
      <c r="C120" s="205">
        <v>13</v>
      </c>
      <c r="D120" s="206" t="s">
        <v>513</v>
      </c>
      <c r="E120" s="304">
        <f>E42</f>
        <v>85000</v>
      </c>
      <c r="F120" s="207">
        <f>C120*E120</f>
        <v>1105000</v>
      </c>
    </row>
    <row r="122" spans="1:6" x14ac:dyDescent="0.25">
      <c r="A122" s="206" t="s">
        <v>4</v>
      </c>
      <c r="B122" s="214" t="s">
        <v>537</v>
      </c>
      <c r="C122" s="205">
        <f>14*2</f>
        <v>28</v>
      </c>
      <c r="D122" s="206" t="s">
        <v>513</v>
      </c>
      <c r="E122" s="304">
        <f>E120</f>
        <v>85000</v>
      </c>
      <c r="F122" s="207">
        <f>C122*E122</f>
        <v>2380000</v>
      </c>
    </row>
    <row r="124" spans="1:6" x14ac:dyDescent="0.25">
      <c r="A124" s="206" t="s">
        <v>5</v>
      </c>
      <c r="B124" s="214" t="s">
        <v>669</v>
      </c>
      <c r="D124" s="206" t="s">
        <v>513</v>
      </c>
      <c r="E124" s="304">
        <f>E122</f>
        <v>85000</v>
      </c>
      <c r="F124" s="207">
        <f>C124*E124</f>
        <v>0</v>
      </c>
    </row>
    <row r="126" spans="1:6" ht="24.75" customHeight="1" x14ac:dyDescent="0.25">
      <c r="B126" s="211" t="s">
        <v>102</v>
      </c>
    </row>
    <row r="128" spans="1:6" ht="30" x14ac:dyDescent="0.25">
      <c r="B128" s="224" t="s">
        <v>918</v>
      </c>
    </row>
    <row r="129" spans="1:6" x14ac:dyDescent="0.25">
      <c r="B129" s="224"/>
    </row>
    <row r="130" spans="1:6" x14ac:dyDescent="0.25">
      <c r="A130" s="206" t="s">
        <v>6</v>
      </c>
      <c r="B130" s="214" t="s">
        <v>671</v>
      </c>
      <c r="D130" s="206" t="s">
        <v>75</v>
      </c>
      <c r="E130" s="304">
        <f>E49</f>
        <v>1250</v>
      </c>
      <c r="F130" s="207">
        <f>C130*E130</f>
        <v>0</v>
      </c>
    </row>
    <row r="132" spans="1:6" x14ac:dyDescent="0.25">
      <c r="A132" s="206" t="s">
        <v>7</v>
      </c>
      <c r="B132" s="214" t="s">
        <v>538</v>
      </c>
      <c r="C132" s="205">
        <f>481*2</f>
        <v>962</v>
      </c>
      <c r="D132" s="206" t="s">
        <v>75</v>
      </c>
      <c r="E132" s="304">
        <f>E130</f>
        <v>1250</v>
      </c>
      <c r="F132" s="207">
        <f>C132*E132</f>
        <v>1202500</v>
      </c>
    </row>
    <row r="134" spans="1:6" x14ac:dyDescent="0.25">
      <c r="A134" s="206" t="s">
        <v>8</v>
      </c>
      <c r="B134" s="214" t="s">
        <v>539</v>
      </c>
      <c r="C134" s="205">
        <f>2154+2722*2</f>
        <v>7598</v>
      </c>
      <c r="D134" s="206" t="s">
        <v>75</v>
      </c>
      <c r="E134" s="304">
        <f>E132</f>
        <v>1250</v>
      </c>
      <c r="F134" s="207">
        <f>C134*E134</f>
        <v>9497500</v>
      </c>
    </row>
    <row r="136" spans="1:6" x14ac:dyDescent="0.25">
      <c r="A136" s="206" t="s">
        <v>9</v>
      </c>
      <c r="B136" s="214" t="s">
        <v>672</v>
      </c>
      <c r="C136" s="205">
        <v>0</v>
      </c>
      <c r="D136" s="206" t="s">
        <v>75</v>
      </c>
      <c r="E136" s="304">
        <f>E130</f>
        <v>1250</v>
      </c>
      <c r="F136" s="207">
        <f>C136*E136</f>
        <v>0</v>
      </c>
    </row>
    <row r="138" spans="1:6" x14ac:dyDescent="0.25">
      <c r="A138" s="206" t="s">
        <v>10</v>
      </c>
      <c r="B138" s="214" t="s">
        <v>523</v>
      </c>
      <c r="C138" s="205">
        <f>934+1033*2</f>
        <v>3000</v>
      </c>
      <c r="D138" s="206" t="s">
        <v>75</v>
      </c>
      <c r="E138" s="304">
        <f>E134</f>
        <v>1250</v>
      </c>
      <c r="F138" s="207">
        <f>C138*E138</f>
        <v>3750000</v>
      </c>
    </row>
    <row r="140" spans="1:6" x14ac:dyDescent="0.25">
      <c r="B140" s="211" t="s">
        <v>67</v>
      </c>
    </row>
    <row r="142" spans="1:6" x14ac:dyDescent="0.25">
      <c r="B142" s="219" t="s">
        <v>120</v>
      </c>
    </row>
    <row r="144" spans="1:6" x14ac:dyDescent="0.25">
      <c r="A144" s="206" t="s">
        <v>11</v>
      </c>
      <c r="B144" s="214" t="s">
        <v>540</v>
      </c>
      <c r="C144" s="205">
        <v>220</v>
      </c>
      <c r="D144" s="206" t="s">
        <v>511</v>
      </c>
      <c r="E144" s="304">
        <v>6500</v>
      </c>
      <c r="F144" s="207">
        <f>C144*E144</f>
        <v>1430000</v>
      </c>
    </row>
    <row r="146" spans="1:6" x14ac:dyDescent="0.25">
      <c r="A146" s="206" t="s">
        <v>12</v>
      </c>
      <c r="B146" s="214" t="s">
        <v>541</v>
      </c>
      <c r="C146" s="205">
        <f>164*2</f>
        <v>328</v>
      </c>
      <c r="D146" s="206" t="s">
        <v>511</v>
      </c>
      <c r="E146" s="304">
        <f>E144</f>
        <v>6500</v>
      </c>
      <c r="F146" s="207">
        <f>C146*E146</f>
        <v>2132000</v>
      </c>
    </row>
    <row r="152" spans="1:6" x14ac:dyDescent="0.25">
      <c r="B152" s="210" t="s">
        <v>108</v>
      </c>
    </row>
    <row r="153" spans="1:6" x14ac:dyDescent="0.25">
      <c r="B153" s="220" t="s">
        <v>542</v>
      </c>
      <c r="E153" s="303" t="s">
        <v>15</v>
      </c>
      <c r="F153" s="285">
        <f>SUM(F112:F152)</f>
        <v>21497000</v>
      </c>
    </row>
    <row r="154" spans="1:6" x14ac:dyDescent="0.25">
      <c r="A154" s="209" t="s">
        <v>795</v>
      </c>
      <c r="B154" s="209" t="s">
        <v>907</v>
      </c>
      <c r="C154" s="221" t="s">
        <v>773</v>
      </c>
      <c r="D154" s="209" t="s">
        <v>765</v>
      </c>
      <c r="E154" s="303" t="s">
        <v>908</v>
      </c>
      <c r="F154" s="273" t="s">
        <v>768</v>
      </c>
    </row>
    <row r="155" spans="1:6" x14ac:dyDescent="0.25">
      <c r="B155" s="204" t="s">
        <v>543</v>
      </c>
    </row>
    <row r="157" spans="1:6" x14ac:dyDescent="0.25">
      <c r="B157" s="210" t="s">
        <v>544</v>
      </c>
      <c r="F157" s="227"/>
    </row>
    <row r="158" spans="1:6" s="236" customFormat="1" x14ac:dyDescent="0.25">
      <c r="A158" s="206"/>
      <c r="B158" s="214"/>
      <c r="C158" s="205"/>
      <c r="D158" s="206"/>
      <c r="E158" s="304"/>
      <c r="F158" s="227"/>
    </row>
    <row r="159" spans="1:6" x14ac:dyDescent="0.25">
      <c r="B159" s="211" t="s">
        <v>98</v>
      </c>
    </row>
    <row r="160" spans="1:6" s="236" customFormat="1" x14ac:dyDescent="0.25">
      <c r="A160" s="206"/>
      <c r="B160" s="214"/>
      <c r="C160" s="205"/>
      <c r="D160" s="206"/>
      <c r="E160" s="304"/>
      <c r="F160" s="207"/>
    </row>
    <row r="161" spans="1:6" s="236" customFormat="1" x14ac:dyDescent="0.25">
      <c r="A161" s="206"/>
      <c r="B161" s="219" t="s">
        <v>536</v>
      </c>
      <c r="C161" s="205"/>
      <c r="D161" s="206"/>
      <c r="E161" s="304"/>
      <c r="F161" s="207"/>
    </row>
    <row r="162" spans="1:6" s="236" customFormat="1" x14ac:dyDescent="0.25">
      <c r="A162" s="206"/>
      <c r="B162" s="219"/>
      <c r="C162" s="205"/>
      <c r="D162" s="206"/>
      <c r="E162" s="304"/>
      <c r="F162" s="207"/>
    </row>
    <row r="163" spans="1:6" x14ac:dyDescent="0.25">
      <c r="B163" s="219" t="s">
        <v>666</v>
      </c>
    </row>
    <row r="165" spans="1:6" x14ac:dyDescent="0.25">
      <c r="A165" s="206" t="s">
        <v>2</v>
      </c>
      <c r="B165" s="214" t="s">
        <v>545</v>
      </c>
      <c r="C165" s="205">
        <f>56*2</f>
        <v>112</v>
      </c>
      <c r="D165" s="206" t="s">
        <v>513</v>
      </c>
      <c r="E165" s="304">
        <f>E120</f>
        <v>85000</v>
      </c>
      <c r="F165" s="207">
        <f>C165*E165</f>
        <v>9520000</v>
      </c>
    </row>
    <row r="166" spans="1:6" ht="17.25" customHeight="1" x14ac:dyDescent="0.25"/>
    <row r="167" spans="1:6" x14ac:dyDescent="0.25">
      <c r="F167" s="230"/>
    </row>
    <row r="168" spans="1:6" x14ac:dyDescent="0.25">
      <c r="B168" s="211" t="s">
        <v>102</v>
      </c>
    </row>
    <row r="170" spans="1:6" ht="30" x14ac:dyDescent="0.25">
      <c r="B170" s="224" t="s">
        <v>674</v>
      </c>
    </row>
    <row r="171" spans="1:6" x14ac:dyDescent="0.25">
      <c r="B171" s="224"/>
    </row>
    <row r="172" spans="1:6" x14ac:dyDescent="0.25">
      <c r="A172" s="206" t="s">
        <v>4</v>
      </c>
      <c r="B172" s="214" t="s">
        <v>571</v>
      </c>
      <c r="C172" s="205">
        <f>1957.68*2+105</f>
        <v>4020.36</v>
      </c>
      <c r="D172" s="206" t="s">
        <v>75</v>
      </c>
      <c r="E172" s="304">
        <f>E130</f>
        <v>1250</v>
      </c>
      <c r="F172" s="207">
        <f>C172*E172</f>
        <v>5025450</v>
      </c>
    </row>
    <row r="174" spans="1:6" x14ac:dyDescent="0.25">
      <c r="B174" s="211" t="s">
        <v>67</v>
      </c>
    </row>
    <row r="176" spans="1:6" x14ac:dyDescent="0.25">
      <c r="B176" s="219" t="s">
        <v>120</v>
      </c>
      <c r="E176" s="303"/>
      <c r="F176" s="285"/>
    </row>
    <row r="177" spans="1:6" x14ac:dyDescent="0.25">
      <c r="E177" s="303"/>
      <c r="F177" s="285"/>
    </row>
    <row r="178" spans="1:6" x14ac:dyDescent="0.25">
      <c r="A178" s="206" t="s">
        <v>5</v>
      </c>
      <c r="B178" s="214" t="s">
        <v>546</v>
      </c>
      <c r="C178" s="205">
        <f>162*2</f>
        <v>324</v>
      </c>
      <c r="D178" s="206" t="s">
        <v>511</v>
      </c>
      <c r="E178" s="304">
        <f>E144</f>
        <v>6500</v>
      </c>
      <c r="F178" s="207">
        <f>C178*E178</f>
        <v>2106000</v>
      </c>
    </row>
    <row r="180" spans="1:6" x14ac:dyDescent="0.25">
      <c r="A180" s="206" t="s">
        <v>6</v>
      </c>
      <c r="B180" s="214" t="s">
        <v>547</v>
      </c>
      <c r="C180" s="205">
        <f>109*2</f>
        <v>218</v>
      </c>
      <c r="D180" s="206" t="s">
        <v>22</v>
      </c>
      <c r="E180" s="304">
        <f>E178*0.15</f>
        <v>975</v>
      </c>
      <c r="F180" s="207">
        <f>C180*E180</f>
        <v>212550</v>
      </c>
    </row>
    <row r="181" spans="1:6" x14ac:dyDescent="0.25">
      <c r="A181" s="209"/>
      <c r="C181" s="221"/>
      <c r="D181" s="209"/>
      <c r="E181" s="303"/>
      <c r="F181" s="285"/>
    </row>
    <row r="183" spans="1:6" x14ac:dyDescent="0.25">
      <c r="A183" s="209"/>
      <c r="C183" s="221"/>
      <c r="D183" s="209"/>
      <c r="E183" s="303"/>
      <c r="F183" s="285"/>
    </row>
    <row r="184" spans="1:6" x14ac:dyDescent="0.25">
      <c r="A184" s="209"/>
      <c r="D184" s="209"/>
      <c r="E184" s="303"/>
      <c r="F184" s="285"/>
    </row>
    <row r="185" spans="1:6" x14ac:dyDescent="0.25">
      <c r="A185" s="209"/>
      <c r="C185" s="221"/>
      <c r="D185" s="209"/>
      <c r="E185" s="303"/>
      <c r="F185" s="285"/>
    </row>
    <row r="186" spans="1:6" x14ac:dyDescent="0.25">
      <c r="A186" s="209"/>
      <c r="C186" s="221"/>
      <c r="D186" s="209"/>
      <c r="E186" s="303"/>
      <c r="F186" s="285"/>
    </row>
    <row r="187" spans="1:6" x14ac:dyDescent="0.25">
      <c r="A187" s="209"/>
      <c r="C187" s="221"/>
      <c r="D187" s="209"/>
      <c r="E187" s="303"/>
      <c r="F187" s="285"/>
    </row>
    <row r="188" spans="1:6" x14ac:dyDescent="0.25">
      <c r="A188" s="209"/>
      <c r="C188" s="221"/>
      <c r="D188" s="209"/>
      <c r="E188" s="303"/>
      <c r="F188" s="285"/>
    </row>
    <row r="189" spans="1:6" x14ac:dyDescent="0.25">
      <c r="A189" s="209"/>
      <c r="C189" s="221"/>
      <c r="D189" s="209"/>
      <c r="E189" s="303"/>
      <c r="F189" s="285"/>
    </row>
    <row r="190" spans="1:6" x14ac:dyDescent="0.25">
      <c r="A190" s="209"/>
      <c r="C190" s="221"/>
      <c r="D190" s="209"/>
      <c r="E190" s="303"/>
      <c r="F190" s="285"/>
    </row>
    <row r="191" spans="1:6" x14ac:dyDescent="0.25">
      <c r="A191" s="209"/>
      <c r="C191" s="221"/>
      <c r="D191" s="209"/>
      <c r="E191" s="303"/>
      <c r="F191" s="285"/>
    </row>
    <row r="192" spans="1:6" x14ac:dyDescent="0.25">
      <c r="A192" s="209"/>
      <c r="C192" s="221"/>
      <c r="D192" s="209"/>
      <c r="E192" s="303"/>
      <c r="F192" s="285"/>
    </row>
    <row r="193" spans="1:6" x14ac:dyDescent="0.25">
      <c r="A193" s="209"/>
      <c r="C193" s="221"/>
      <c r="D193" s="209"/>
      <c r="E193" s="303"/>
      <c r="F193" s="285"/>
    </row>
    <row r="194" spans="1:6" x14ac:dyDescent="0.25">
      <c r="A194" s="209"/>
      <c r="C194" s="221"/>
      <c r="D194" s="209"/>
      <c r="E194" s="303"/>
      <c r="F194" s="285"/>
    </row>
    <row r="195" spans="1:6" x14ac:dyDescent="0.25">
      <c r="A195" s="209"/>
      <c r="C195" s="221"/>
      <c r="D195" s="209"/>
      <c r="E195" s="303"/>
      <c r="F195" s="285"/>
    </row>
    <row r="196" spans="1:6" x14ac:dyDescent="0.25">
      <c r="A196" s="209"/>
      <c r="C196" s="221"/>
      <c r="D196" s="209"/>
      <c r="E196" s="303"/>
      <c r="F196" s="285"/>
    </row>
    <row r="197" spans="1:6" x14ac:dyDescent="0.25">
      <c r="B197" s="210" t="s">
        <v>453</v>
      </c>
    </row>
    <row r="198" spans="1:6" x14ac:dyDescent="0.25">
      <c r="B198" s="220" t="s">
        <v>534</v>
      </c>
      <c r="E198" s="303" t="s">
        <v>15</v>
      </c>
      <c r="F198" s="285">
        <f>SUM(F157:F197)</f>
        <v>16864000</v>
      </c>
    </row>
    <row r="199" spans="1:6" x14ac:dyDescent="0.25">
      <c r="A199" s="209" t="s">
        <v>795</v>
      </c>
      <c r="B199" s="209" t="s">
        <v>907</v>
      </c>
      <c r="C199" s="221" t="s">
        <v>773</v>
      </c>
      <c r="D199" s="209" t="s">
        <v>765</v>
      </c>
      <c r="E199" s="303" t="s">
        <v>908</v>
      </c>
      <c r="F199" s="273" t="s">
        <v>768</v>
      </c>
    </row>
    <row r="200" spans="1:6" x14ac:dyDescent="0.25">
      <c r="B200" s="204" t="s">
        <v>548</v>
      </c>
      <c r="F200" s="230"/>
    </row>
    <row r="201" spans="1:6" x14ac:dyDescent="0.25">
      <c r="B201" s="206"/>
      <c r="F201" s="230"/>
    </row>
    <row r="202" spans="1:6" x14ac:dyDescent="0.25">
      <c r="B202" s="210" t="s">
        <v>549</v>
      </c>
      <c r="F202" s="230"/>
    </row>
    <row r="203" spans="1:6" ht="10.5" customHeight="1" x14ac:dyDescent="0.25">
      <c r="A203" s="237"/>
      <c r="B203" s="210"/>
      <c r="F203" s="230"/>
    </row>
    <row r="204" spans="1:6" x14ac:dyDescent="0.25">
      <c r="A204" s="237"/>
      <c r="B204" s="211" t="s">
        <v>98</v>
      </c>
      <c r="F204" s="230"/>
    </row>
    <row r="205" spans="1:6" x14ac:dyDescent="0.25">
      <c r="A205" s="237"/>
      <c r="F205" s="230"/>
    </row>
    <row r="206" spans="1:6" x14ac:dyDescent="0.25">
      <c r="B206" s="219" t="s">
        <v>536</v>
      </c>
      <c r="E206" s="304" t="s">
        <v>20</v>
      </c>
      <c r="F206" s="230"/>
    </row>
    <row r="207" spans="1:6" ht="11.25" customHeight="1" x14ac:dyDescent="0.25">
      <c r="A207" s="237"/>
      <c r="B207" s="219"/>
      <c r="F207" s="230"/>
    </row>
    <row r="208" spans="1:6" x14ac:dyDescent="0.25">
      <c r="A208" s="237"/>
      <c r="B208" s="219" t="s">
        <v>666</v>
      </c>
      <c r="F208" s="230"/>
    </row>
    <row r="209" spans="1:6" ht="9" customHeight="1" x14ac:dyDescent="0.25">
      <c r="A209" s="237"/>
      <c r="F209" s="230"/>
    </row>
    <row r="210" spans="1:6" x14ac:dyDescent="0.25">
      <c r="A210" s="206" t="s">
        <v>2</v>
      </c>
      <c r="B210" s="214" t="s">
        <v>550</v>
      </c>
      <c r="C210" s="205">
        <v>5</v>
      </c>
      <c r="D210" s="206" t="s">
        <v>513</v>
      </c>
      <c r="E210" s="304">
        <f>E120</f>
        <v>85000</v>
      </c>
      <c r="F210" s="287">
        <f>C210*E210</f>
        <v>425000</v>
      </c>
    </row>
    <row r="211" spans="1:6" ht="10.5" customHeight="1" x14ac:dyDescent="0.25">
      <c r="F211" s="287"/>
    </row>
    <row r="212" spans="1:6" ht="12.75" customHeight="1" x14ac:dyDescent="0.25">
      <c r="A212" s="237"/>
      <c r="B212" s="211" t="s">
        <v>102</v>
      </c>
      <c r="F212" s="230"/>
    </row>
    <row r="213" spans="1:6" ht="9.75" customHeight="1" x14ac:dyDescent="0.25">
      <c r="F213" s="230"/>
    </row>
    <row r="214" spans="1:6" ht="30" x14ac:dyDescent="0.25">
      <c r="B214" s="224" t="s">
        <v>551</v>
      </c>
    </row>
    <row r="215" spans="1:6" ht="15.75" customHeight="1" x14ac:dyDescent="0.25">
      <c r="B215" s="224"/>
    </row>
    <row r="216" spans="1:6" ht="17.25" customHeight="1" x14ac:dyDescent="0.25">
      <c r="A216" s="206" t="s">
        <v>4</v>
      </c>
      <c r="B216" s="214" t="s">
        <v>672</v>
      </c>
      <c r="C216" s="205">
        <v>325</v>
      </c>
      <c r="D216" s="206" t="s">
        <v>75</v>
      </c>
      <c r="E216" s="304">
        <f>E172</f>
        <v>1250</v>
      </c>
      <c r="F216" s="207">
        <f>C216*E216</f>
        <v>406250</v>
      </c>
    </row>
    <row r="217" spans="1:6" x14ac:dyDescent="0.25">
      <c r="B217" s="224"/>
    </row>
    <row r="218" spans="1:6" s="236" customFormat="1" x14ac:dyDescent="0.25">
      <c r="A218" s="238"/>
      <c r="B218" s="218"/>
      <c r="C218" s="239"/>
      <c r="D218" s="240"/>
      <c r="E218" s="305"/>
      <c r="F218" s="241"/>
    </row>
    <row r="219" spans="1:6" x14ac:dyDescent="0.25">
      <c r="A219" s="237"/>
      <c r="B219" s="211" t="s">
        <v>67</v>
      </c>
      <c r="F219" s="230"/>
    </row>
    <row r="220" spans="1:6" x14ac:dyDescent="0.25">
      <c r="F220" s="230"/>
    </row>
    <row r="221" spans="1:6" x14ac:dyDescent="0.25">
      <c r="B221" s="219" t="s">
        <v>120</v>
      </c>
      <c r="F221" s="230"/>
    </row>
    <row r="222" spans="1:6" x14ac:dyDescent="0.25">
      <c r="F222" s="230"/>
    </row>
    <row r="223" spans="1:6" x14ac:dyDescent="0.25">
      <c r="A223" s="206" t="s">
        <v>5</v>
      </c>
      <c r="B223" s="214" t="s">
        <v>552</v>
      </c>
      <c r="C223" s="205">
        <v>21</v>
      </c>
      <c r="D223" s="206" t="s">
        <v>511</v>
      </c>
      <c r="E223" s="304">
        <v>6500</v>
      </c>
      <c r="F223" s="207">
        <f>C223*E223</f>
        <v>136500</v>
      </c>
    </row>
    <row r="224" spans="1:6" x14ac:dyDescent="0.25">
      <c r="F224" s="230"/>
    </row>
    <row r="225" spans="1:6" x14ac:dyDescent="0.25">
      <c r="A225" s="206" t="s">
        <v>6</v>
      </c>
      <c r="B225" s="214" t="s">
        <v>553</v>
      </c>
      <c r="C225" s="205">
        <v>5</v>
      </c>
      <c r="D225" s="206" t="s">
        <v>511</v>
      </c>
      <c r="E225" s="304">
        <f>E223</f>
        <v>6500</v>
      </c>
      <c r="F225" s="207">
        <f>C225*E225</f>
        <v>32500</v>
      </c>
    </row>
    <row r="227" spans="1:6" x14ac:dyDescent="0.25">
      <c r="A227" s="206" t="s">
        <v>7</v>
      </c>
      <c r="B227" s="214" t="s">
        <v>554</v>
      </c>
      <c r="C227" s="205">
        <v>16</v>
      </c>
      <c r="D227" s="206" t="s">
        <v>511</v>
      </c>
      <c r="E227" s="304">
        <f>E225</f>
        <v>6500</v>
      </c>
      <c r="F227" s="207">
        <f>C227*E227</f>
        <v>104000</v>
      </c>
    </row>
    <row r="228" spans="1:6" x14ac:dyDescent="0.25">
      <c r="F228" s="230"/>
    </row>
    <row r="229" spans="1:6" ht="30" x14ac:dyDescent="0.25">
      <c r="A229" s="206" t="s">
        <v>8</v>
      </c>
      <c r="B229" s="215" t="s">
        <v>555</v>
      </c>
      <c r="C229" s="205">
        <v>3</v>
      </c>
      <c r="D229" s="206" t="s">
        <v>511</v>
      </c>
      <c r="E229" s="304">
        <f>E225</f>
        <v>6500</v>
      </c>
      <c r="F229" s="207">
        <f>C229*E229</f>
        <v>19500</v>
      </c>
    </row>
    <row r="230" spans="1:6" x14ac:dyDescent="0.25">
      <c r="B230" s="215"/>
      <c r="F230" s="230"/>
    </row>
    <row r="231" spans="1:6" x14ac:dyDescent="0.25">
      <c r="A231" s="206" t="s">
        <v>9</v>
      </c>
      <c r="B231" s="214" t="s">
        <v>133</v>
      </c>
      <c r="C231" s="205">
        <v>48</v>
      </c>
      <c r="D231" s="206" t="s">
        <v>22</v>
      </c>
      <c r="E231" s="304">
        <f>E180</f>
        <v>975</v>
      </c>
      <c r="F231" s="207">
        <f>C231*E231</f>
        <v>46800</v>
      </c>
    </row>
    <row r="233" spans="1:6" x14ac:dyDescent="0.25">
      <c r="A233" s="206" t="s">
        <v>10</v>
      </c>
      <c r="B233" s="214" t="s">
        <v>556</v>
      </c>
      <c r="C233" s="205">
        <v>8</v>
      </c>
      <c r="D233" s="206" t="s">
        <v>22</v>
      </c>
      <c r="E233" s="304">
        <f>E231</f>
        <v>975</v>
      </c>
      <c r="F233" s="207">
        <f>C233*E233</f>
        <v>7800</v>
      </c>
    </row>
    <row r="244" spans="1:6" ht="19.5" customHeight="1" x14ac:dyDescent="0.25">
      <c r="B244" s="220" t="s">
        <v>520</v>
      </c>
      <c r="C244" s="221"/>
      <c r="D244" s="209"/>
      <c r="E244" s="303" t="s">
        <v>15</v>
      </c>
      <c r="F244" s="207">
        <f>SUM(F202:F243)</f>
        <v>1178350</v>
      </c>
    </row>
    <row r="245" spans="1:6" x14ac:dyDescent="0.25">
      <c r="A245" s="209" t="s">
        <v>795</v>
      </c>
      <c r="B245" s="209"/>
      <c r="C245" s="221" t="s">
        <v>773</v>
      </c>
      <c r="D245" s="209" t="s">
        <v>765</v>
      </c>
      <c r="E245" s="303" t="s">
        <v>908</v>
      </c>
      <c r="F245" s="273" t="s">
        <v>768</v>
      </c>
    </row>
    <row r="246" spans="1:6" x14ac:dyDescent="0.25">
      <c r="B246" s="210" t="s">
        <v>557</v>
      </c>
    </row>
    <row r="247" spans="1:6" x14ac:dyDescent="0.25">
      <c r="B247" s="210"/>
    </row>
    <row r="248" spans="1:6" x14ac:dyDescent="0.25">
      <c r="B248" s="211" t="s">
        <v>137</v>
      </c>
      <c r="F248" s="288"/>
    </row>
    <row r="249" spans="1:6" x14ac:dyDescent="0.25">
      <c r="F249" s="288"/>
    </row>
    <row r="250" spans="1:6" x14ac:dyDescent="0.25">
      <c r="B250" s="242" t="s">
        <v>702</v>
      </c>
      <c r="F250" s="230"/>
    </row>
    <row r="251" spans="1:6" x14ac:dyDescent="0.25">
      <c r="B251" s="211"/>
      <c r="F251" s="230"/>
    </row>
    <row r="252" spans="1:6" x14ac:dyDescent="0.25">
      <c r="A252" s="206" t="s">
        <v>2</v>
      </c>
      <c r="B252" s="233" t="s">
        <v>558</v>
      </c>
      <c r="C252" s="205">
        <v>7</v>
      </c>
      <c r="D252" s="206" t="s">
        <v>511</v>
      </c>
      <c r="E252" s="306">
        <v>23000</v>
      </c>
      <c r="F252" s="207">
        <f>C252*E252</f>
        <v>161000</v>
      </c>
    </row>
    <row r="253" spans="1:6" x14ac:dyDescent="0.25">
      <c r="B253" s="233"/>
      <c r="F253" s="230"/>
    </row>
    <row r="254" spans="1:6" x14ac:dyDescent="0.25">
      <c r="A254" s="206" t="s">
        <v>4</v>
      </c>
      <c r="B254" s="214" t="s">
        <v>139</v>
      </c>
      <c r="C254" s="205">
        <v>46</v>
      </c>
      <c r="D254" s="206" t="s">
        <v>22</v>
      </c>
      <c r="E254" s="306">
        <f>E252*0.3</f>
        <v>6900</v>
      </c>
      <c r="F254" s="207">
        <f>C254*E254</f>
        <v>317400</v>
      </c>
    </row>
    <row r="255" spans="1:6" x14ac:dyDescent="0.25">
      <c r="E255" s="306"/>
    </row>
    <row r="256" spans="1:6" x14ac:dyDescent="0.25">
      <c r="A256" s="206" t="s">
        <v>5</v>
      </c>
      <c r="B256" s="214" t="s">
        <v>140</v>
      </c>
      <c r="C256" s="205">
        <v>48</v>
      </c>
      <c r="D256" s="206" t="s">
        <v>22</v>
      </c>
      <c r="E256" s="306">
        <f>E252*0.15</f>
        <v>3450</v>
      </c>
      <c r="F256" s="207">
        <f>C256*E256</f>
        <v>165600</v>
      </c>
    </row>
    <row r="257" spans="1:6" x14ac:dyDescent="0.25">
      <c r="F257" s="230"/>
    </row>
    <row r="258" spans="1:6" s="223" customFormat="1" ht="15" customHeight="1" x14ac:dyDescent="0.25">
      <c r="A258" s="206" t="s">
        <v>6</v>
      </c>
      <c r="B258" s="218" t="s">
        <v>141</v>
      </c>
      <c r="C258" s="205">
        <v>18</v>
      </c>
      <c r="D258" s="206" t="s">
        <v>22</v>
      </c>
      <c r="E258" s="306">
        <f>E252*0.08</f>
        <v>1840</v>
      </c>
      <c r="F258" s="207">
        <f>C258*E258</f>
        <v>33120</v>
      </c>
    </row>
    <row r="259" spans="1:6" s="223" customFormat="1" ht="15" customHeight="1" x14ac:dyDescent="0.25">
      <c r="A259" s="206"/>
      <c r="B259" s="218"/>
      <c r="C259" s="205"/>
      <c r="D259" s="206"/>
      <c r="E259" s="304"/>
      <c r="F259" s="207"/>
    </row>
    <row r="260" spans="1:6" ht="35.25" customHeight="1" x14ac:dyDescent="0.25">
      <c r="B260" s="242" t="s">
        <v>559</v>
      </c>
      <c r="C260" s="221"/>
      <c r="D260" s="209"/>
      <c r="E260" s="303"/>
      <c r="F260" s="286"/>
    </row>
    <row r="261" spans="1:6" x14ac:dyDescent="0.25">
      <c r="B261" s="220"/>
      <c r="C261" s="221"/>
      <c r="D261" s="209"/>
      <c r="E261" s="303"/>
      <c r="F261" s="286"/>
    </row>
    <row r="262" spans="1:6" x14ac:dyDescent="0.25">
      <c r="B262" s="219" t="s">
        <v>560</v>
      </c>
      <c r="F262" s="230"/>
    </row>
    <row r="263" spans="1:6" x14ac:dyDescent="0.25">
      <c r="B263" s="219"/>
      <c r="F263" s="230"/>
    </row>
    <row r="264" spans="1:6" x14ac:dyDescent="0.25">
      <c r="A264" s="206" t="s">
        <v>7</v>
      </c>
      <c r="B264" s="233" t="s">
        <v>561</v>
      </c>
      <c r="C264" s="205">
        <f>C252</f>
        <v>7</v>
      </c>
      <c r="D264" s="206" t="s">
        <v>511</v>
      </c>
      <c r="E264" s="304">
        <v>4500</v>
      </c>
      <c r="F264" s="207">
        <f>C264*E264</f>
        <v>31500</v>
      </c>
    </row>
    <row r="265" spans="1:6" x14ac:dyDescent="0.25">
      <c r="B265" s="219"/>
      <c r="F265" s="230"/>
    </row>
    <row r="266" spans="1:6" ht="15" x14ac:dyDescent="0.25">
      <c r="A266" s="206" t="s">
        <v>8</v>
      </c>
      <c r="B266" s="233" t="s">
        <v>145</v>
      </c>
      <c r="C266" s="205">
        <f>C256</f>
        <v>48</v>
      </c>
      <c r="D266" s="206" t="s">
        <v>22</v>
      </c>
      <c r="E266" s="304">
        <v>1500</v>
      </c>
      <c r="F266" s="212">
        <f>C266*E266</f>
        <v>72000</v>
      </c>
    </row>
    <row r="267" spans="1:6" x14ac:dyDescent="0.25">
      <c r="B267" s="233"/>
    </row>
    <row r="268" spans="1:6" ht="15" x14ac:dyDescent="0.25">
      <c r="A268" s="206" t="s">
        <v>9</v>
      </c>
      <c r="B268" s="233" t="s">
        <v>562</v>
      </c>
      <c r="C268" s="205">
        <f>C254</f>
        <v>46</v>
      </c>
      <c r="D268" s="206" t="s">
        <v>22</v>
      </c>
      <c r="E268" s="304">
        <v>2500</v>
      </c>
      <c r="F268" s="212">
        <f>C268*E268</f>
        <v>115000</v>
      </c>
    </row>
    <row r="269" spans="1:6" ht="15" x14ac:dyDescent="0.25">
      <c r="B269" s="233"/>
      <c r="F269" s="212"/>
    </row>
    <row r="270" spans="1:6" ht="15" x14ac:dyDescent="0.25">
      <c r="A270" s="206" t="s">
        <v>10</v>
      </c>
      <c r="B270" s="233" t="s">
        <v>146</v>
      </c>
      <c r="C270" s="205">
        <v>18</v>
      </c>
      <c r="D270" s="206" t="s">
        <v>22</v>
      </c>
      <c r="E270" s="304">
        <f>E264*0.15</f>
        <v>675</v>
      </c>
      <c r="F270" s="212">
        <f>C270*E270</f>
        <v>12150</v>
      </c>
    </row>
    <row r="271" spans="1:6" x14ac:dyDescent="0.25">
      <c r="F271" s="230"/>
    </row>
    <row r="272" spans="1:6" x14ac:dyDescent="0.25">
      <c r="B272" s="211" t="s">
        <v>147</v>
      </c>
      <c r="F272" s="230"/>
    </row>
    <row r="273" spans="1:6" x14ac:dyDescent="0.25">
      <c r="F273" s="230"/>
    </row>
    <row r="274" spans="1:6" ht="30" x14ac:dyDescent="0.25">
      <c r="B274" s="224" t="s">
        <v>563</v>
      </c>
      <c r="F274" s="230"/>
    </row>
    <row r="275" spans="1:6" x14ac:dyDescent="0.25">
      <c r="B275" s="224"/>
      <c r="F275" s="230"/>
    </row>
    <row r="276" spans="1:6" x14ac:dyDescent="0.25">
      <c r="A276" s="206" t="s">
        <v>11</v>
      </c>
      <c r="B276" s="233" t="s">
        <v>149</v>
      </c>
      <c r="C276" s="205">
        <f>C223</f>
        <v>21</v>
      </c>
      <c r="D276" s="206" t="s">
        <v>511</v>
      </c>
      <c r="E276" s="304">
        <v>3500</v>
      </c>
      <c r="F276" s="207">
        <f>C276*E276</f>
        <v>73500</v>
      </c>
    </row>
    <row r="277" spans="1:6" x14ac:dyDescent="0.25">
      <c r="B277" s="233"/>
    </row>
    <row r="278" spans="1:6" x14ac:dyDescent="0.25">
      <c r="A278" s="206" t="s">
        <v>12</v>
      </c>
      <c r="B278" s="214" t="s">
        <v>38</v>
      </c>
      <c r="C278" s="205">
        <f>C225</f>
        <v>5</v>
      </c>
      <c r="D278" s="206" t="s">
        <v>511</v>
      </c>
      <c r="E278" s="304">
        <f>E276</f>
        <v>3500</v>
      </c>
      <c r="F278" s="207">
        <f>C278*E278</f>
        <v>17500</v>
      </c>
    </row>
    <row r="280" spans="1:6" x14ac:dyDescent="0.25">
      <c r="A280" s="206" t="s">
        <v>13</v>
      </c>
      <c r="B280" s="214" t="s">
        <v>37</v>
      </c>
      <c r="C280" s="205">
        <f>C229</f>
        <v>3</v>
      </c>
      <c r="D280" s="206" t="s">
        <v>511</v>
      </c>
      <c r="E280" s="304">
        <f>E278</f>
        <v>3500</v>
      </c>
      <c r="F280" s="207">
        <f>C280*E280</f>
        <v>10500</v>
      </c>
    </row>
    <row r="281" spans="1:6" x14ac:dyDescent="0.25">
      <c r="F281" s="230"/>
    </row>
    <row r="282" spans="1:6" x14ac:dyDescent="0.25">
      <c r="F282" s="230"/>
    </row>
    <row r="283" spans="1:6" x14ac:dyDescent="0.25">
      <c r="F283" s="230"/>
    </row>
    <row r="284" spans="1:6" x14ac:dyDescent="0.25">
      <c r="F284" s="230"/>
    </row>
    <row r="285" spans="1:6" x14ac:dyDescent="0.25">
      <c r="F285" s="230"/>
    </row>
    <row r="286" spans="1:6" x14ac:dyDescent="0.25">
      <c r="F286" s="230"/>
    </row>
    <row r="287" spans="1:6" x14ac:dyDescent="0.25">
      <c r="F287" s="230"/>
    </row>
    <row r="288" spans="1:6" x14ac:dyDescent="0.25">
      <c r="F288" s="230"/>
    </row>
    <row r="289" spans="1:6" x14ac:dyDescent="0.25">
      <c r="B289" s="220" t="s">
        <v>520</v>
      </c>
      <c r="C289" s="221"/>
      <c r="D289" s="209"/>
      <c r="E289" s="303" t="s">
        <v>15</v>
      </c>
      <c r="F289" s="235">
        <f>SUM(F248:F288)</f>
        <v>1009270</v>
      </c>
    </row>
    <row r="290" spans="1:6" x14ac:dyDescent="0.25">
      <c r="A290" s="209" t="s">
        <v>795</v>
      </c>
      <c r="B290" s="209"/>
      <c r="C290" s="221" t="s">
        <v>773</v>
      </c>
      <c r="D290" s="209" t="s">
        <v>765</v>
      </c>
      <c r="E290" s="303" t="s">
        <v>908</v>
      </c>
      <c r="F290" s="273" t="s">
        <v>768</v>
      </c>
    </row>
    <row r="291" spans="1:6" x14ac:dyDescent="0.25">
      <c r="B291" s="210" t="s">
        <v>557</v>
      </c>
      <c r="F291" s="230"/>
    </row>
    <row r="292" spans="1:6" x14ac:dyDescent="0.25">
      <c r="F292" s="230"/>
    </row>
    <row r="293" spans="1:6" x14ac:dyDescent="0.25">
      <c r="B293" s="210" t="s">
        <v>564</v>
      </c>
      <c r="F293" s="230"/>
    </row>
    <row r="294" spans="1:6" x14ac:dyDescent="0.25">
      <c r="F294" s="230"/>
    </row>
    <row r="295" spans="1:6" ht="30" x14ac:dyDescent="0.25">
      <c r="B295" s="224" t="s">
        <v>565</v>
      </c>
      <c r="F295" s="230"/>
    </row>
    <row r="296" spans="1:6" x14ac:dyDescent="0.25">
      <c r="F296" s="230"/>
    </row>
    <row r="297" spans="1:6" x14ac:dyDescent="0.25">
      <c r="A297" s="206" t="s">
        <v>2</v>
      </c>
      <c r="B297" s="233" t="s">
        <v>149</v>
      </c>
      <c r="C297" s="205">
        <f>C276</f>
        <v>21</v>
      </c>
      <c r="D297" s="206" t="s">
        <v>511</v>
      </c>
      <c r="E297" s="304">
        <v>1400</v>
      </c>
      <c r="F297" s="207">
        <f>C297*E297</f>
        <v>29400</v>
      </c>
    </row>
    <row r="298" spans="1:6" x14ac:dyDescent="0.25">
      <c r="B298" s="233"/>
    </row>
    <row r="299" spans="1:6" x14ac:dyDescent="0.25">
      <c r="A299" s="206" t="s">
        <v>4</v>
      </c>
      <c r="B299" s="214" t="s">
        <v>38</v>
      </c>
      <c r="C299" s="205">
        <f>C278</f>
        <v>5</v>
      </c>
      <c r="D299" s="206" t="s">
        <v>511</v>
      </c>
      <c r="E299" s="304">
        <f>E297</f>
        <v>1400</v>
      </c>
      <c r="F299" s="207">
        <f>C299*E299</f>
        <v>7000</v>
      </c>
    </row>
    <row r="301" spans="1:6" x14ac:dyDescent="0.25">
      <c r="A301" s="206" t="s">
        <v>5</v>
      </c>
      <c r="B301" s="214" t="s">
        <v>37</v>
      </c>
      <c r="C301" s="205">
        <f>C280</f>
        <v>3</v>
      </c>
      <c r="D301" s="206" t="s">
        <v>511</v>
      </c>
      <c r="E301" s="304">
        <f>E299</f>
        <v>1400</v>
      </c>
      <c r="F301" s="207">
        <f>C301*E301</f>
        <v>4200</v>
      </c>
    </row>
    <row r="302" spans="1:6" x14ac:dyDescent="0.25">
      <c r="B302" s="233"/>
      <c r="F302" s="230"/>
    </row>
    <row r="303" spans="1:6" x14ac:dyDescent="0.25">
      <c r="B303" s="211" t="s">
        <v>152</v>
      </c>
      <c r="F303" s="230"/>
    </row>
    <row r="304" spans="1:6" x14ac:dyDescent="0.25">
      <c r="F304" s="230"/>
    </row>
    <row r="305" spans="1:6" ht="30" x14ac:dyDescent="0.25">
      <c r="B305" s="224" t="s">
        <v>675</v>
      </c>
      <c r="F305" s="230"/>
    </row>
    <row r="306" spans="1:6" x14ac:dyDescent="0.25">
      <c r="F306" s="230"/>
    </row>
    <row r="307" spans="1:6" x14ac:dyDescent="0.25">
      <c r="A307" s="206" t="s">
        <v>6</v>
      </c>
      <c r="B307" s="233" t="s">
        <v>149</v>
      </c>
      <c r="C307" s="205">
        <f>C297</f>
        <v>21</v>
      </c>
      <c r="D307" s="206" t="s">
        <v>511</v>
      </c>
      <c r="E307" s="304">
        <v>2200</v>
      </c>
      <c r="F307" s="207">
        <f>C307*E307</f>
        <v>46200</v>
      </c>
    </row>
    <row r="308" spans="1:6" x14ac:dyDescent="0.25">
      <c r="B308" s="233"/>
    </row>
    <row r="309" spans="1:6" x14ac:dyDescent="0.25">
      <c r="A309" s="206" t="s">
        <v>7</v>
      </c>
      <c r="B309" s="214" t="s">
        <v>38</v>
      </c>
      <c r="C309" s="205">
        <f>C299</f>
        <v>5</v>
      </c>
      <c r="D309" s="206" t="s">
        <v>511</v>
      </c>
      <c r="E309" s="304">
        <f>E307</f>
        <v>2200</v>
      </c>
      <c r="F309" s="207">
        <f>C309*E309</f>
        <v>11000</v>
      </c>
    </row>
    <row r="311" spans="1:6" x14ac:dyDescent="0.25">
      <c r="A311" s="206" t="s">
        <v>8</v>
      </c>
      <c r="B311" s="214" t="s">
        <v>37</v>
      </c>
      <c r="C311" s="205">
        <f>C301</f>
        <v>3</v>
      </c>
      <c r="D311" s="206" t="s">
        <v>511</v>
      </c>
      <c r="E311" s="304">
        <f>E309</f>
        <v>2200</v>
      </c>
      <c r="F311" s="207">
        <f>C311*E311</f>
        <v>6600</v>
      </c>
    </row>
    <row r="313" spans="1:6" x14ac:dyDescent="0.25">
      <c r="F313" s="230"/>
    </row>
    <row r="314" spans="1:6" x14ac:dyDescent="0.25">
      <c r="B314" s="220" t="s">
        <v>520</v>
      </c>
      <c r="E314" s="303" t="s">
        <v>15</v>
      </c>
      <c r="F314" s="222">
        <f>SUM(F294:F313)</f>
        <v>104400</v>
      </c>
    </row>
    <row r="316" spans="1:6" x14ac:dyDescent="0.25">
      <c r="B316" s="219" t="s">
        <v>531</v>
      </c>
      <c r="F316" s="230"/>
    </row>
    <row r="317" spans="1:6" x14ac:dyDescent="0.25">
      <c r="B317" s="231" t="s">
        <v>566</v>
      </c>
      <c r="E317" s="304">
        <f>F244</f>
        <v>1178350</v>
      </c>
      <c r="F317" s="230"/>
    </row>
    <row r="318" spans="1:6" x14ac:dyDescent="0.25">
      <c r="B318" s="243"/>
      <c r="F318" s="230"/>
    </row>
    <row r="319" spans="1:6" x14ac:dyDescent="0.25">
      <c r="B319" s="231" t="s">
        <v>567</v>
      </c>
      <c r="E319" s="304">
        <f>F289</f>
        <v>1009270</v>
      </c>
      <c r="F319" s="230"/>
    </row>
    <row r="320" spans="1:6" x14ac:dyDescent="0.25">
      <c r="B320" s="244"/>
      <c r="F320" s="230"/>
    </row>
    <row r="321" spans="1:6" x14ac:dyDescent="0.25">
      <c r="B321" s="231" t="s">
        <v>568</v>
      </c>
      <c r="E321" s="304">
        <f>F314</f>
        <v>104400</v>
      </c>
      <c r="F321" s="230"/>
    </row>
    <row r="322" spans="1:6" x14ac:dyDescent="0.25">
      <c r="B322" s="231"/>
      <c r="F322" s="230"/>
    </row>
    <row r="323" spans="1:6" x14ac:dyDescent="0.25">
      <c r="B323" s="231"/>
      <c r="F323" s="230"/>
    </row>
    <row r="324" spans="1:6" x14ac:dyDescent="0.25">
      <c r="B324" s="231"/>
      <c r="F324" s="230"/>
    </row>
    <row r="325" spans="1:6" x14ac:dyDescent="0.25">
      <c r="B325" s="231"/>
      <c r="F325" s="230"/>
    </row>
    <row r="326" spans="1:6" x14ac:dyDescent="0.25">
      <c r="B326" s="231"/>
      <c r="F326" s="230"/>
    </row>
    <row r="327" spans="1:6" x14ac:dyDescent="0.25">
      <c r="B327" s="231"/>
      <c r="F327" s="230"/>
    </row>
    <row r="328" spans="1:6" x14ac:dyDescent="0.25">
      <c r="B328" s="231"/>
      <c r="F328" s="230"/>
    </row>
    <row r="329" spans="1:6" x14ac:dyDescent="0.25">
      <c r="B329" s="231"/>
      <c r="F329" s="230"/>
    </row>
    <row r="330" spans="1:6" x14ac:dyDescent="0.25">
      <c r="B330" s="231"/>
      <c r="F330" s="230"/>
    </row>
    <row r="331" spans="1:6" x14ac:dyDescent="0.25">
      <c r="B331" s="231"/>
      <c r="F331" s="230"/>
    </row>
    <row r="332" spans="1:6" x14ac:dyDescent="0.25">
      <c r="B332" s="231"/>
      <c r="F332" s="230"/>
    </row>
    <row r="333" spans="1:6" x14ac:dyDescent="0.25">
      <c r="B333" s="210" t="s">
        <v>125</v>
      </c>
      <c r="F333" s="230"/>
    </row>
    <row r="334" spans="1:6" x14ac:dyDescent="0.25">
      <c r="B334" s="220" t="s">
        <v>534</v>
      </c>
      <c r="E334" s="303" t="s">
        <v>15</v>
      </c>
      <c r="F334" s="286">
        <f>SUM(E316:E323)</f>
        <v>2292020</v>
      </c>
    </row>
    <row r="335" spans="1:6" x14ac:dyDescent="0.25">
      <c r="A335" s="209" t="s">
        <v>795</v>
      </c>
      <c r="B335" s="209"/>
      <c r="C335" s="221" t="s">
        <v>773</v>
      </c>
      <c r="D335" s="209" t="s">
        <v>765</v>
      </c>
      <c r="E335" s="303" t="s">
        <v>908</v>
      </c>
      <c r="F335" s="273" t="s">
        <v>768</v>
      </c>
    </row>
    <row r="336" spans="1:6" x14ac:dyDescent="0.25">
      <c r="B336" s="210"/>
      <c r="F336" s="230"/>
    </row>
    <row r="337" spans="1:6" x14ac:dyDescent="0.25">
      <c r="B337" s="204" t="s">
        <v>569</v>
      </c>
      <c r="F337" s="230"/>
    </row>
    <row r="338" spans="1:6" x14ac:dyDescent="0.25">
      <c r="F338" s="230"/>
    </row>
    <row r="339" spans="1:6" x14ac:dyDescent="0.25">
      <c r="B339" s="210" t="s">
        <v>163</v>
      </c>
      <c r="F339" s="230"/>
    </row>
    <row r="340" spans="1:6" x14ac:dyDescent="0.25">
      <c r="F340" s="230"/>
    </row>
    <row r="341" spans="1:6" x14ac:dyDescent="0.25">
      <c r="B341" s="211" t="s">
        <v>98</v>
      </c>
      <c r="F341" s="230"/>
    </row>
    <row r="342" spans="1:6" x14ac:dyDescent="0.25">
      <c r="F342" s="230"/>
    </row>
    <row r="343" spans="1:6" x14ac:dyDescent="0.25">
      <c r="B343" s="219" t="s">
        <v>536</v>
      </c>
      <c r="F343" s="230"/>
    </row>
    <row r="344" spans="1:6" x14ac:dyDescent="0.25">
      <c r="B344" s="219"/>
      <c r="F344" s="230"/>
    </row>
    <row r="345" spans="1:6" x14ac:dyDescent="0.25">
      <c r="B345" s="219" t="s">
        <v>666</v>
      </c>
      <c r="F345" s="230"/>
    </row>
    <row r="346" spans="1:6" x14ac:dyDescent="0.25">
      <c r="F346" s="230"/>
    </row>
    <row r="347" spans="1:6" x14ac:dyDescent="0.25">
      <c r="A347" s="206" t="s">
        <v>2</v>
      </c>
      <c r="B347" s="214" t="s">
        <v>537</v>
      </c>
      <c r="C347" s="205">
        <v>15</v>
      </c>
      <c r="D347" s="206" t="s">
        <v>513</v>
      </c>
      <c r="E347" s="304">
        <f>E120</f>
        <v>85000</v>
      </c>
      <c r="F347" s="230">
        <f>C347*E347</f>
        <v>1275000</v>
      </c>
    </row>
    <row r="348" spans="1:6" x14ac:dyDescent="0.25">
      <c r="F348" s="230"/>
    </row>
    <row r="349" spans="1:6" x14ac:dyDescent="0.25">
      <c r="A349" s="206" t="s">
        <v>4</v>
      </c>
      <c r="B349" s="214" t="s">
        <v>992</v>
      </c>
      <c r="C349" s="205">
        <f>6+2</f>
        <v>8</v>
      </c>
      <c r="D349" s="206" t="s">
        <v>513</v>
      </c>
      <c r="E349" s="304">
        <f>E122</f>
        <v>85000</v>
      </c>
      <c r="F349" s="230">
        <f>C349*E349</f>
        <v>680000</v>
      </c>
    </row>
    <row r="350" spans="1:6" x14ac:dyDescent="0.25">
      <c r="F350" s="230"/>
    </row>
    <row r="351" spans="1:6" x14ac:dyDescent="0.25">
      <c r="A351" s="237"/>
      <c r="B351" s="211" t="s">
        <v>102</v>
      </c>
      <c r="F351" s="230"/>
    </row>
    <row r="352" spans="1:6" x14ac:dyDescent="0.25">
      <c r="B352" s="219"/>
      <c r="F352" s="230"/>
    </row>
    <row r="353" spans="1:6" ht="30" x14ac:dyDescent="0.25">
      <c r="B353" s="224" t="s">
        <v>570</v>
      </c>
      <c r="F353" s="230"/>
    </row>
    <row r="354" spans="1:6" x14ac:dyDescent="0.25">
      <c r="B354" s="218"/>
      <c r="C354" s="239"/>
      <c r="D354" s="240"/>
      <c r="E354" s="305"/>
      <c r="F354" s="245"/>
    </row>
    <row r="355" spans="1:6" x14ac:dyDescent="0.25">
      <c r="A355" s="206" t="s">
        <v>5</v>
      </c>
      <c r="B355" s="214" t="s">
        <v>919</v>
      </c>
      <c r="D355" s="206" t="s">
        <v>75</v>
      </c>
      <c r="E355" s="304">
        <f>E359</f>
        <v>1250</v>
      </c>
      <c r="F355" s="287">
        <f>C355*E355</f>
        <v>0</v>
      </c>
    </row>
    <row r="356" spans="1:6" x14ac:dyDescent="0.25">
      <c r="B356" s="218"/>
      <c r="C356" s="239"/>
      <c r="D356" s="240"/>
      <c r="E356" s="305"/>
      <c r="F356" s="245"/>
    </row>
    <row r="357" spans="1:6" x14ac:dyDescent="0.25">
      <c r="A357" s="206" t="s">
        <v>6</v>
      </c>
      <c r="B357" s="214" t="s">
        <v>920</v>
      </c>
      <c r="D357" s="206" t="s">
        <v>75</v>
      </c>
      <c r="E357" s="304">
        <f>E355</f>
        <v>1250</v>
      </c>
      <c r="F357" s="287">
        <f>C357*E357</f>
        <v>0</v>
      </c>
    </row>
    <row r="358" spans="1:6" x14ac:dyDescent="0.25">
      <c r="B358" s="218"/>
      <c r="C358" s="239"/>
      <c r="D358" s="240"/>
      <c r="E358" s="305"/>
      <c r="F358" s="245"/>
    </row>
    <row r="359" spans="1:6" x14ac:dyDescent="0.25">
      <c r="A359" s="206" t="s">
        <v>7</v>
      </c>
      <c r="B359" s="214" t="s">
        <v>805</v>
      </c>
      <c r="C359" s="205">
        <v>2105</v>
      </c>
      <c r="D359" s="206" t="s">
        <v>75</v>
      </c>
      <c r="E359" s="304">
        <f>E216</f>
        <v>1250</v>
      </c>
      <c r="F359" s="287">
        <f>C359*E359</f>
        <v>2631250</v>
      </c>
    </row>
    <row r="360" spans="1:6" x14ac:dyDescent="0.25">
      <c r="A360" s="238"/>
      <c r="F360" s="287"/>
    </row>
    <row r="361" spans="1:6" x14ac:dyDescent="0.25">
      <c r="A361" s="206" t="s">
        <v>8</v>
      </c>
      <c r="B361" s="214" t="s">
        <v>571</v>
      </c>
      <c r="D361" s="206" t="s">
        <v>75</v>
      </c>
      <c r="E361" s="304">
        <f>E359</f>
        <v>1250</v>
      </c>
      <c r="F361" s="287">
        <f>C361*E361</f>
        <v>0</v>
      </c>
    </row>
    <row r="362" spans="1:6" x14ac:dyDescent="0.25">
      <c r="F362" s="287"/>
    </row>
    <row r="363" spans="1:6" x14ac:dyDescent="0.25">
      <c r="A363" s="206" t="s">
        <v>9</v>
      </c>
      <c r="B363" s="214" t="s">
        <v>803</v>
      </c>
      <c r="C363" s="205">
        <f>513+250</f>
        <v>763</v>
      </c>
      <c r="D363" s="206" t="s">
        <v>75</v>
      </c>
      <c r="E363" s="304">
        <f>E361</f>
        <v>1250</v>
      </c>
      <c r="F363" s="287">
        <f>C363*E363</f>
        <v>953750</v>
      </c>
    </row>
    <row r="364" spans="1:6" x14ac:dyDescent="0.25">
      <c r="B364" s="211" t="s">
        <v>67</v>
      </c>
      <c r="F364" s="230"/>
    </row>
    <row r="365" spans="1:6" x14ac:dyDescent="0.25">
      <c r="F365" s="230"/>
    </row>
    <row r="366" spans="1:6" x14ac:dyDescent="0.25">
      <c r="B366" s="219" t="s">
        <v>120</v>
      </c>
      <c r="F366" s="230"/>
    </row>
    <row r="367" spans="1:6" x14ac:dyDescent="0.25">
      <c r="F367" s="230"/>
    </row>
    <row r="368" spans="1:6" x14ac:dyDescent="0.25">
      <c r="A368" s="206" t="s">
        <v>10</v>
      </c>
      <c r="B368" s="214" t="s">
        <v>991</v>
      </c>
      <c r="C368" s="205">
        <v>118</v>
      </c>
      <c r="D368" s="206" t="s">
        <v>511</v>
      </c>
      <c r="E368" s="304">
        <f>E178</f>
        <v>6500</v>
      </c>
      <c r="F368" s="230">
        <f>C368*E368</f>
        <v>767000</v>
      </c>
    </row>
    <row r="369" spans="1:6" x14ac:dyDescent="0.25">
      <c r="F369" s="230"/>
    </row>
    <row r="370" spans="1:6" x14ac:dyDescent="0.25">
      <c r="A370" s="206" t="s">
        <v>11</v>
      </c>
      <c r="B370" s="214" t="s">
        <v>993</v>
      </c>
      <c r="C370" s="205">
        <f>29+22</f>
        <v>51</v>
      </c>
      <c r="D370" s="206" t="s">
        <v>511</v>
      </c>
      <c r="E370" s="304">
        <f>E180</f>
        <v>975</v>
      </c>
      <c r="F370" s="230">
        <f>C370*E370</f>
        <v>49725</v>
      </c>
    </row>
    <row r="371" spans="1:6" x14ac:dyDescent="0.25">
      <c r="F371" s="230"/>
    </row>
    <row r="372" spans="1:6" x14ac:dyDescent="0.25">
      <c r="F372" s="230"/>
    </row>
    <row r="373" spans="1:6" x14ac:dyDescent="0.25">
      <c r="F373" s="230"/>
    </row>
    <row r="374" spans="1:6" x14ac:dyDescent="0.25">
      <c r="F374" s="230"/>
    </row>
    <row r="375" spans="1:6" x14ac:dyDescent="0.25">
      <c r="F375" s="230"/>
    </row>
    <row r="376" spans="1:6" x14ac:dyDescent="0.25">
      <c r="F376" s="230"/>
    </row>
    <row r="377" spans="1:6" x14ac:dyDescent="0.25">
      <c r="F377" s="230"/>
    </row>
    <row r="378" spans="1:6" x14ac:dyDescent="0.25">
      <c r="F378" s="230"/>
    </row>
    <row r="379" spans="1:6" x14ac:dyDescent="0.25">
      <c r="F379" s="230"/>
    </row>
    <row r="380" spans="1:6" x14ac:dyDescent="0.25">
      <c r="B380" s="220" t="s">
        <v>520</v>
      </c>
      <c r="C380" s="221"/>
      <c r="D380" s="209"/>
      <c r="E380" s="303" t="s">
        <v>15</v>
      </c>
      <c r="F380" s="235">
        <f>SUM(F340:F372)</f>
        <v>6356725</v>
      </c>
    </row>
    <row r="381" spans="1:6" x14ac:dyDescent="0.25">
      <c r="A381" s="209" t="s">
        <v>795</v>
      </c>
      <c r="B381" s="209"/>
      <c r="C381" s="221" t="s">
        <v>773</v>
      </c>
      <c r="D381" s="209" t="s">
        <v>765</v>
      </c>
      <c r="E381" s="303" t="s">
        <v>908</v>
      </c>
      <c r="F381" s="273" t="s">
        <v>768</v>
      </c>
    </row>
    <row r="382" spans="1:6" x14ac:dyDescent="0.25">
      <c r="B382" s="210" t="s">
        <v>573</v>
      </c>
      <c r="F382" s="230"/>
    </row>
    <row r="383" spans="1:6" ht="8.4499999999999993" customHeight="1" x14ac:dyDescent="0.25">
      <c r="F383" s="230"/>
    </row>
    <row r="384" spans="1:6" ht="33" x14ac:dyDescent="0.25">
      <c r="B384" s="242" t="s">
        <v>903</v>
      </c>
    </row>
    <row r="385" spans="1:7" x14ac:dyDescent="0.25">
      <c r="B385" s="233"/>
      <c r="G385" s="223"/>
    </row>
    <row r="386" spans="1:7" x14ac:dyDescent="0.25">
      <c r="A386" s="206" t="s">
        <v>2</v>
      </c>
      <c r="B386" s="246" t="s">
        <v>575</v>
      </c>
      <c r="C386" s="205">
        <v>340</v>
      </c>
      <c r="D386" s="206" t="s">
        <v>511</v>
      </c>
      <c r="E386" s="304">
        <v>10100</v>
      </c>
      <c r="F386" s="289">
        <f>E386*C386</f>
        <v>3434000</v>
      </c>
      <c r="G386" s="223"/>
    </row>
    <row r="387" spans="1:7" ht="10.9" customHeight="1" x14ac:dyDescent="0.25">
      <c r="B387" s="246"/>
      <c r="F387" s="289"/>
    </row>
    <row r="388" spans="1:7" x14ac:dyDescent="0.25">
      <c r="F388" s="289"/>
    </row>
    <row r="389" spans="1:7" x14ac:dyDescent="0.25">
      <c r="B389" s="211" t="s">
        <v>577</v>
      </c>
    </row>
    <row r="390" spans="1:7" ht="12.6" customHeight="1" x14ac:dyDescent="0.25"/>
    <row r="391" spans="1:7" ht="14.25" customHeight="1" x14ac:dyDescent="0.25">
      <c r="B391" s="224" t="s">
        <v>187</v>
      </c>
    </row>
    <row r="393" spans="1:7" s="202" customFormat="1" ht="17.100000000000001" customHeight="1" x14ac:dyDescent="0.25">
      <c r="A393" s="197" t="s">
        <v>4</v>
      </c>
      <c r="B393" s="214" t="s">
        <v>578</v>
      </c>
      <c r="C393" s="247"/>
      <c r="D393" s="197" t="s">
        <v>579</v>
      </c>
      <c r="E393" s="307"/>
      <c r="F393" s="248"/>
    </row>
    <row r="395" spans="1:7" x14ac:dyDescent="0.25">
      <c r="A395" s="206" t="s">
        <v>5</v>
      </c>
      <c r="B395" s="214" t="s">
        <v>678</v>
      </c>
      <c r="C395" s="205">
        <v>65</v>
      </c>
      <c r="D395" s="206" t="s">
        <v>22</v>
      </c>
      <c r="E395" s="304">
        <v>800</v>
      </c>
      <c r="F395" s="289">
        <f>C395*E395</f>
        <v>52000</v>
      </c>
    </row>
    <row r="397" spans="1:7" x14ac:dyDescent="0.25">
      <c r="A397" s="206" t="s">
        <v>6</v>
      </c>
      <c r="B397" s="214" t="s">
        <v>580</v>
      </c>
      <c r="C397" s="205">
        <v>316</v>
      </c>
      <c r="D397" s="206" t="s">
        <v>22</v>
      </c>
      <c r="E397" s="304">
        <v>800</v>
      </c>
      <c r="F397" s="289">
        <f>C397*E397</f>
        <v>252800</v>
      </c>
    </row>
    <row r="398" spans="1:7" ht="12.75" customHeight="1" x14ac:dyDescent="0.25">
      <c r="F398" s="289"/>
    </row>
    <row r="399" spans="1:7" x14ac:dyDescent="0.25">
      <c r="A399" s="206" t="s">
        <v>7</v>
      </c>
      <c r="B399" s="214" t="s">
        <v>188</v>
      </c>
      <c r="C399" s="205">
        <v>296</v>
      </c>
      <c r="D399" s="206" t="s">
        <v>22</v>
      </c>
      <c r="E399" s="304">
        <f>E397</f>
        <v>800</v>
      </c>
      <c r="F399" s="289">
        <f>C399*E399</f>
        <v>236800</v>
      </c>
    </row>
    <row r="400" spans="1:7" ht="12.75" customHeight="1" x14ac:dyDescent="0.25"/>
    <row r="401" spans="1:6" x14ac:dyDescent="0.25">
      <c r="A401" s="206" t="s">
        <v>8</v>
      </c>
      <c r="B401" s="214" t="s">
        <v>581</v>
      </c>
      <c r="C401" s="205">
        <v>395</v>
      </c>
      <c r="D401" s="206" t="s">
        <v>22</v>
      </c>
      <c r="E401" s="304">
        <f>E399</f>
        <v>800</v>
      </c>
      <c r="F401" s="289">
        <f>C401*E401</f>
        <v>316000</v>
      </c>
    </row>
    <row r="402" spans="1:6" ht="12.75" customHeight="1" x14ac:dyDescent="0.25">
      <c r="F402" s="289"/>
    </row>
    <row r="403" spans="1:6" x14ac:dyDescent="0.25">
      <c r="A403" s="206" t="s">
        <v>9</v>
      </c>
      <c r="B403" s="214" t="s">
        <v>191</v>
      </c>
      <c r="C403" s="205">
        <v>450</v>
      </c>
      <c r="D403" s="206" t="s">
        <v>22</v>
      </c>
      <c r="E403" s="304">
        <v>550</v>
      </c>
      <c r="F403" s="289">
        <f>C403*E403</f>
        <v>247500</v>
      </c>
    </row>
    <row r="404" spans="1:6" ht="12.6" customHeight="1" x14ac:dyDescent="0.25">
      <c r="F404" s="289"/>
    </row>
    <row r="405" spans="1:6" x14ac:dyDescent="0.25">
      <c r="B405" s="211" t="s">
        <v>84</v>
      </c>
      <c r="C405" s="221"/>
      <c r="D405" s="209"/>
      <c r="E405" s="303"/>
      <c r="F405" s="286"/>
    </row>
    <row r="406" spans="1:6" x14ac:dyDescent="0.25">
      <c r="B406" s="226"/>
      <c r="C406" s="221"/>
      <c r="D406" s="209"/>
      <c r="E406" s="303"/>
      <c r="F406" s="286"/>
    </row>
    <row r="407" spans="1:6" ht="32.25" customHeight="1" x14ac:dyDescent="0.25">
      <c r="B407" s="224" t="s">
        <v>582</v>
      </c>
      <c r="C407" s="221"/>
      <c r="D407" s="209"/>
      <c r="E407" s="303"/>
      <c r="F407" s="286"/>
    </row>
    <row r="408" spans="1:6" x14ac:dyDescent="0.25">
      <c r="B408" s="224"/>
      <c r="C408" s="221"/>
      <c r="D408" s="209"/>
      <c r="E408" s="303"/>
      <c r="F408" s="286"/>
    </row>
    <row r="409" spans="1:6" x14ac:dyDescent="0.25">
      <c r="A409" s="206" t="s">
        <v>10</v>
      </c>
      <c r="B409" s="218" t="s">
        <v>680</v>
      </c>
      <c r="C409" s="205">
        <v>64</v>
      </c>
      <c r="D409" s="206" t="s">
        <v>511</v>
      </c>
      <c r="E409" s="304">
        <v>10300</v>
      </c>
      <c r="F409" s="207">
        <f>C409*E409</f>
        <v>659200</v>
      </c>
    </row>
    <row r="411" spans="1:6" x14ac:dyDescent="0.25">
      <c r="B411" s="211" t="s">
        <v>147</v>
      </c>
      <c r="F411" s="230"/>
    </row>
    <row r="412" spans="1:6" ht="12.95" customHeight="1" x14ac:dyDescent="0.25">
      <c r="F412" s="230"/>
    </row>
    <row r="413" spans="1:6" ht="30" x14ac:dyDescent="0.25">
      <c r="B413" s="224" t="s">
        <v>583</v>
      </c>
      <c r="F413" s="230"/>
    </row>
    <row r="414" spans="1:6" ht="16.5" customHeight="1" x14ac:dyDescent="0.25">
      <c r="B414" s="224"/>
      <c r="F414" s="230"/>
    </row>
    <row r="415" spans="1:6" ht="19.5" customHeight="1" x14ac:dyDescent="0.25">
      <c r="A415" s="206" t="s">
        <v>11</v>
      </c>
      <c r="B415" s="233" t="s">
        <v>24</v>
      </c>
      <c r="C415" s="205">
        <f>C409*2</f>
        <v>128</v>
      </c>
      <c r="D415" s="206" t="s">
        <v>511</v>
      </c>
      <c r="E415" s="304">
        <f>E276</f>
        <v>3500</v>
      </c>
      <c r="F415" s="207">
        <f>C415*E415</f>
        <v>448000</v>
      </c>
    </row>
    <row r="416" spans="1:6" x14ac:dyDescent="0.25">
      <c r="B416" s="233"/>
    </row>
    <row r="417" spans="1:6" x14ac:dyDescent="0.25">
      <c r="A417" s="206" t="s">
        <v>12</v>
      </c>
      <c r="B417" s="214" t="s">
        <v>967</v>
      </c>
      <c r="C417" s="205">
        <f>C370</f>
        <v>51</v>
      </c>
      <c r="D417" s="206" t="s">
        <v>511</v>
      </c>
      <c r="E417" s="304">
        <f>E415</f>
        <v>3500</v>
      </c>
      <c r="F417" s="207">
        <f>C417*E417</f>
        <v>178500</v>
      </c>
    </row>
    <row r="418" spans="1:6" ht="14.25" customHeight="1" x14ac:dyDescent="0.25"/>
    <row r="419" spans="1:6" x14ac:dyDescent="0.25">
      <c r="B419" s="211" t="s">
        <v>585</v>
      </c>
    </row>
    <row r="421" spans="1:6" x14ac:dyDescent="0.25">
      <c r="B421" s="219" t="s">
        <v>560</v>
      </c>
      <c r="F421" s="230"/>
    </row>
    <row r="422" spans="1:6" x14ac:dyDescent="0.25">
      <c r="B422" s="219"/>
      <c r="F422" s="230"/>
    </row>
    <row r="423" spans="1:6" x14ac:dyDescent="0.25">
      <c r="A423" s="206" t="s">
        <v>13</v>
      </c>
      <c r="B423" s="233" t="s">
        <v>586</v>
      </c>
      <c r="C423" s="205">
        <v>18</v>
      </c>
      <c r="D423" s="206" t="s">
        <v>511</v>
      </c>
      <c r="E423" s="304">
        <v>3200</v>
      </c>
      <c r="F423" s="207">
        <f>C423*E423</f>
        <v>57600</v>
      </c>
    </row>
    <row r="424" spans="1:6" x14ac:dyDescent="0.25">
      <c r="B424" s="233"/>
    </row>
    <row r="425" spans="1:6" x14ac:dyDescent="0.25">
      <c r="B425" s="220" t="s">
        <v>520</v>
      </c>
      <c r="C425" s="221"/>
      <c r="D425" s="209"/>
      <c r="E425" s="303" t="s">
        <v>15</v>
      </c>
      <c r="F425" s="222">
        <f>SUM(F384:F424)</f>
        <v>5882400</v>
      </c>
    </row>
    <row r="426" spans="1:6" x14ac:dyDescent="0.25">
      <c r="A426" s="209" t="s">
        <v>795</v>
      </c>
      <c r="B426" s="209"/>
      <c r="C426" s="221" t="s">
        <v>773</v>
      </c>
      <c r="D426" s="209" t="s">
        <v>765</v>
      </c>
      <c r="E426" s="303" t="s">
        <v>908</v>
      </c>
      <c r="F426" s="273" t="s">
        <v>768</v>
      </c>
    </row>
    <row r="427" spans="1:6" x14ac:dyDescent="0.25">
      <c r="B427" s="210" t="s">
        <v>573</v>
      </c>
    </row>
    <row r="428" spans="1:6" x14ac:dyDescent="0.25">
      <c r="B428" s="233"/>
    </row>
    <row r="429" spans="1:6" x14ac:dyDescent="0.25">
      <c r="B429" s="210" t="s">
        <v>587</v>
      </c>
    </row>
    <row r="430" spans="1:6" x14ac:dyDescent="0.25">
      <c r="B430" s="219"/>
    </row>
    <row r="431" spans="1:6" x14ac:dyDescent="0.25">
      <c r="B431" s="252" t="s">
        <v>588</v>
      </c>
    </row>
    <row r="432" spans="1:6" x14ac:dyDescent="0.25">
      <c r="B432" s="244"/>
    </row>
    <row r="433" spans="1:6" x14ac:dyDescent="0.25">
      <c r="A433" s="206" t="s">
        <v>2</v>
      </c>
      <c r="B433" s="253" t="s">
        <v>589</v>
      </c>
      <c r="C433" s="205">
        <v>18</v>
      </c>
      <c r="D433" s="206" t="s">
        <v>511</v>
      </c>
      <c r="E433" s="304">
        <v>7100</v>
      </c>
      <c r="F433" s="207">
        <f>C433*E433</f>
        <v>127800</v>
      </c>
    </row>
    <row r="434" spans="1:6" ht="14.25" customHeight="1" x14ac:dyDescent="0.25">
      <c r="B434" s="254"/>
    </row>
    <row r="435" spans="1:6" x14ac:dyDescent="0.25">
      <c r="A435" s="206" t="s">
        <v>4</v>
      </c>
      <c r="B435" s="233" t="s">
        <v>590</v>
      </c>
      <c r="C435" s="205">
        <v>0</v>
      </c>
      <c r="D435" s="206" t="s">
        <v>511</v>
      </c>
      <c r="E435" s="304">
        <f>E433</f>
        <v>7100</v>
      </c>
      <c r="F435" s="207">
        <f>C435*E435</f>
        <v>0</v>
      </c>
    </row>
    <row r="436" spans="1:6" ht="12" customHeight="1" x14ac:dyDescent="0.25">
      <c r="B436" s="233"/>
    </row>
    <row r="437" spans="1:6" x14ac:dyDescent="0.25">
      <c r="A437" s="206" t="s">
        <v>5</v>
      </c>
      <c r="B437" s="233" t="s">
        <v>591</v>
      </c>
      <c r="D437" s="206" t="s">
        <v>3</v>
      </c>
      <c r="E437" s="304">
        <v>24000</v>
      </c>
      <c r="F437" s="207">
        <f>C437*E437</f>
        <v>0</v>
      </c>
    </row>
    <row r="438" spans="1:6" x14ac:dyDescent="0.25">
      <c r="B438" s="233"/>
    </row>
    <row r="439" spans="1:6" s="269" customFormat="1" x14ac:dyDescent="0.25">
      <c r="A439" s="265"/>
      <c r="B439" s="266" t="s">
        <v>615</v>
      </c>
      <c r="C439" s="267"/>
      <c r="D439" s="265"/>
      <c r="E439" s="304"/>
      <c r="F439" s="268"/>
    </row>
    <row r="440" spans="1:6" s="269" customFormat="1" ht="30" x14ac:dyDescent="0.25">
      <c r="A440" s="265"/>
      <c r="B440" s="270" t="s">
        <v>616</v>
      </c>
      <c r="C440" s="267"/>
      <c r="D440" s="265"/>
      <c r="E440" s="304"/>
      <c r="F440" s="268"/>
    </row>
    <row r="441" spans="1:6" s="269" customFormat="1" x14ac:dyDescent="0.25">
      <c r="A441" s="265" t="s">
        <v>6</v>
      </c>
      <c r="B441" s="233" t="s">
        <v>24</v>
      </c>
      <c r="C441" s="262">
        <f>C409</f>
        <v>64</v>
      </c>
      <c r="D441" s="265" t="s">
        <v>35</v>
      </c>
      <c r="E441" s="304">
        <v>1400</v>
      </c>
      <c r="F441" s="268">
        <f>E441*C441</f>
        <v>89600</v>
      </c>
    </row>
    <row r="442" spans="1:6" s="269" customFormat="1" x14ac:dyDescent="0.25">
      <c r="A442" s="265"/>
      <c r="B442" s="233"/>
      <c r="C442" s="262"/>
      <c r="D442" s="265"/>
      <c r="E442" s="304"/>
      <c r="F442" s="268"/>
    </row>
    <row r="443" spans="1:6" s="269" customFormat="1" ht="24" customHeight="1" x14ac:dyDescent="0.25">
      <c r="A443" s="265" t="s">
        <v>7</v>
      </c>
      <c r="B443" s="214" t="s">
        <v>584</v>
      </c>
      <c r="C443" s="262">
        <v>37</v>
      </c>
      <c r="D443" s="265" t="s">
        <v>22</v>
      </c>
      <c r="E443" s="304">
        <v>590</v>
      </c>
      <c r="F443" s="268">
        <f>E443*C443</f>
        <v>21830</v>
      </c>
    </row>
    <row r="444" spans="1:6" x14ac:dyDescent="0.25">
      <c r="B444" s="211" t="s">
        <v>592</v>
      </c>
    </row>
    <row r="446" spans="1:6" ht="30" x14ac:dyDescent="0.25">
      <c r="B446" s="224" t="s">
        <v>681</v>
      </c>
    </row>
    <row r="448" spans="1:6" x14ac:dyDescent="0.25">
      <c r="A448" s="206" t="s">
        <v>8</v>
      </c>
      <c r="B448" s="233" t="s">
        <v>24</v>
      </c>
      <c r="C448" s="205">
        <f>C415</f>
        <v>128</v>
      </c>
      <c r="D448" s="206" t="s">
        <v>35</v>
      </c>
      <c r="E448" s="304">
        <v>2200</v>
      </c>
      <c r="F448" s="289">
        <f>C448*E448</f>
        <v>281600</v>
      </c>
    </row>
    <row r="449" spans="1:6" x14ac:dyDescent="0.25">
      <c r="B449" s="233"/>
      <c r="F449" s="289"/>
    </row>
    <row r="450" spans="1:6" x14ac:dyDescent="0.25">
      <c r="A450" s="206" t="s">
        <v>9</v>
      </c>
      <c r="B450" s="214" t="s">
        <v>584</v>
      </c>
      <c r="C450" s="205">
        <v>22</v>
      </c>
      <c r="D450" s="206" t="s">
        <v>35</v>
      </c>
      <c r="E450" s="304">
        <f>E448</f>
        <v>2200</v>
      </c>
      <c r="F450" s="289">
        <f>C450*E450</f>
        <v>48400</v>
      </c>
    </row>
    <row r="451" spans="1:6" x14ac:dyDescent="0.25">
      <c r="F451" s="289"/>
    </row>
    <row r="452" spans="1:6" x14ac:dyDescent="0.25">
      <c r="B452" s="220" t="s">
        <v>520</v>
      </c>
      <c r="C452" s="221"/>
      <c r="D452" s="209"/>
      <c r="E452" s="303" t="s">
        <v>15</v>
      </c>
      <c r="F452" s="286">
        <f>SUM(F429:F451)</f>
        <v>569230</v>
      </c>
    </row>
    <row r="453" spans="1:6" x14ac:dyDescent="0.25">
      <c r="B453" s="220"/>
      <c r="C453" s="221"/>
      <c r="D453" s="209"/>
      <c r="E453" s="303"/>
      <c r="F453" s="286"/>
    </row>
    <row r="454" spans="1:6" x14ac:dyDescent="0.25">
      <c r="B454" s="220"/>
      <c r="C454" s="221"/>
      <c r="D454" s="209"/>
      <c r="E454" s="303"/>
      <c r="F454" s="286"/>
    </row>
    <row r="455" spans="1:6" x14ac:dyDescent="0.25">
      <c r="B455" s="210" t="s">
        <v>531</v>
      </c>
      <c r="F455" s="230"/>
    </row>
    <row r="456" spans="1:6" x14ac:dyDescent="0.25">
      <c r="B456" s="219"/>
      <c r="F456" s="230"/>
    </row>
    <row r="457" spans="1:6" x14ac:dyDescent="0.25">
      <c r="B457" s="231" t="s">
        <v>457</v>
      </c>
      <c r="E457" s="304">
        <f>F380</f>
        <v>6356725</v>
      </c>
      <c r="F457" s="230"/>
    </row>
    <row r="458" spans="1:6" x14ac:dyDescent="0.25">
      <c r="B458" s="231"/>
      <c r="F458" s="230"/>
    </row>
    <row r="459" spans="1:6" x14ac:dyDescent="0.25">
      <c r="B459" s="231" t="s">
        <v>458</v>
      </c>
      <c r="E459" s="304">
        <f>F425</f>
        <v>5882400</v>
      </c>
      <c r="F459" s="230"/>
    </row>
    <row r="460" spans="1:6" x14ac:dyDescent="0.25">
      <c r="B460" s="231"/>
    </row>
    <row r="461" spans="1:6" x14ac:dyDescent="0.25">
      <c r="B461" s="231" t="s">
        <v>459</v>
      </c>
      <c r="E461" s="304">
        <f>F452</f>
        <v>569230</v>
      </c>
    </row>
    <row r="462" spans="1:6" x14ac:dyDescent="0.25">
      <c r="B462" s="233"/>
    </row>
    <row r="463" spans="1:6" x14ac:dyDescent="0.25">
      <c r="B463" s="233"/>
    </row>
    <row r="464" spans="1:6" x14ac:dyDescent="0.25">
      <c r="B464" s="233"/>
    </row>
    <row r="465" spans="1:6" x14ac:dyDescent="0.25">
      <c r="B465" s="233"/>
    </row>
    <row r="466" spans="1:6" x14ac:dyDescent="0.25">
      <c r="B466" s="233"/>
    </row>
    <row r="467" spans="1:6" x14ac:dyDescent="0.25">
      <c r="B467" s="233"/>
    </row>
    <row r="468" spans="1:6" x14ac:dyDescent="0.25">
      <c r="B468" s="210" t="s">
        <v>163</v>
      </c>
      <c r="F468" s="230"/>
    </row>
    <row r="469" spans="1:6" x14ac:dyDescent="0.25">
      <c r="B469" s="220" t="s">
        <v>534</v>
      </c>
      <c r="C469" s="221"/>
      <c r="D469" s="209"/>
      <c r="E469" s="303" t="s">
        <v>15</v>
      </c>
      <c r="F469" s="286">
        <f>SUM(E455:E462)</f>
        <v>12808355</v>
      </c>
    </row>
    <row r="470" spans="1:6" x14ac:dyDescent="0.25">
      <c r="A470" s="209" t="s">
        <v>795</v>
      </c>
      <c r="B470" s="209"/>
      <c r="C470" s="221" t="s">
        <v>773</v>
      </c>
      <c r="D470" s="209" t="s">
        <v>765</v>
      </c>
      <c r="E470" s="303" t="s">
        <v>908</v>
      </c>
      <c r="F470" s="273" t="s">
        <v>768</v>
      </c>
    </row>
    <row r="471" spans="1:6" x14ac:dyDescent="0.25">
      <c r="B471" s="204" t="s">
        <v>593</v>
      </c>
      <c r="F471" s="230"/>
    </row>
    <row r="472" spans="1:6" x14ac:dyDescent="0.25">
      <c r="F472" s="230"/>
    </row>
    <row r="473" spans="1:6" x14ac:dyDescent="0.25">
      <c r="B473" s="210" t="s">
        <v>195</v>
      </c>
      <c r="F473" s="230"/>
    </row>
    <row r="474" spans="1:6" x14ac:dyDescent="0.25">
      <c r="B474" s="210"/>
      <c r="F474" s="230"/>
    </row>
    <row r="475" spans="1:6" x14ac:dyDescent="0.25">
      <c r="B475" s="211" t="s">
        <v>84</v>
      </c>
      <c r="C475" s="221"/>
      <c r="D475" s="209"/>
      <c r="E475" s="303"/>
      <c r="F475" s="286"/>
    </row>
    <row r="476" spans="1:6" x14ac:dyDescent="0.25">
      <c r="B476" s="226"/>
      <c r="C476" s="221"/>
      <c r="D476" s="209"/>
      <c r="E476" s="303"/>
      <c r="F476" s="286"/>
    </row>
    <row r="477" spans="1:6" ht="30" x14ac:dyDescent="0.25">
      <c r="B477" s="224" t="s">
        <v>594</v>
      </c>
      <c r="C477" s="221"/>
      <c r="D477" s="209"/>
      <c r="E477" s="303"/>
      <c r="F477" s="286"/>
    </row>
    <row r="478" spans="1:6" x14ac:dyDescent="0.25">
      <c r="B478" s="224"/>
      <c r="C478" s="221"/>
      <c r="D478" s="209"/>
      <c r="E478" s="303"/>
      <c r="F478" s="286"/>
    </row>
    <row r="479" spans="1:6" x14ac:dyDescent="0.25">
      <c r="A479" s="206" t="s">
        <v>2</v>
      </c>
      <c r="B479" s="214" t="s">
        <v>595</v>
      </c>
      <c r="C479" s="205">
        <v>1075</v>
      </c>
      <c r="D479" s="206" t="s">
        <v>511</v>
      </c>
      <c r="E479" s="304">
        <f>E409</f>
        <v>10300</v>
      </c>
      <c r="F479" s="289">
        <f>C479*E479</f>
        <v>11072500</v>
      </c>
    </row>
    <row r="480" spans="1:6" x14ac:dyDescent="0.25">
      <c r="B480" s="210"/>
      <c r="F480" s="291"/>
    </row>
    <row r="481" spans="1:6" x14ac:dyDescent="0.25">
      <c r="A481" s="206" t="s">
        <v>4</v>
      </c>
      <c r="B481" s="214" t="s">
        <v>596</v>
      </c>
      <c r="C481" s="205">
        <v>30</v>
      </c>
      <c r="D481" s="206" t="s">
        <v>511</v>
      </c>
      <c r="E481" s="304">
        <v>9500</v>
      </c>
      <c r="F481" s="289">
        <f>C481*E481</f>
        <v>285000</v>
      </c>
    </row>
    <row r="482" spans="1:6" x14ac:dyDescent="0.25">
      <c r="C482" s="256"/>
      <c r="F482" s="257"/>
    </row>
    <row r="483" spans="1:6" ht="29.25" customHeight="1" x14ac:dyDescent="0.25">
      <c r="B483" s="228" t="s">
        <v>915</v>
      </c>
      <c r="C483" s="214"/>
      <c r="D483" s="386"/>
      <c r="E483" s="231"/>
    </row>
    <row r="484" spans="1:6" ht="29.25" customHeight="1" x14ac:dyDescent="0.25">
      <c r="A484" s="206" t="s">
        <v>5</v>
      </c>
      <c r="B484" s="215" t="s">
        <v>916</v>
      </c>
      <c r="C484" s="387">
        <v>72</v>
      </c>
      <c r="D484" s="206" t="s">
        <v>511</v>
      </c>
      <c r="E484" s="564">
        <v>9500</v>
      </c>
      <c r="F484" s="207">
        <f>C484*E484</f>
        <v>684000</v>
      </c>
    </row>
    <row r="485" spans="1:6" x14ac:dyDescent="0.25">
      <c r="B485" s="211" t="s">
        <v>98</v>
      </c>
      <c r="F485" s="230"/>
    </row>
    <row r="486" spans="1:6" x14ac:dyDescent="0.25">
      <c r="F486" s="230"/>
    </row>
    <row r="487" spans="1:6" ht="17.25" customHeight="1" x14ac:dyDescent="0.25">
      <c r="B487" s="219" t="s">
        <v>666</v>
      </c>
      <c r="F487" s="230"/>
    </row>
    <row r="488" spans="1:6" ht="14.25" customHeight="1" x14ac:dyDescent="0.25">
      <c r="B488" s="219"/>
      <c r="F488" s="230"/>
    </row>
    <row r="489" spans="1:6" x14ac:dyDescent="0.25">
      <c r="A489" s="206" t="s">
        <v>6</v>
      </c>
      <c r="B489" s="214" t="s">
        <v>597</v>
      </c>
      <c r="C489" s="205">
        <v>3</v>
      </c>
      <c r="D489" s="206" t="s">
        <v>513</v>
      </c>
      <c r="E489" s="304">
        <f>E120</f>
        <v>85000</v>
      </c>
      <c r="F489" s="230">
        <f>C489*E489</f>
        <v>255000</v>
      </c>
    </row>
    <row r="490" spans="1:6" x14ac:dyDescent="0.25">
      <c r="C490" s="205" t="s">
        <v>20</v>
      </c>
      <c r="F490" s="230"/>
    </row>
    <row r="491" spans="1:6" x14ac:dyDescent="0.25">
      <c r="B491" s="211" t="s">
        <v>102</v>
      </c>
      <c r="F491" s="230"/>
    </row>
    <row r="492" spans="1:6" ht="14.25" customHeight="1" x14ac:dyDescent="0.25">
      <c r="B492" s="219"/>
      <c r="F492" s="230"/>
    </row>
    <row r="493" spans="1:6" x14ac:dyDescent="0.25">
      <c r="B493" s="219" t="s">
        <v>598</v>
      </c>
      <c r="F493" s="230"/>
    </row>
    <row r="494" spans="1:6" ht="12.75" customHeight="1" x14ac:dyDescent="0.25">
      <c r="F494" s="230"/>
    </row>
    <row r="495" spans="1:6" x14ac:dyDescent="0.25">
      <c r="A495" s="206" t="s">
        <v>7</v>
      </c>
      <c r="B495" s="214" t="s">
        <v>571</v>
      </c>
      <c r="C495" s="205">
        <v>173</v>
      </c>
      <c r="D495" s="206" t="s">
        <v>75</v>
      </c>
      <c r="E495" s="304">
        <f>E359</f>
        <v>1250</v>
      </c>
      <c r="F495" s="230">
        <f>C495*E495</f>
        <v>216250</v>
      </c>
    </row>
    <row r="496" spans="1:6" x14ac:dyDescent="0.25">
      <c r="F496" s="230"/>
    </row>
    <row r="497" spans="1:6" x14ac:dyDescent="0.25">
      <c r="A497" s="206" t="s">
        <v>8</v>
      </c>
      <c r="B497" s="214" t="s">
        <v>599</v>
      </c>
      <c r="C497" s="205">
        <v>119</v>
      </c>
      <c r="D497" s="206" t="s">
        <v>75</v>
      </c>
      <c r="E497" s="304">
        <f>E495</f>
        <v>1250</v>
      </c>
      <c r="F497" s="230">
        <f>C497*E497</f>
        <v>148750</v>
      </c>
    </row>
    <row r="498" spans="1:6" ht="14.25" customHeight="1" x14ac:dyDescent="0.25">
      <c r="F498" s="230"/>
    </row>
    <row r="499" spans="1:6" x14ac:dyDescent="0.25">
      <c r="B499" s="211" t="s">
        <v>67</v>
      </c>
      <c r="F499" s="230"/>
    </row>
    <row r="500" spans="1:6" ht="15" customHeight="1" x14ac:dyDescent="0.25">
      <c r="F500" s="230"/>
    </row>
    <row r="501" spans="1:6" x14ac:dyDescent="0.25">
      <c r="B501" s="219" t="s">
        <v>120</v>
      </c>
      <c r="F501" s="230"/>
    </row>
    <row r="502" spans="1:6" ht="9.75" customHeight="1" x14ac:dyDescent="0.25">
      <c r="F502" s="230"/>
    </row>
    <row r="503" spans="1:6" x14ac:dyDescent="0.25">
      <c r="A503" s="206" t="s">
        <v>9</v>
      </c>
      <c r="B503" s="214" t="s">
        <v>600</v>
      </c>
      <c r="C503" s="205">
        <v>31</v>
      </c>
      <c r="D503" s="206" t="s">
        <v>511</v>
      </c>
      <c r="E503" s="304">
        <f>E368</f>
        <v>6500</v>
      </c>
      <c r="F503" s="230">
        <f>C503*E503</f>
        <v>201500</v>
      </c>
    </row>
    <row r="504" spans="1:6" x14ac:dyDescent="0.25">
      <c r="B504" s="219"/>
      <c r="F504" s="227"/>
    </row>
    <row r="505" spans="1:6" x14ac:dyDescent="0.25">
      <c r="F505" s="261"/>
    </row>
    <row r="506" spans="1:6" x14ac:dyDescent="0.25">
      <c r="F506" s="227"/>
    </row>
    <row r="507" spans="1:6" x14ac:dyDescent="0.25">
      <c r="B507" s="219"/>
      <c r="F507" s="230"/>
    </row>
    <row r="508" spans="1:6" x14ac:dyDescent="0.25">
      <c r="B508" s="219"/>
      <c r="F508" s="230"/>
    </row>
    <row r="509" spans="1:6" x14ac:dyDescent="0.25">
      <c r="B509" s="224"/>
      <c r="F509" s="230"/>
    </row>
    <row r="510" spans="1:6" x14ac:dyDescent="0.25">
      <c r="F510" s="257"/>
    </row>
    <row r="511" spans="1:6" x14ac:dyDescent="0.25">
      <c r="F511" s="257"/>
    </row>
    <row r="512" spans="1:6" x14ac:dyDescent="0.25">
      <c r="B512" s="210" t="s">
        <v>195</v>
      </c>
      <c r="C512" s="221"/>
      <c r="D512" s="209"/>
      <c r="E512" s="303"/>
      <c r="F512" s="235"/>
    </row>
    <row r="513" spans="1:13" ht="18.75" customHeight="1" x14ac:dyDescent="0.25">
      <c r="B513" s="220" t="s">
        <v>534</v>
      </c>
      <c r="C513" s="221"/>
      <c r="D513" s="209"/>
      <c r="E513" s="303" t="s">
        <v>15</v>
      </c>
      <c r="F513" s="235">
        <f>SUM(F477:F512)</f>
        <v>12863000</v>
      </c>
    </row>
    <row r="514" spans="1:13" x14ac:dyDescent="0.25">
      <c r="A514" s="209" t="s">
        <v>795</v>
      </c>
      <c r="B514" s="209"/>
      <c r="C514" s="221" t="s">
        <v>773</v>
      </c>
      <c r="D514" s="209" t="s">
        <v>765</v>
      </c>
      <c r="E514" s="303" t="s">
        <v>908</v>
      </c>
      <c r="F514" s="273" t="s">
        <v>768</v>
      </c>
    </row>
    <row r="515" spans="1:13" x14ac:dyDescent="0.25">
      <c r="B515" s="210" t="s">
        <v>601</v>
      </c>
      <c r="F515" s="230"/>
    </row>
    <row r="516" spans="1:13" ht="8.25" customHeight="1" x14ac:dyDescent="0.25">
      <c r="B516" s="220"/>
      <c r="F516" s="230"/>
    </row>
    <row r="517" spans="1:13" x14ac:dyDescent="0.25">
      <c r="B517" s="210" t="s">
        <v>602</v>
      </c>
      <c r="F517" s="230"/>
    </row>
    <row r="518" spans="1:13" ht="10.5" customHeight="1" x14ac:dyDescent="0.25">
      <c r="F518" s="230"/>
    </row>
    <row r="519" spans="1:13" x14ac:dyDescent="0.25">
      <c r="B519" s="211" t="s">
        <v>203</v>
      </c>
      <c r="C519" s="221"/>
      <c r="D519" s="209"/>
      <c r="E519" s="303"/>
      <c r="F519" s="286"/>
    </row>
    <row r="520" spans="1:13" ht="9" customHeight="1" x14ac:dyDescent="0.25">
      <c r="B520" s="220"/>
      <c r="C520" s="221"/>
      <c r="D520" s="209"/>
      <c r="E520" s="303"/>
      <c r="F520" s="286"/>
    </row>
    <row r="521" spans="1:13" x14ac:dyDescent="0.25">
      <c r="B521" s="214" t="s">
        <v>603</v>
      </c>
      <c r="F521" s="230"/>
    </row>
    <row r="522" spans="1:13" ht="60" x14ac:dyDescent="0.25">
      <c r="B522" s="218" t="s">
        <v>1010</v>
      </c>
      <c r="G522" s="206"/>
      <c r="I522" s="214"/>
      <c r="J522" s="214"/>
      <c r="K522" s="214"/>
      <c r="L522" s="214"/>
      <c r="M522" s="214"/>
    </row>
    <row r="523" spans="1:13" x14ac:dyDescent="0.25">
      <c r="A523" s="206" t="s">
        <v>2</v>
      </c>
      <c r="B523" s="214" t="s">
        <v>994</v>
      </c>
      <c r="C523" s="205">
        <v>2</v>
      </c>
      <c r="D523" s="206" t="s">
        <v>3</v>
      </c>
      <c r="E523" s="304">
        <f>1.2*0.9*65000</f>
        <v>70200</v>
      </c>
      <c r="F523" s="230">
        <f>E523*C523</f>
        <v>140400</v>
      </c>
      <c r="G523" s="214"/>
      <c r="H523" s="258"/>
      <c r="I523" s="259"/>
      <c r="J523" s="259"/>
      <c r="K523" s="214"/>
    </row>
    <row r="524" spans="1:13" x14ac:dyDescent="0.25">
      <c r="F524" s="230"/>
      <c r="G524" s="214"/>
      <c r="H524" s="258"/>
      <c r="I524" s="259"/>
      <c r="J524" s="259"/>
      <c r="K524" s="214"/>
    </row>
    <row r="525" spans="1:13" ht="14.25" customHeight="1" x14ac:dyDescent="0.25">
      <c r="A525" s="206" t="s">
        <v>4</v>
      </c>
      <c r="B525" s="214" t="s">
        <v>887</v>
      </c>
      <c r="C525" s="205">
        <v>1</v>
      </c>
      <c r="D525" s="206" t="s">
        <v>3</v>
      </c>
      <c r="E525" s="304">
        <f>1.2*1.5*65000</f>
        <v>116999.99999999999</v>
      </c>
      <c r="F525" s="230">
        <f>E525*C525</f>
        <v>116999.99999999999</v>
      </c>
      <c r="G525" s="214"/>
      <c r="H525" s="258"/>
      <c r="I525" s="259"/>
      <c r="J525" s="259"/>
      <c r="K525" s="214"/>
    </row>
    <row r="526" spans="1:13" ht="14.25" customHeight="1" x14ac:dyDescent="0.25">
      <c r="F526" s="230"/>
      <c r="G526" s="214"/>
      <c r="H526" s="214"/>
      <c r="I526" s="259"/>
      <c r="J526" s="259"/>
      <c r="K526" s="214"/>
    </row>
    <row r="527" spans="1:13" ht="14.25" customHeight="1" x14ac:dyDescent="0.25">
      <c r="A527" s="206" t="s">
        <v>5</v>
      </c>
      <c r="B527" s="214" t="s">
        <v>995</v>
      </c>
      <c r="C527" s="205">
        <v>2</v>
      </c>
      <c r="D527" s="206" t="s">
        <v>3</v>
      </c>
      <c r="E527" s="304">
        <f>1.9*0.9*65000</f>
        <v>111150</v>
      </c>
      <c r="F527" s="230">
        <f>E527*C527</f>
        <v>222300</v>
      </c>
      <c r="G527" s="214"/>
      <c r="H527" s="258"/>
      <c r="I527" s="259"/>
      <c r="J527" s="259"/>
      <c r="K527" s="214"/>
    </row>
    <row r="528" spans="1:13" ht="14.25" customHeight="1" x14ac:dyDescent="0.25">
      <c r="F528" s="230"/>
      <c r="G528" s="214"/>
      <c r="H528" s="214"/>
      <c r="I528" s="259"/>
      <c r="J528" s="259"/>
      <c r="K528" s="214"/>
    </row>
    <row r="529" spans="1:11" ht="22.5" customHeight="1" x14ac:dyDescent="0.25">
      <c r="A529" s="206" t="s">
        <v>6</v>
      </c>
      <c r="B529" s="214" t="s">
        <v>996</v>
      </c>
      <c r="C529" s="205">
        <v>6</v>
      </c>
      <c r="D529" s="206" t="s">
        <v>3</v>
      </c>
      <c r="E529" s="304">
        <f>1.2*0.6*65000</f>
        <v>46800</v>
      </c>
      <c r="F529" s="207">
        <f>E529*C529</f>
        <v>280800</v>
      </c>
    </row>
    <row r="530" spans="1:11" ht="14.25" customHeight="1" x14ac:dyDescent="0.25">
      <c r="F530" s="230"/>
      <c r="G530" s="214"/>
      <c r="H530" s="214"/>
      <c r="I530" s="259"/>
      <c r="J530" s="259"/>
      <c r="K530" s="214"/>
    </row>
    <row r="531" spans="1:11" ht="22.5" customHeight="1" x14ac:dyDescent="0.25">
      <c r="A531" s="206" t="s">
        <v>7</v>
      </c>
      <c r="B531" s="214" t="s">
        <v>997</v>
      </c>
      <c r="C531" s="205">
        <v>6</v>
      </c>
      <c r="D531" s="206" t="s">
        <v>3</v>
      </c>
      <c r="E531" s="304">
        <f>0.75*0.6*65000</f>
        <v>29249.999999999996</v>
      </c>
      <c r="F531" s="207">
        <f>E531*C531</f>
        <v>175499.99999999997</v>
      </c>
    </row>
    <row r="532" spans="1:11" ht="14.25" customHeight="1" x14ac:dyDescent="0.25">
      <c r="F532" s="230"/>
      <c r="G532" s="214"/>
      <c r="H532" s="214"/>
      <c r="I532" s="259"/>
      <c r="J532" s="259"/>
      <c r="K532" s="214"/>
    </row>
    <row r="533" spans="1:11" ht="22.5" customHeight="1" x14ac:dyDescent="0.25">
      <c r="A533" s="206" t="s">
        <v>8</v>
      </c>
      <c r="B533" s="214" t="s">
        <v>998</v>
      </c>
      <c r="C533" s="205">
        <v>1</v>
      </c>
      <c r="D533" s="206" t="s">
        <v>3</v>
      </c>
      <c r="E533" s="304">
        <f>1.2*6.6*65000</f>
        <v>514799.99999999994</v>
      </c>
      <c r="F533" s="207">
        <f>E533*C533</f>
        <v>514799.99999999994</v>
      </c>
    </row>
    <row r="534" spans="1:11" ht="11.45" customHeight="1" x14ac:dyDescent="0.25">
      <c r="F534" s="230"/>
      <c r="H534" s="223"/>
    </row>
    <row r="535" spans="1:11" ht="22.5" customHeight="1" x14ac:dyDescent="0.25">
      <c r="A535" s="206" t="s">
        <v>9</v>
      </c>
      <c r="B535" s="214" t="s">
        <v>999</v>
      </c>
      <c r="C535" s="205">
        <v>2</v>
      </c>
      <c r="D535" s="206" t="s">
        <v>3</v>
      </c>
      <c r="E535" s="304">
        <f>2.8*1.65*65000</f>
        <v>300299.99999999994</v>
      </c>
      <c r="F535" s="207">
        <f>E535*C535</f>
        <v>600599.99999999988</v>
      </c>
    </row>
    <row r="536" spans="1:11" ht="11.45" customHeight="1" x14ac:dyDescent="0.25">
      <c r="F536" s="230"/>
      <c r="H536" s="223"/>
    </row>
    <row r="537" spans="1:11" ht="22.5" customHeight="1" x14ac:dyDescent="0.25">
      <c r="A537" s="206" t="s">
        <v>10</v>
      </c>
      <c r="B537" s="214" t="s">
        <v>1000</v>
      </c>
      <c r="C537" s="205">
        <v>2</v>
      </c>
      <c r="D537" s="206" t="s">
        <v>3</v>
      </c>
      <c r="E537" s="304">
        <f>2.57*1.65*65000</f>
        <v>275632.5</v>
      </c>
      <c r="F537" s="207">
        <f>E537*C537</f>
        <v>551265</v>
      </c>
    </row>
    <row r="538" spans="1:11" ht="11.45" customHeight="1" x14ac:dyDescent="0.25">
      <c r="F538" s="230"/>
      <c r="H538" s="223"/>
    </row>
    <row r="539" spans="1:11" ht="22.5" customHeight="1" x14ac:dyDescent="0.25">
      <c r="A539" s="206" t="s">
        <v>11</v>
      </c>
      <c r="B539" s="214" t="s">
        <v>1001</v>
      </c>
      <c r="C539" s="205">
        <v>2</v>
      </c>
      <c r="D539" s="206" t="s">
        <v>3</v>
      </c>
      <c r="E539" s="304">
        <f>1.77*1.65*65000</f>
        <v>189832.49999999997</v>
      </c>
      <c r="F539" s="207">
        <f>E539*C539</f>
        <v>379664.99999999994</v>
      </c>
    </row>
    <row r="540" spans="1:11" ht="11.45" customHeight="1" x14ac:dyDescent="0.25">
      <c r="F540" s="230"/>
      <c r="H540" s="223"/>
    </row>
    <row r="541" spans="1:11" ht="22.5" customHeight="1" x14ac:dyDescent="0.25">
      <c r="A541" s="206" t="s">
        <v>12</v>
      </c>
      <c r="B541" s="214" t="s">
        <v>1002</v>
      </c>
      <c r="C541" s="205">
        <v>4</v>
      </c>
      <c r="D541" s="206" t="s">
        <v>3</v>
      </c>
      <c r="E541" s="304">
        <f>2.13*1.65*65000</f>
        <v>228442.49999999997</v>
      </c>
      <c r="F541" s="207">
        <f>E541*C541</f>
        <v>913769.99999999988</v>
      </c>
    </row>
    <row r="542" spans="1:11" ht="11.45" customHeight="1" x14ac:dyDescent="0.25">
      <c r="F542" s="230"/>
      <c r="H542" s="223"/>
    </row>
    <row r="543" spans="1:11" x14ac:dyDescent="0.25">
      <c r="A543" s="206" t="s">
        <v>13</v>
      </c>
      <c r="B543" s="214" t="s">
        <v>1003</v>
      </c>
      <c r="C543" s="205">
        <v>2</v>
      </c>
      <c r="D543" s="206" t="s">
        <v>3</v>
      </c>
      <c r="E543" s="304">
        <f>1.8*1.65*65000</f>
        <v>193049.99999999997</v>
      </c>
      <c r="F543" s="207">
        <f>E543*C543</f>
        <v>386099.99999999994</v>
      </c>
    </row>
    <row r="544" spans="1:11" ht="16.5" customHeight="1" x14ac:dyDescent="0.25">
      <c r="F544" s="230"/>
      <c r="H544" s="223"/>
    </row>
    <row r="545" spans="1:13" x14ac:dyDescent="0.25">
      <c r="A545" s="206" t="s">
        <v>14</v>
      </c>
      <c r="B545" s="214" t="s">
        <v>1011</v>
      </c>
      <c r="C545" s="205">
        <v>10</v>
      </c>
      <c r="D545" s="206" t="s">
        <v>3</v>
      </c>
      <c r="E545" s="304">
        <f>1.5*1.2*65000</f>
        <v>116999.99999999999</v>
      </c>
      <c r="F545" s="207">
        <f>E545*C545</f>
        <v>1169999.9999999998</v>
      </c>
    </row>
    <row r="546" spans="1:13" x14ac:dyDescent="0.25">
      <c r="B546" s="234" t="s">
        <v>682</v>
      </c>
      <c r="G546" s="206"/>
      <c r="I546" s="214"/>
      <c r="J546" s="214"/>
      <c r="K546" s="214"/>
      <c r="L546" s="214"/>
      <c r="M546" s="214"/>
    </row>
    <row r="547" spans="1:13" ht="19.149999999999999" customHeight="1" x14ac:dyDescent="0.25">
      <c r="A547" s="206" t="s">
        <v>15</v>
      </c>
      <c r="B547" s="214" t="s">
        <v>994</v>
      </c>
      <c r="C547" s="205">
        <f>C523</f>
        <v>2</v>
      </c>
      <c r="D547" s="206" t="s">
        <v>3</v>
      </c>
      <c r="E547" s="304">
        <f>1.2*0.9*6500</f>
        <v>7020.0000000000009</v>
      </c>
      <c r="F547" s="230">
        <f>E547*C547</f>
        <v>14040.000000000002</v>
      </c>
      <c r="G547" s="214"/>
      <c r="H547" s="258"/>
      <c r="I547" s="259"/>
      <c r="J547" s="259"/>
      <c r="K547" s="214"/>
    </row>
    <row r="548" spans="1:13" ht="14.25" customHeight="1" x14ac:dyDescent="0.25">
      <c r="F548" s="230"/>
      <c r="G548" s="214"/>
      <c r="H548" s="258"/>
      <c r="I548" s="259"/>
      <c r="J548" s="259"/>
      <c r="K548" s="214"/>
    </row>
    <row r="549" spans="1:13" ht="14.25" customHeight="1" x14ac:dyDescent="0.25">
      <c r="A549" s="206" t="s">
        <v>16</v>
      </c>
      <c r="B549" s="214" t="s">
        <v>887</v>
      </c>
      <c r="C549" s="205">
        <f>C525</f>
        <v>1</v>
      </c>
      <c r="D549" s="206" t="s">
        <v>3</v>
      </c>
      <c r="E549" s="304">
        <f>1.2*1.5*6500</f>
        <v>11699.999999999998</v>
      </c>
      <c r="F549" s="230">
        <f>E549*C549</f>
        <v>11699.999999999998</v>
      </c>
      <c r="G549" s="214"/>
      <c r="H549" s="258"/>
      <c r="I549" s="259"/>
      <c r="J549" s="259"/>
      <c r="K549" s="214"/>
    </row>
    <row r="550" spans="1:13" ht="14.25" customHeight="1" x14ac:dyDescent="0.25">
      <c r="F550" s="230"/>
      <c r="G550" s="214"/>
      <c r="H550" s="258"/>
      <c r="I550" s="259"/>
      <c r="J550" s="259"/>
      <c r="K550" s="214"/>
    </row>
    <row r="551" spans="1:13" ht="14.25" customHeight="1" x14ac:dyDescent="0.25">
      <c r="A551" s="206" t="s">
        <v>17</v>
      </c>
      <c r="B551" s="214" t="s">
        <v>995</v>
      </c>
      <c r="C551" s="205">
        <f>C527</f>
        <v>2</v>
      </c>
      <c r="D551" s="206" t="s">
        <v>3</v>
      </c>
      <c r="E551" s="304">
        <f>1.9*0.9*6500</f>
        <v>11115</v>
      </c>
      <c r="F551" s="230">
        <f>E551*C551</f>
        <v>22230</v>
      </c>
      <c r="G551" s="214"/>
      <c r="H551" s="258"/>
      <c r="I551" s="259"/>
      <c r="J551" s="259"/>
      <c r="K551" s="214"/>
    </row>
    <row r="552" spans="1:13" ht="10.9" customHeight="1" x14ac:dyDescent="0.25">
      <c r="F552" s="230"/>
      <c r="G552" s="214"/>
      <c r="H552" s="258"/>
      <c r="I552" s="259"/>
      <c r="J552" s="259"/>
      <c r="K552" s="214"/>
    </row>
    <row r="553" spans="1:13" ht="22.5" customHeight="1" x14ac:dyDescent="0.25">
      <c r="A553" s="206" t="s">
        <v>26</v>
      </c>
      <c r="B553" s="214" t="s">
        <v>996</v>
      </c>
      <c r="C553" s="205">
        <f>C529</f>
        <v>6</v>
      </c>
      <c r="D553" s="206" t="s">
        <v>3</v>
      </c>
      <c r="E553" s="304">
        <f>1.2*0.6*6500</f>
        <v>4680</v>
      </c>
      <c r="F553" s="207">
        <f>E553*C553</f>
        <v>28080</v>
      </c>
    </row>
    <row r="554" spans="1:13" x14ac:dyDescent="0.25">
      <c r="F554" s="230"/>
      <c r="H554" s="223"/>
    </row>
    <row r="555" spans="1:13" ht="22.5" customHeight="1" x14ac:dyDescent="0.25">
      <c r="A555" s="206" t="s">
        <v>27</v>
      </c>
      <c r="B555" s="214" t="s">
        <v>997</v>
      </c>
      <c r="C555" s="205">
        <f>C531</f>
        <v>6</v>
      </c>
      <c r="D555" s="206" t="s">
        <v>3</v>
      </c>
      <c r="E555" s="304">
        <f>0.75*0.6*6500</f>
        <v>2924.9999999999995</v>
      </c>
      <c r="F555" s="207">
        <f>E555*C555</f>
        <v>17549.999999999996</v>
      </c>
    </row>
    <row r="556" spans="1:13" x14ac:dyDescent="0.25">
      <c r="F556" s="230"/>
      <c r="H556" s="223"/>
    </row>
    <row r="557" spans="1:13" x14ac:dyDescent="0.25">
      <c r="A557" s="206" t="s">
        <v>28</v>
      </c>
      <c r="B557" s="214" t="s">
        <v>998</v>
      </c>
      <c r="C557" s="205">
        <f>C533</f>
        <v>1</v>
      </c>
      <c r="D557" s="206" t="s">
        <v>3</v>
      </c>
      <c r="E557" s="304">
        <f>1.2*6.6*6500</f>
        <v>51479.999999999993</v>
      </c>
      <c r="F557" s="207">
        <f>E557*C557</f>
        <v>51479.999999999993</v>
      </c>
    </row>
    <row r="559" spans="1:13" x14ac:dyDescent="0.25">
      <c r="A559" s="206" t="s">
        <v>29</v>
      </c>
      <c r="B559" s="214" t="s">
        <v>999</v>
      </c>
      <c r="C559" s="205">
        <f>C535</f>
        <v>2</v>
      </c>
      <c r="D559" s="206" t="s">
        <v>3</v>
      </c>
      <c r="E559" s="304">
        <f>2.8*1.65*6500</f>
        <v>30029.999999999996</v>
      </c>
      <c r="F559" s="207">
        <f>E559*C559</f>
        <v>60059.999999999993</v>
      </c>
    </row>
    <row r="561" spans="1:8" x14ac:dyDescent="0.25">
      <c r="A561" s="206" t="s">
        <v>30</v>
      </c>
      <c r="B561" s="214" t="s">
        <v>1000</v>
      </c>
      <c r="C561" s="205">
        <f>C537</f>
        <v>2</v>
      </c>
      <c r="D561" s="206" t="s">
        <v>3</v>
      </c>
      <c r="E561" s="304">
        <f>2.57*1.65*6500</f>
        <v>27563.25</v>
      </c>
      <c r="F561" s="207">
        <f>E561*C561</f>
        <v>55126.5</v>
      </c>
    </row>
    <row r="563" spans="1:8" x14ac:dyDescent="0.25">
      <c r="A563" s="206" t="s">
        <v>31</v>
      </c>
      <c r="B563" s="214" t="s">
        <v>1001</v>
      </c>
      <c r="C563" s="205">
        <f>C539</f>
        <v>2</v>
      </c>
      <c r="D563" s="206" t="s">
        <v>3</v>
      </c>
      <c r="E563" s="304">
        <f>1.77*1.65*6500</f>
        <v>18983.249999999996</v>
      </c>
      <c r="F563" s="207">
        <f>E563*C563</f>
        <v>37966.499999999993</v>
      </c>
    </row>
    <row r="565" spans="1:8" x14ac:dyDescent="0.25">
      <c r="A565" s="206" t="s">
        <v>32</v>
      </c>
      <c r="B565" s="214" t="s">
        <v>1002</v>
      </c>
      <c r="C565" s="205">
        <f>C541</f>
        <v>4</v>
      </c>
      <c r="D565" s="206" t="s">
        <v>3</v>
      </c>
      <c r="E565" s="304">
        <f>2.13*1.65*6500</f>
        <v>22844.249999999996</v>
      </c>
      <c r="F565" s="207">
        <f>E565*C565</f>
        <v>91376.999999999985</v>
      </c>
    </row>
    <row r="567" spans="1:8" x14ac:dyDescent="0.25">
      <c r="A567" s="206" t="s">
        <v>33</v>
      </c>
      <c r="B567" s="214" t="s">
        <v>1003</v>
      </c>
      <c r="C567" s="205">
        <f>C543</f>
        <v>2</v>
      </c>
      <c r="D567" s="206" t="s">
        <v>3</v>
      </c>
      <c r="E567" s="304">
        <f>1.8*1.65*6500</f>
        <v>19305</v>
      </c>
      <c r="F567" s="207">
        <f>E567*C567</f>
        <v>38610</v>
      </c>
    </row>
    <row r="569" spans="1:8" x14ac:dyDescent="0.25">
      <c r="A569" s="206" t="s">
        <v>734</v>
      </c>
      <c r="B569" s="214" t="s">
        <v>1011</v>
      </c>
      <c r="C569" s="205">
        <f>C545</f>
        <v>10</v>
      </c>
      <c r="D569" s="206" t="s">
        <v>3</v>
      </c>
      <c r="E569" s="304">
        <f>1.5*1.2*6500</f>
        <v>11699.999999999998</v>
      </c>
      <c r="F569" s="207">
        <f>E569*C569</f>
        <v>116999.99999999999</v>
      </c>
    </row>
    <row r="570" spans="1:8" ht="82.5" x14ac:dyDescent="0.25">
      <c r="B570" s="234" t="s">
        <v>1004</v>
      </c>
      <c r="F570" s="230"/>
      <c r="H570" s="223"/>
    </row>
    <row r="571" spans="1:8" x14ac:dyDescent="0.25">
      <c r="B571" s="224"/>
      <c r="F571" s="230"/>
      <c r="H571" s="223"/>
    </row>
    <row r="572" spans="1:8" x14ac:dyDescent="0.25">
      <c r="A572" s="206" t="s">
        <v>2</v>
      </c>
      <c r="B572" s="214" t="s">
        <v>1005</v>
      </c>
      <c r="C572" s="205">
        <v>2</v>
      </c>
      <c r="D572" s="206" t="s">
        <v>3</v>
      </c>
      <c r="E572" s="304">
        <f>1.5*2.1*95000</f>
        <v>299250.00000000006</v>
      </c>
      <c r="F572" s="207">
        <f>E572*C572</f>
        <v>598500.00000000012</v>
      </c>
    </row>
    <row r="573" spans="1:8" x14ac:dyDescent="0.25">
      <c r="B573" s="210" t="s">
        <v>1006</v>
      </c>
      <c r="E573" s="306"/>
    </row>
    <row r="574" spans="1:8" x14ac:dyDescent="0.25">
      <c r="A574" s="206" t="s">
        <v>4</v>
      </c>
      <c r="B574" s="214" t="s">
        <v>1008</v>
      </c>
      <c r="C574" s="205">
        <v>8</v>
      </c>
      <c r="D574" s="206" t="s">
        <v>3</v>
      </c>
      <c r="E574" s="304">
        <f>3*2.7*125000</f>
        <v>1012500.0000000002</v>
      </c>
      <c r="F574" s="207">
        <f>E574*C574</f>
        <v>8100000.0000000019</v>
      </c>
    </row>
    <row r="575" spans="1:8" x14ac:dyDescent="0.25">
      <c r="B575" s="210" t="s">
        <v>1007</v>
      </c>
      <c r="E575" s="306"/>
    </row>
    <row r="576" spans="1:8" x14ac:dyDescent="0.25">
      <c r="A576" s="206" t="s">
        <v>5</v>
      </c>
      <c r="B576" s="214" t="s">
        <v>1009</v>
      </c>
      <c r="C576" s="205">
        <v>3</v>
      </c>
      <c r="D576" s="206" t="s">
        <v>3</v>
      </c>
      <c r="E576" s="304">
        <f>3*3*105000</f>
        <v>945000</v>
      </c>
      <c r="F576" s="207">
        <f>E576*C576</f>
        <v>2835000</v>
      </c>
    </row>
    <row r="577" spans="1:6" x14ac:dyDescent="0.25">
      <c r="B577" s="210" t="s">
        <v>200</v>
      </c>
      <c r="F577" s="230"/>
    </row>
    <row r="578" spans="1:6" x14ac:dyDescent="0.25">
      <c r="B578" s="220" t="s">
        <v>534</v>
      </c>
      <c r="C578" s="221"/>
      <c r="D578" s="209"/>
      <c r="E578" s="303" t="s">
        <v>15</v>
      </c>
      <c r="F578" s="235">
        <f>SUM(F519:F577)</f>
        <v>17530920</v>
      </c>
    </row>
    <row r="579" spans="1:6" x14ac:dyDescent="0.25">
      <c r="A579" s="209" t="s">
        <v>795</v>
      </c>
      <c r="B579" s="209"/>
      <c r="C579" s="221" t="s">
        <v>773</v>
      </c>
      <c r="D579" s="209" t="s">
        <v>765</v>
      </c>
      <c r="E579" s="303" t="s">
        <v>908</v>
      </c>
      <c r="F579" s="273" t="s">
        <v>768</v>
      </c>
    </row>
    <row r="580" spans="1:6" x14ac:dyDescent="0.25">
      <c r="B580" s="204" t="s">
        <v>604</v>
      </c>
      <c r="F580" s="230"/>
    </row>
    <row r="581" spans="1:6" x14ac:dyDescent="0.25">
      <c r="F581" s="230"/>
    </row>
    <row r="582" spans="1:6" x14ac:dyDescent="0.25">
      <c r="B582" s="210" t="s">
        <v>210</v>
      </c>
      <c r="F582" s="230"/>
    </row>
    <row r="583" spans="1:6" ht="21" customHeight="1" x14ac:dyDescent="0.25">
      <c r="B583" s="210"/>
      <c r="F583" s="230"/>
    </row>
    <row r="584" spans="1:6" x14ac:dyDescent="0.25">
      <c r="B584" s="211" t="s">
        <v>84</v>
      </c>
      <c r="C584" s="221"/>
      <c r="D584" s="209"/>
      <c r="E584" s="303"/>
      <c r="F584" s="286"/>
    </row>
    <row r="585" spans="1:6" x14ac:dyDescent="0.25">
      <c r="B585" s="226"/>
      <c r="C585" s="221"/>
      <c r="D585" s="209"/>
      <c r="E585" s="303"/>
      <c r="F585" s="286"/>
    </row>
    <row r="586" spans="1:6" ht="30" x14ac:dyDescent="0.25">
      <c r="B586" s="224" t="s">
        <v>594</v>
      </c>
      <c r="C586" s="221"/>
      <c r="D586" s="209"/>
      <c r="E586" s="303"/>
      <c r="F586" s="286"/>
    </row>
    <row r="587" spans="1:6" x14ac:dyDescent="0.25">
      <c r="B587" s="224"/>
      <c r="C587" s="221"/>
      <c r="D587" s="209"/>
      <c r="E587" s="303"/>
      <c r="F587" s="286"/>
    </row>
    <row r="588" spans="1:6" x14ac:dyDescent="0.25">
      <c r="A588" s="206" t="s">
        <v>2</v>
      </c>
      <c r="B588" s="214" t="s">
        <v>595</v>
      </c>
      <c r="C588" s="205">
        <v>370</v>
      </c>
      <c r="D588" s="206" t="s">
        <v>511</v>
      </c>
      <c r="E588" s="304">
        <f>E479</f>
        <v>10300</v>
      </c>
      <c r="F588" s="289">
        <f>C588*E588</f>
        <v>3811000</v>
      </c>
    </row>
    <row r="589" spans="1:6" x14ac:dyDescent="0.25">
      <c r="B589" s="210"/>
      <c r="F589" s="291"/>
    </row>
    <row r="590" spans="1:6" x14ac:dyDescent="0.25">
      <c r="A590" s="206" t="s">
        <v>4</v>
      </c>
      <c r="B590" s="214" t="s">
        <v>596</v>
      </c>
      <c r="D590" s="206" t="s">
        <v>511</v>
      </c>
      <c r="E590" s="304">
        <f>E481</f>
        <v>9500</v>
      </c>
      <c r="F590" s="289">
        <f>C590*E590</f>
        <v>0</v>
      </c>
    </row>
    <row r="591" spans="1:6" x14ac:dyDescent="0.25">
      <c r="C591" s="256"/>
      <c r="F591" s="257"/>
    </row>
    <row r="592" spans="1:6" x14ac:dyDescent="0.25">
      <c r="B592" s="211" t="s">
        <v>98</v>
      </c>
      <c r="F592" s="230"/>
    </row>
    <row r="593" spans="1:6" x14ac:dyDescent="0.25">
      <c r="F593" s="230"/>
    </row>
    <row r="594" spans="1:6" x14ac:dyDescent="0.25">
      <c r="B594" s="219" t="s">
        <v>666</v>
      </c>
      <c r="F594" s="230"/>
    </row>
    <row r="595" spans="1:6" x14ac:dyDescent="0.25">
      <c r="F595" s="230"/>
    </row>
    <row r="596" spans="1:6" x14ac:dyDescent="0.25">
      <c r="A596" s="206" t="s">
        <v>5</v>
      </c>
      <c r="B596" s="214" t="s">
        <v>597</v>
      </c>
      <c r="C596" s="205">
        <v>1</v>
      </c>
      <c r="D596" s="206" t="s">
        <v>513</v>
      </c>
      <c r="E596" s="304">
        <f>E489</f>
        <v>85000</v>
      </c>
      <c r="F596" s="230">
        <f>C596*E596</f>
        <v>85000</v>
      </c>
    </row>
    <row r="597" spans="1:6" x14ac:dyDescent="0.25">
      <c r="F597" s="230"/>
    </row>
    <row r="598" spans="1:6" x14ac:dyDescent="0.25">
      <c r="B598" s="211" t="s">
        <v>102</v>
      </c>
      <c r="F598" s="230"/>
    </row>
    <row r="599" spans="1:6" x14ac:dyDescent="0.25">
      <c r="B599" s="219"/>
      <c r="F599" s="230"/>
    </row>
    <row r="600" spans="1:6" x14ac:dyDescent="0.25">
      <c r="B600" s="219" t="s">
        <v>598</v>
      </c>
      <c r="F600" s="230"/>
    </row>
    <row r="601" spans="1:6" x14ac:dyDescent="0.25">
      <c r="F601" s="230"/>
    </row>
    <row r="602" spans="1:6" x14ac:dyDescent="0.25">
      <c r="A602" s="206" t="s">
        <v>6</v>
      </c>
      <c r="B602" s="214" t="s">
        <v>571</v>
      </c>
      <c r="C602" s="205">
        <v>44</v>
      </c>
      <c r="D602" s="206" t="s">
        <v>75</v>
      </c>
      <c r="E602" s="304">
        <f>E495</f>
        <v>1250</v>
      </c>
      <c r="F602" s="230">
        <f>C602*E602</f>
        <v>55000</v>
      </c>
    </row>
    <row r="603" spans="1:6" x14ac:dyDescent="0.25">
      <c r="F603" s="230"/>
    </row>
    <row r="604" spans="1:6" x14ac:dyDescent="0.25">
      <c r="A604" s="206" t="s">
        <v>7</v>
      </c>
      <c r="B604" s="214" t="s">
        <v>599</v>
      </c>
      <c r="C604" s="205">
        <v>23</v>
      </c>
      <c r="D604" s="206" t="s">
        <v>75</v>
      </c>
      <c r="E604" s="304">
        <f>E602</f>
        <v>1250</v>
      </c>
      <c r="F604" s="230">
        <f>C604*E604</f>
        <v>28750</v>
      </c>
    </row>
    <row r="605" spans="1:6" x14ac:dyDescent="0.25">
      <c r="F605" s="230"/>
    </row>
    <row r="606" spans="1:6" x14ac:dyDescent="0.25">
      <c r="B606" s="211" t="s">
        <v>67</v>
      </c>
      <c r="F606" s="230"/>
    </row>
    <row r="607" spans="1:6" x14ac:dyDescent="0.25">
      <c r="F607" s="230"/>
    </row>
    <row r="608" spans="1:6" x14ac:dyDescent="0.25">
      <c r="B608" s="219" t="s">
        <v>120</v>
      </c>
      <c r="F608" s="230"/>
    </row>
    <row r="609" spans="1:6" x14ac:dyDescent="0.25">
      <c r="F609" s="230"/>
    </row>
    <row r="610" spans="1:6" x14ac:dyDescent="0.25">
      <c r="A610" s="206" t="s">
        <v>8</v>
      </c>
      <c r="B610" s="214" t="s">
        <v>600</v>
      </c>
      <c r="C610" s="205">
        <v>8</v>
      </c>
      <c r="D610" s="206" t="s">
        <v>511</v>
      </c>
      <c r="E610" s="304">
        <f>E503</f>
        <v>6500</v>
      </c>
      <c r="F610" s="230">
        <f>C610*E610</f>
        <v>52000</v>
      </c>
    </row>
    <row r="611" spans="1:6" x14ac:dyDescent="0.25">
      <c r="B611" s="219"/>
      <c r="F611" s="227"/>
    </row>
    <row r="612" spans="1:6" x14ac:dyDescent="0.25">
      <c r="F612" s="227"/>
    </row>
    <row r="613" spans="1:6" x14ac:dyDescent="0.25">
      <c r="F613" s="227"/>
    </row>
    <row r="614" spans="1:6" x14ac:dyDescent="0.25">
      <c r="F614" s="227"/>
    </row>
    <row r="615" spans="1:6" x14ac:dyDescent="0.25">
      <c r="B615" s="224"/>
      <c r="F615" s="257"/>
    </row>
    <row r="616" spans="1:6" x14ac:dyDescent="0.25">
      <c r="B616" s="224"/>
      <c r="F616" s="257"/>
    </row>
    <row r="617" spans="1:6" x14ac:dyDescent="0.25">
      <c r="B617" s="224"/>
      <c r="F617" s="257"/>
    </row>
    <row r="618" spans="1:6" x14ac:dyDescent="0.25">
      <c r="B618" s="210" t="s">
        <v>210</v>
      </c>
      <c r="C618" s="221"/>
      <c r="D618" s="209"/>
      <c r="E618" s="303"/>
      <c r="F618" s="235"/>
    </row>
    <row r="619" spans="1:6" x14ac:dyDescent="0.25">
      <c r="B619" s="220" t="s">
        <v>534</v>
      </c>
      <c r="C619" s="221"/>
      <c r="D619" s="209"/>
      <c r="E619" s="303" t="s">
        <v>15</v>
      </c>
      <c r="F619" s="235">
        <f>SUM(F584:F618)</f>
        <v>4031750</v>
      </c>
    </row>
    <row r="620" spans="1:6" x14ac:dyDescent="0.25">
      <c r="A620" s="209" t="s">
        <v>795</v>
      </c>
      <c r="B620" s="209"/>
      <c r="C620" s="221" t="s">
        <v>773</v>
      </c>
      <c r="D620" s="209" t="s">
        <v>765</v>
      </c>
      <c r="E620" s="303" t="s">
        <v>908</v>
      </c>
      <c r="F620" s="273" t="s">
        <v>768</v>
      </c>
    </row>
    <row r="621" spans="1:6" x14ac:dyDescent="0.25">
      <c r="B621" s="210" t="s">
        <v>605</v>
      </c>
      <c r="F621" s="230"/>
    </row>
    <row r="622" spans="1:6" x14ac:dyDescent="0.25">
      <c r="B622" s="220"/>
      <c r="F622" s="230"/>
    </row>
    <row r="623" spans="1:6" x14ac:dyDescent="0.25">
      <c r="B623" s="210" t="s">
        <v>213</v>
      </c>
      <c r="F623" s="230"/>
    </row>
    <row r="624" spans="1:6" x14ac:dyDescent="0.25">
      <c r="F624" s="230"/>
    </row>
    <row r="625" spans="1:6" x14ac:dyDescent="0.25">
      <c r="B625" s="210" t="s">
        <v>606</v>
      </c>
      <c r="F625" s="230"/>
    </row>
    <row r="626" spans="1:6" x14ac:dyDescent="0.25">
      <c r="F626" s="230"/>
    </row>
    <row r="627" spans="1:6" ht="63" customHeight="1" x14ac:dyDescent="0.25">
      <c r="B627" s="224" t="s">
        <v>1012</v>
      </c>
      <c r="F627" s="230"/>
    </row>
    <row r="628" spans="1:6" x14ac:dyDescent="0.25">
      <c r="F628" s="289"/>
    </row>
    <row r="629" spans="1:6" x14ac:dyDescent="0.25">
      <c r="A629" s="206" t="s">
        <v>2</v>
      </c>
      <c r="B629" s="214" t="s">
        <v>1014</v>
      </c>
      <c r="C629" s="205">
        <v>4</v>
      </c>
      <c r="D629" s="206" t="s">
        <v>3</v>
      </c>
      <c r="E629" s="304">
        <f>1.2*2.1*95000</f>
        <v>239400</v>
      </c>
      <c r="F629" s="207">
        <f>E629*C629</f>
        <v>957600</v>
      </c>
    </row>
    <row r="630" spans="1:6" x14ac:dyDescent="0.25">
      <c r="B630" s="219"/>
      <c r="E630" s="306"/>
      <c r="F630" s="230"/>
    </row>
    <row r="631" spans="1:6" x14ac:dyDescent="0.25">
      <c r="A631" s="206" t="s">
        <v>4</v>
      </c>
      <c r="B631" s="214" t="s">
        <v>1013</v>
      </c>
      <c r="C631" s="205">
        <v>6</v>
      </c>
      <c r="D631" s="206" t="s">
        <v>3</v>
      </c>
      <c r="E631" s="304">
        <f>0.9*2.7*95000</f>
        <v>230850.00000000003</v>
      </c>
      <c r="F631" s="207">
        <f>E631*C631</f>
        <v>1385100.0000000002</v>
      </c>
    </row>
    <row r="633" spans="1:6" x14ac:dyDescent="0.25">
      <c r="B633" s="219" t="s">
        <v>1015</v>
      </c>
      <c r="E633" s="306"/>
      <c r="F633" s="230"/>
    </row>
    <row r="634" spans="1:6" x14ac:dyDescent="0.25">
      <c r="A634" s="206" t="s">
        <v>5</v>
      </c>
      <c r="B634" s="214" t="s">
        <v>965</v>
      </c>
      <c r="C634" s="205">
        <v>10</v>
      </c>
      <c r="D634" s="206" t="s">
        <v>3</v>
      </c>
      <c r="E634" s="304">
        <f>0.75*2.1*95000</f>
        <v>149625.00000000003</v>
      </c>
      <c r="F634" s="207">
        <f>E634*C634</f>
        <v>1496250.0000000002</v>
      </c>
    </row>
    <row r="635" spans="1:6" x14ac:dyDescent="0.25">
      <c r="E635" s="306"/>
    </row>
    <row r="636" spans="1:6" x14ac:dyDescent="0.25">
      <c r="E636" s="306"/>
    </row>
    <row r="637" spans="1:6" x14ac:dyDescent="0.25">
      <c r="E637" s="306"/>
    </row>
    <row r="638" spans="1:6" x14ac:dyDescent="0.25">
      <c r="E638" s="306"/>
    </row>
    <row r="639" spans="1:6" x14ac:dyDescent="0.25">
      <c r="E639" s="306"/>
    </row>
    <row r="640" spans="1:6" x14ac:dyDescent="0.25">
      <c r="E640" s="306"/>
    </row>
    <row r="641" spans="1:19" x14ac:dyDescent="0.25">
      <c r="B641" s="219"/>
      <c r="F641" s="230"/>
    </row>
    <row r="642" spans="1:19" x14ac:dyDescent="0.25">
      <c r="B642" s="219"/>
      <c r="F642" s="230"/>
    </row>
    <row r="643" spans="1:19" x14ac:dyDescent="0.25">
      <c r="B643" s="210" t="s">
        <v>607</v>
      </c>
      <c r="C643" s="221"/>
      <c r="D643" s="209"/>
      <c r="E643" s="303"/>
      <c r="F643" s="235"/>
    </row>
    <row r="644" spans="1:19" x14ac:dyDescent="0.25">
      <c r="B644" s="220" t="s">
        <v>534</v>
      </c>
      <c r="C644" s="221"/>
      <c r="D644" s="209"/>
      <c r="E644" s="303" t="s">
        <v>15</v>
      </c>
      <c r="F644" s="286">
        <f>SUM(F624:F643)</f>
        <v>3838950</v>
      </c>
    </row>
    <row r="645" spans="1:19" x14ac:dyDescent="0.25">
      <c r="A645" s="209" t="s">
        <v>795</v>
      </c>
      <c r="B645" s="209"/>
      <c r="C645" s="221" t="s">
        <v>773</v>
      </c>
      <c r="D645" s="209" t="s">
        <v>765</v>
      </c>
      <c r="E645" s="303" t="s">
        <v>908</v>
      </c>
      <c r="F645" s="273" t="s">
        <v>768</v>
      </c>
    </row>
    <row r="646" spans="1:19" s="482" customFormat="1" ht="16.5" customHeight="1" x14ac:dyDescent="0.3">
      <c r="A646" s="373"/>
      <c r="B646" s="374" t="s">
        <v>608</v>
      </c>
      <c r="C646" s="373"/>
      <c r="D646" s="373"/>
      <c r="E646" s="565"/>
      <c r="F646" s="375"/>
      <c r="G646" s="376"/>
      <c r="H646" s="376"/>
      <c r="I646" s="376"/>
      <c r="J646" s="376"/>
      <c r="K646" s="376"/>
      <c r="L646" s="376"/>
      <c r="M646" s="376"/>
      <c r="N646" s="376"/>
      <c r="O646" s="376"/>
      <c r="P646" s="376"/>
      <c r="Q646" s="376"/>
      <c r="R646" s="376"/>
      <c r="S646" s="376"/>
    </row>
    <row r="647" spans="1:19" s="482" customFormat="1" ht="12" customHeight="1" x14ac:dyDescent="0.3">
      <c r="A647" s="373"/>
      <c r="B647" s="374"/>
      <c r="C647" s="373"/>
      <c r="D647" s="373"/>
      <c r="E647" s="565"/>
      <c r="F647" s="375"/>
      <c r="G647" s="376"/>
      <c r="H647" s="376"/>
      <c r="I647" s="376"/>
      <c r="J647" s="376"/>
      <c r="K647" s="376"/>
      <c r="L647" s="376"/>
      <c r="M647" s="376"/>
      <c r="N647" s="376"/>
      <c r="O647" s="376"/>
      <c r="P647" s="376"/>
      <c r="Q647" s="376"/>
      <c r="R647" s="376"/>
      <c r="S647" s="376"/>
    </row>
    <row r="648" spans="1:19" s="482" customFormat="1" ht="16.5" customHeight="1" x14ac:dyDescent="0.3">
      <c r="A648" s="373"/>
      <c r="B648" s="374" t="s">
        <v>781</v>
      </c>
      <c r="C648" s="373"/>
      <c r="D648" s="373"/>
      <c r="E648" s="565"/>
      <c r="F648" s="375"/>
      <c r="G648" s="376"/>
      <c r="H648" s="376"/>
      <c r="I648" s="376"/>
      <c r="J648" s="376"/>
      <c r="K648" s="376"/>
      <c r="L648" s="376"/>
      <c r="M648" s="376"/>
      <c r="N648" s="376"/>
      <c r="O648" s="376"/>
      <c r="P648" s="376"/>
      <c r="Q648" s="376"/>
      <c r="R648" s="376"/>
      <c r="S648" s="376"/>
    </row>
    <row r="649" spans="1:19" s="482" customFormat="1" ht="12" customHeight="1" x14ac:dyDescent="0.3">
      <c r="A649" s="373"/>
      <c r="B649" s="374"/>
      <c r="C649" s="373"/>
      <c r="D649" s="373"/>
      <c r="E649" s="565"/>
      <c r="F649" s="375"/>
      <c r="G649" s="376"/>
      <c r="H649" s="376"/>
      <c r="I649" s="376"/>
      <c r="J649" s="376"/>
      <c r="K649" s="376"/>
      <c r="L649" s="376"/>
      <c r="M649" s="376"/>
      <c r="N649" s="376"/>
      <c r="O649" s="376"/>
      <c r="P649" s="376"/>
      <c r="Q649" s="376"/>
      <c r="R649" s="376"/>
      <c r="S649" s="376"/>
    </row>
    <row r="650" spans="1:19" s="482" customFormat="1" ht="17.25" customHeight="1" x14ac:dyDescent="0.35">
      <c r="A650" s="500"/>
      <c r="B650" s="503" t="s">
        <v>782</v>
      </c>
      <c r="C650" s="500"/>
      <c r="D650" s="500"/>
      <c r="E650" s="566"/>
      <c r="F650" s="502"/>
      <c r="G650" s="501"/>
      <c r="H650" s="501"/>
      <c r="I650" s="501"/>
      <c r="J650" s="501"/>
      <c r="K650" s="501"/>
      <c r="L650" s="501"/>
      <c r="M650" s="501"/>
      <c r="N650" s="501"/>
      <c r="O650" s="501"/>
      <c r="P650" s="501"/>
      <c r="Q650" s="501"/>
      <c r="R650" s="501"/>
      <c r="S650" s="501"/>
    </row>
    <row r="651" spans="1:19" s="482" customFormat="1" ht="30" x14ac:dyDescent="0.3">
      <c r="A651" s="500"/>
      <c r="B651" s="504" t="s">
        <v>783</v>
      </c>
      <c r="C651" s="500"/>
      <c r="D651" s="500"/>
      <c r="E651" s="566"/>
      <c r="F651" s="502"/>
      <c r="G651" s="501"/>
      <c r="H651" s="501"/>
      <c r="I651" s="501"/>
      <c r="J651" s="501"/>
      <c r="K651" s="501"/>
      <c r="L651" s="501"/>
      <c r="M651" s="501"/>
      <c r="N651" s="501"/>
      <c r="O651" s="501"/>
      <c r="P651" s="501"/>
      <c r="Q651" s="501"/>
      <c r="R651" s="501"/>
      <c r="S651" s="501"/>
    </row>
    <row r="652" spans="1:19" s="482" customFormat="1" x14ac:dyDescent="0.3">
      <c r="A652" s="505"/>
      <c r="B652" s="504"/>
      <c r="C652" s="505"/>
      <c r="D652" s="505"/>
      <c r="E652" s="566"/>
      <c r="F652" s="506"/>
      <c r="G652" s="507"/>
      <c r="H652" s="507"/>
      <c r="I652" s="507"/>
      <c r="J652" s="507"/>
      <c r="K652" s="507"/>
      <c r="L652" s="507"/>
      <c r="M652" s="507"/>
      <c r="N652" s="507"/>
      <c r="O652" s="507"/>
      <c r="P652" s="507"/>
      <c r="Q652" s="507"/>
      <c r="R652" s="507"/>
      <c r="S652" s="507"/>
    </row>
    <row r="653" spans="1:19" s="482" customFormat="1" ht="60" x14ac:dyDescent="0.3">
      <c r="A653" s="505" t="s">
        <v>2</v>
      </c>
      <c r="B653" s="504" t="s">
        <v>1016</v>
      </c>
      <c r="C653" s="505">
        <v>2</v>
      </c>
      <c r="D653" s="505" t="s">
        <v>3</v>
      </c>
      <c r="E653" s="566">
        <v>1500000</v>
      </c>
      <c r="F653" s="506">
        <f>E653*C653</f>
        <v>3000000</v>
      </c>
      <c r="G653" s="507"/>
      <c r="H653" s="507"/>
      <c r="I653" s="507"/>
      <c r="J653" s="507"/>
      <c r="K653" s="507"/>
      <c r="L653" s="507"/>
      <c r="M653" s="507"/>
      <c r="N653" s="507"/>
      <c r="O653" s="507"/>
      <c r="P653" s="507"/>
      <c r="Q653" s="507"/>
      <c r="R653" s="507"/>
      <c r="S653" s="507"/>
    </row>
    <row r="654" spans="1:19" s="482" customFormat="1" x14ac:dyDescent="0.3">
      <c r="A654" s="505"/>
      <c r="B654" s="504"/>
      <c r="C654" s="505"/>
      <c r="D654" s="505"/>
      <c r="E654" s="566"/>
      <c r="F654" s="506"/>
      <c r="G654" s="507"/>
      <c r="H654" s="507"/>
      <c r="I654" s="507"/>
      <c r="J654" s="507"/>
      <c r="K654" s="507"/>
      <c r="L654" s="507"/>
      <c r="M654" s="507"/>
      <c r="N654" s="507"/>
      <c r="O654" s="507"/>
      <c r="P654" s="507"/>
      <c r="Q654" s="507"/>
      <c r="R654" s="507"/>
      <c r="S654" s="507"/>
    </row>
    <row r="655" spans="1:19" s="482" customFormat="1" ht="17.25" customHeight="1" x14ac:dyDescent="0.35">
      <c r="A655" s="500"/>
      <c r="B655" s="503" t="s">
        <v>784</v>
      </c>
      <c r="C655" s="500"/>
      <c r="D655" s="500"/>
      <c r="E655" s="566"/>
      <c r="F655" s="502"/>
      <c r="G655" s="501"/>
      <c r="H655" s="501"/>
      <c r="I655" s="501"/>
      <c r="J655" s="501"/>
      <c r="K655" s="501"/>
      <c r="L655" s="501"/>
      <c r="M655" s="501"/>
      <c r="N655" s="501"/>
      <c r="O655" s="501"/>
      <c r="P655" s="501"/>
      <c r="Q655" s="501"/>
      <c r="R655" s="501"/>
      <c r="S655" s="501"/>
    </row>
    <row r="656" spans="1:19" s="482" customFormat="1" ht="33" customHeight="1" x14ac:dyDescent="0.3">
      <c r="A656" s="500"/>
      <c r="B656" s="508" t="s">
        <v>785</v>
      </c>
      <c r="C656" s="500"/>
      <c r="D656" s="500"/>
      <c r="E656" s="566"/>
      <c r="F656" s="502"/>
      <c r="G656" s="501"/>
      <c r="H656" s="501"/>
      <c r="I656" s="501"/>
      <c r="J656" s="501"/>
      <c r="K656" s="501"/>
      <c r="L656" s="501"/>
      <c r="M656" s="501"/>
      <c r="N656" s="501"/>
      <c r="O656" s="501"/>
      <c r="P656" s="501"/>
      <c r="Q656" s="501"/>
      <c r="R656" s="501"/>
      <c r="S656" s="501"/>
    </row>
    <row r="657" spans="1:19" s="482" customFormat="1" x14ac:dyDescent="0.3">
      <c r="A657" s="500" t="s">
        <v>4</v>
      </c>
      <c r="B657" s="508" t="s">
        <v>786</v>
      </c>
      <c r="C657" s="509">
        <v>14</v>
      </c>
      <c r="D657" s="500" t="s">
        <v>22</v>
      </c>
      <c r="E657" s="566">
        <v>58000</v>
      </c>
      <c r="F657" s="502">
        <f>E657*C657</f>
        <v>812000</v>
      </c>
      <c r="G657" s="501"/>
      <c r="H657" s="501"/>
      <c r="I657" s="501"/>
      <c r="J657" s="501"/>
      <c r="K657" s="501"/>
      <c r="L657" s="501"/>
      <c r="M657" s="501"/>
      <c r="N657" s="501"/>
      <c r="O657" s="501"/>
      <c r="P657" s="501"/>
      <c r="Q657" s="501"/>
      <c r="R657" s="501"/>
      <c r="S657" s="501"/>
    </row>
    <row r="658" spans="1:19" s="482" customFormat="1" ht="16.5" customHeight="1" x14ac:dyDescent="0.3">
      <c r="A658" s="500" t="s">
        <v>5</v>
      </c>
      <c r="B658" s="501" t="s">
        <v>962</v>
      </c>
      <c r="C658" s="500">
        <v>22</v>
      </c>
      <c r="D658" s="500" t="s">
        <v>22</v>
      </c>
      <c r="E658" s="566">
        <v>39000</v>
      </c>
      <c r="F658" s="502">
        <f>E658*C658</f>
        <v>858000</v>
      </c>
      <c r="G658" s="501"/>
      <c r="H658" s="501"/>
      <c r="I658" s="501"/>
      <c r="J658" s="501"/>
      <c r="K658" s="501"/>
      <c r="L658" s="501"/>
      <c r="M658" s="501"/>
      <c r="N658" s="501"/>
      <c r="O658" s="501"/>
      <c r="P658" s="501"/>
      <c r="Q658" s="501"/>
      <c r="R658" s="501"/>
      <c r="S658" s="501"/>
    </row>
    <row r="659" spans="1:19" s="482" customFormat="1" ht="15" customHeight="1" x14ac:dyDescent="0.3">
      <c r="A659" s="500"/>
      <c r="B659" s="510"/>
      <c r="C659" s="500"/>
      <c r="D659" s="500"/>
      <c r="E659" s="566"/>
      <c r="F659" s="502"/>
      <c r="G659" s="501"/>
      <c r="H659" s="501"/>
      <c r="I659" s="501"/>
      <c r="J659" s="501"/>
      <c r="K659" s="501"/>
      <c r="L659" s="501"/>
      <c r="M659" s="501"/>
      <c r="N659" s="501"/>
      <c r="O659" s="501"/>
      <c r="P659" s="501"/>
      <c r="Q659" s="501"/>
      <c r="R659" s="501"/>
      <c r="S659" s="501"/>
    </row>
    <row r="660" spans="1:19" s="482" customFormat="1" ht="15" customHeight="1" x14ac:dyDescent="0.3">
      <c r="A660" s="500"/>
      <c r="B660" s="511" t="s">
        <v>794</v>
      </c>
      <c r="C660" s="500"/>
      <c r="D660" s="500"/>
      <c r="E660" s="566"/>
      <c r="F660" s="502"/>
      <c r="G660" s="501"/>
      <c r="H660" s="501"/>
      <c r="I660" s="501"/>
      <c r="J660" s="501"/>
      <c r="K660" s="501"/>
      <c r="L660" s="501"/>
      <c r="M660" s="501"/>
      <c r="N660" s="501"/>
      <c r="O660" s="501"/>
      <c r="P660" s="501"/>
      <c r="Q660" s="501"/>
      <c r="R660" s="501"/>
      <c r="S660" s="501"/>
    </row>
    <row r="661" spans="1:19" s="482" customFormat="1" ht="15" customHeight="1" x14ac:dyDescent="0.3">
      <c r="A661" s="500" t="s">
        <v>6</v>
      </c>
      <c r="B661" s="501" t="s">
        <v>793</v>
      </c>
      <c r="C661" s="500"/>
      <c r="D661" s="500" t="s">
        <v>35</v>
      </c>
      <c r="E661" s="566">
        <v>65000</v>
      </c>
      <c r="F661" s="502">
        <f>E661*C661</f>
        <v>0</v>
      </c>
      <c r="G661" s="501"/>
      <c r="H661" s="501"/>
      <c r="I661" s="501"/>
      <c r="J661" s="501"/>
      <c r="K661" s="501"/>
      <c r="L661" s="501"/>
      <c r="M661" s="501"/>
      <c r="N661" s="501"/>
      <c r="O661" s="501"/>
      <c r="P661" s="501"/>
      <c r="Q661" s="501"/>
      <c r="R661" s="501"/>
      <c r="S661" s="501"/>
    </row>
    <row r="662" spans="1:19" s="482" customFormat="1" ht="15" customHeight="1" x14ac:dyDescent="0.3">
      <c r="A662" s="500" t="s">
        <v>7</v>
      </c>
      <c r="B662" s="501" t="s">
        <v>921</v>
      </c>
      <c r="C662" s="500">
        <v>24</v>
      </c>
      <c r="D662" s="500" t="s">
        <v>35</v>
      </c>
      <c r="E662" s="566">
        <v>12000</v>
      </c>
      <c r="F662" s="502">
        <f>E662*C662</f>
        <v>288000</v>
      </c>
      <c r="G662" s="501"/>
      <c r="H662" s="501"/>
      <c r="I662" s="501"/>
      <c r="J662" s="501"/>
      <c r="K662" s="501"/>
      <c r="L662" s="501"/>
      <c r="M662" s="501"/>
      <c r="N662" s="501"/>
      <c r="O662" s="501"/>
      <c r="P662" s="501"/>
      <c r="Q662" s="501"/>
      <c r="R662" s="501"/>
      <c r="S662" s="501"/>
    </row>
    <row r="663" spans="1:19" s="482" customFormat="1" ht="15" customHeight="1" x14ac:dyDescent="0.3">
      <c r="A663" s="500"/>
      <c r="B663" s="501"/>
      <c r="C663" s="500"/>
      <c r="D663" s="500"/>
      <c r="E663" s="566"/>
      <c r="F663" s="502"/>
      <c r="G663" s="501"/>
      <c r="H663" s="501"/>
      <c r="I663" s="501"/>
      <c r="J663" s="501"/>
      <c r="K663" s="501"/>
      <c r="L663" s="501"/>
      <c r="M663" s="501"/>
      <c r="N663" s="501"/>
      <c r="O663" s="501"/>
      <c r="P663" s="501"/>
      <c r="Q663" s="501"/>
      <c r="R663" s="501"/>
      <c r="S663" s="501"/>
    </row>
    <row r="664" spans="1:19" s="482" customFormat="1" ht="16.5" customHeight="1" x14ac:dyDescent="0.3">
      <c r="A664" s="373"/>
      <c r="B664" s="379" t="s">
        <v>787</v>
      </c>
      <c r="C664" s="376"/>
      <c r="D664" s="376"/>
      <c r="E664" s="567"/>
      <c r="F664" s="512"/>
      <c r="G664" s="376"/>
      <c r="H664" s="376"/>
      <c r="I664" s="376"/>
      <c r="J664" s="376"/>
      <c r="K664" s="376"/>
      <c r="L664" s="376"/>
      <c r="M664" s="376"/>
      <c r="N664" s="376"/>
      <c r="O664" s="376"/>
      <c r="P664" s="376"/>
      <c r="Q664" s="376"/>
      <c r="R664" s="376"/>
      <c r="S664" s="376"/>
    </row>
    <row r="665" spans="1:19" s="482" customFormat="1" ht="30" x14ac:dyDescent="0.3">
      <c r="A665" s="500"/>
      <c r="B665" s="508" t="s">
        <v>788</v>
      </c>
      <c r="C665" s="500"/>
      <c r="D665" s="500"/>
      <c r="E665" s="566"/>
      <c r="F665" s="512"/>
      <c r="G665" s="501"/>
      <c r="H665" s="501"/>
      <c r="I665" s="501"/>
      <c r="J665" s="501"/>
      <c r="K665" s="501"/>
      <c r="L665" s="501"/>
      <c r="M665" s="501"/>
      <c r="N665" s="501"/>
      <c r="O665" s="501"/>
      <c r="P665" s="501"/>
      <c r="Q665" s="501"/>
      <c r="R665" s="501"/>
      <c r="S665" s="501"/>
    </row>
    <row r="666" spans="1:19" s="482" customFormat="1" ht="16.5" customHeight="1" x14ac:dyDescent="0.3">
      <c r="A666" s="500"/>
      <c r="B666" s="508"/>
      <c r="C666" s="500"/>
      <c r="D666" s="500"/>
      <c r="E666" s="566"/>
      <c r="F666" s="512"/>
      <c r="G666" s="501"/>
      <c r="H666" s="501"/>
      <c r="I666" s="501"/>
      <c r="J666" s="501"/>
      <c r="K666" s="501"/>
      <c r="L666" s="501"/>
      <c r="M666" s="501"/>
      <c r="N666" s="501"/>
      <c r="O666" s="501"/>
      <c r="P666" s="501"/>
      <c r="Q666" s="501"/>
      <c r="R666" s="501"/>
      <c r="S666" s="501"/>
    </row>
    <row r="667" spans="1:19" s="482" customFormat="1" ht="16.5" customHeight="1" x14ac:dyDescent="0.3">
      <c r="A667" s="500" t="s">
        <v>8</v>
      </c>
      <c r="B667" s="377" t="s">
        <v>789</v>
      </c>
      <c r="C667" s="500">
        <v>15</v>
      </c>
      <c r="D667" s="373" t="s">
        <v>35</v>
      </c>
      <c r="E667" s="566">
        <v>6500</v>
      </c>
      <c r="F667" s="512">
        <f>E667*C667</f>
        <v>97500</v>
      </c>
      <c r="G667" s="501"/>
      <c r="H667" s="501"/>
      <c r="I667" s="501"/>
      <c r="J667" s="501"/>
      <c r="K667" s="501"/>
      <c r="L667" s="501"/>
      <c r="M667" s="501"/>
      <c r="N667" s="501"/>
      <c r="O667" s="501"/>
      <c r="P667" s="501"/>
      <c r="Q667" s="501"/>
      <c r="R667" s="501"/>
      <c r="S667" s="501"/>
    </row>
    <row r="668" spans="1:19" s="482" customFormat="1" ht="16.5" customHeight="1" x14ac:dyDescent="0.3">
      <c r="A668" s="500"/>
      <c r="B668" s="377"/>
      <c r="C668" s="500"/>
      <c r="D668" s="373"/>
      <c r="E668" s="566"/>
      <c r="F668" s="512"/>
      <c r="G668" s="501"/>
      <c r="H668" s="501"/>
      <c r="I668" s="501"/>
      <c r="J668" s="501"/>
      <c r="K668" s="501"/>
      <c r="L668" s="501"/>
      <c r="M668" s="501"/>
      <c r="N668" s="501"/>
      <c r="O668" s="501"/>
      <c r="P668" s="501"/>
      <c r="Q668" s="501"/>
      <c r="R668" s="501"/>
      <c r="S668" s="501"/>
    </row>
    <row r="669" spans="1:19" s="482" customFormat="1" ht="16.5" customHeight="1" x14ac:dyDescent="0.3">
      <c r="A669" s="500"/>
      <c r="B669" s="377"/>
      <c r="C669" s="500"/>
      <c r="D669" s="373"/>
      <c r="E669" s="566"/>
      <c r="F669" s="512"/>
      <c r="G669" s="501"/>
      <c r="H669" s="501"/>
      <c r="I669" s="501"/>
      <c r="J669" s="501"/>
      <c r="K669" s="501"/>
      <c r="L669" s="501"/>
      <c r="M669" s="501"/>
      <c r="N669" s="501"/>
      <c r="O669" s="501"/>
      <c r="P669" s="501"/>
      <c r="Q669" s="501"/>
      <c r="R669" s="501"/>
      <c r="S669" s="501"/>
    </row>
    <row r="670" spans="1:19" s="482" customFormat="1" ht="16.5" customHeight="1" x14ac:dyDescent="0.3">
      <c r="A670" s="500"/>
      <c r="B670" s="374" t="s">
        <v>781</v>
      </c>
      <c r="C670" s="500"/>
      <c r="D670" s="373"/>
      <c r="E670" s="566"/>
      <c r="F670" s="512"/>
      <c r="G670" s="501"/>
      <c r="H670" s="501"/>
      <c r="I670" s="501"/>
      <c r="J670" s="501"/>
      <c r="K670" s="501"/>
      <c r="L670" s="501"/>
      <c r="M670" s="501"/>
      <c r="N670" s="501"/>
      <c r="O670" s="501"/>
      <c r="P670" s="501"/>
      <c r="Q670" s="501"/>
      <c r="R670" s="501"/>
      <c r="S670" s="501"/>
    </row>
    <row r="671" spans="1:19" s="482" customFormat="1" ht="18" customHeight="1" x14ac:dyDescent="0.35">
      <c r="A671" s="373"/>
      <c r="B671" s="380" t="s">
        <v>790</v>
      </c>
      <c r="C671" s="378"/>
      <c r="D671" s="378"/>
      <c r="E671" s="381" t="s">
        <v>15</v>
      </c>
      <c r="F671" s="525">
        <f>SUM(F647:F667)</f>
        <v>5055500</v>
      </c>
      <c r="G671" s="376"/>
      <c r="H671" s="376"/>
      <c r="I671" s="376"/>
      <c r="J671" s="376"/>
      <c r="K671" s="376"/>
      <c r="L671" s="376"/>
      <c r="M671" s="376"/>
      <c r="N671" s="376"/>
      <c r="O671" s="376"/>
      <c r="P671" s="376"/>
      <c r="Q671" s="376"/>
      <c r="R671" s="376"/>
      <c r="S671" s="376"/>
    </row>
    <row r="672" spans="1:19" x14ac:dyDescent="0.25">
      <c r="A672" s="209" t="s">
        <v>795</v>
      </c>
      <c r="B672" s="209"/>
      <c r="C672" s="221" t="s">
        <v>773</v>
      </c>
      <c r="D672" s="209" t="s">
        <v>765</v>
      </c>
      <c r="E672" s="303" t="s">
        <v>908</v>
      </c>
      <c r="F672" s="273" t="s">
        <v>768</v>
      </c>
    </row>
    <row r="673" spans="1:6" x14ac:dyDescent="0.25">
      <c r="B673" s="210" t="s">
        <v>609</v>
      </c>
    </row>
    <row r="674" spans="1:6" ht="9" customHeight="1" x14ac:dyDescent="0.25">
      <c r="B674" s="220"/>
    </row>
    <row r="675" spans="1:6" x14ac:dyDescent="0.25">
      <c r="B675" s="210" t="s">
        <v>236</v>
      </c>
    </row>
    <row r="676" spans="1:6" x14ac:dyDescent="0.25">
      <c r="B676" s="219" t="s">
        <v>610</v>
      </c>
    </row>
    <row r="677" spans="1:6" ht="12.6" customHeight="1" x14ac:dyDescent="0.25"/>
    <row r="678" spans="1:6" x14ac:dyDescent="0.25">
      <c r="B678" s="211" t="s">
        <v>283</v>
      </c>
    </row>
    <row r="679" spans="1:6" ht="30" x14ac:dyDescent="0.25">
      <c r="B679" s="224" t="s">
        <v>611</v>
      </c>
    </row>
    <row r="680" spans="1:6" ht="11.45" customHeight="1" x14ac:dyDescent="0.25"/>
    <row r="681" spans="1:6" x14ac:dyDescent="0.25">
      <c r="A681" s="206" t="s">
        <v>2</v>
      </c>
      <c r="B681" s="214" t="s">
        <v>612</v>
      </c>
      <c r="C681" s="205">
        <f>C588*2+C479</f>
        <v>1815</v>
      </c>
      <c r="D681" s="206" t="s">
        <v>35</v>
      </c>
      <c r="E681" s="304">
        <f>E415</f>
        <v>3500</v>
      </c>
      <c r="F681" s="207">
        <f>E681*C681</f>
        <v>6352500</v>
      </c>
    </row>
    <row r="682" spans="1:6" ht="30" x14ac:dyDescent="0.25">
      <c r="A682" s="206" t="s">
        <v>4</v>
      </c>
      <c r="B682" s="218" t="s">
        <v>613</v>
      </c>
      <c r="C682" s="205">
        <v>102</v>
      </c>
      <c r="D682" s="206" t="s">
        <v>22</v>
      </c>
      <c r="E682" s="304">
        <f>E681*0.3</f>
        <v>1050</v>
      </c>
      <c r="F682" s="207">
        <f>E682*C682</f>
        <v>107100</v>
      </c>
    </row>
    <row r="683" spans="1:6" x14ac:dyDescent="0.25">
      <c r="B683" s="210" t="s">
        <v>614</v>
      </c>
    </row>
    <row r="684" spans="1:6" x14ac:dyDescent="0.25">
      <c r="B684" s="219" t="s">
        <v>615</v>
      </c>
      <c r="C684" s="256"/>
    </row>
    <row r="685" spans="1:6" ht="30" x14ac:dyDescent="0.25">
      <c r="B685" s="246" t="s">
        <v>616</v>
      </c>
    </row>
    <row r="686" spans="1:6" x14ac:dyDescent="0.25">
      <c r="A686" s="206" t="s">
        <v>5</v>
      </c>
      <c r="B686" s="214" t="s">
        <v>617</v>
      </c>
      <c r="C686" s="205">
        <f>C681-C698</f>
        <v>1709</v>
      </c>
      <c r="D686" s="206" t="s">
        <v>35</v>
      </c>
      <c r="E686" s="304">
        <f>E297</f>
        <v>1400</v>
      </c>
      <c r="F686" s="207">
        <f>E686*C686</f>
        <v>2392600</v>
      </c>
    </row>
    <row r="687" spans="1:6" ht="25.5" customHeight="1" x14ac:dyDescent="0.25">
      <c r="A687" s="206" t="s">
        <v>6</v>
      </c>
      <c r="B687" s="218" t="s">
        <v>618</v>
      </c>
      <c r="C687" s="205">
        <f>C682</f>
        <v>102</v>
      </c>
      <c r="D687" s="206" t="s">
        <v>22</v>
      </c>
      <c r="E687" s="304">
        <f>'[31]AJIWE STRIP MALL '!E708</f>
        <v>450</v>
      </c>
      <c r="F687" s="207">
        <f>E687*C687</f>
        <v>45900</v>
      </c>
    </row>
    <row r="688" spans="1:6" x14ac:dyDescent="0.25">
      <c r="B688" s="210" t="s">
        <v>152</v>
      </c>
    </row>
    <row r="689" spans="1:6" ht="30" x14ac:dyDescent="0.25">
      <c r="B689" s="224" t="s">
        <v>619</v>
      </c>
    </row>
    <row r="690" spans="1:6" x14ac:dyDescent="0.25">
      <c r="A690" s="206" t="s">
        <v>7</v>
      </c>
      <c r="B690" s="214" t="s">
        <v>612</v>
      </c>
      <c r="C690" s="205">
        <f>C686</f>
        <v>1709</v>
      </c>
      <c r="D690" s="206" t="s">
        <v>35</v>
      </c>
      <c r="E690" s="304">
        <f>E307</f>
        <v>2200</v>
      </c>
      <c r="F690" s="207">
        <f>E690*C690</f>
        <v>3759800</v>
      </c>
    </row>
    <row r="691" spans="1:6" x14ac:dyDescent="0.25">
      <c r="A691" s="206" t="s">
        <v>8</v>
      </c>
      <c r="B691" s="214" t="s">
        <v>620</v>
      </c>
      <c r="C691" s="205">
        <f>C687</f>
        <v>102</v>
      </c>
      <c r="D691" s="206" t="s">
        <v>22</v>
      </c>
      <c r="E691" s="304">
        <f>E690*0.3</f>
        <v>660</v>
      </c>
      <c r="F691" s="207">
        <f>E691*C691</f>
        <v>67320</v>
      </c>
    </row>
    <row r="692" spans="1:6" ht="33" x14ac:dyDescent="0.25">
      <c r="B692" s="234" t="s">
        <v>621</v>
      </c>
    </row>
    <row r="693" spans="1:6" ht="60" x14ac:dyDescent="0.25">
      <c r="B693" s="218" t="s">
        <v>622</v>
      </c>
    </row>
    <row r="694" spans="1:6" x14ac:dyDescent="0.25">
      <c r="A694" s="206" t="s">
        <v>9</v>
      </c>
      <c r="B694" s="214" t="s">
        <v>623</v>
      </c>
      <c r="C694" s="205">
        <v>51</v>
      </c>
      <c r="D694" s="206" t="s">
        <v>35</v>
      </c>
      <c r="E694" s="304">
        <v>7500</v>
      </c>
      <c r="F694" s="207">
        <f>E695*C694</f>
        <v>382500</v>
      </c>
    </row>
    <row r="695" spans="1:6" x14ac:dyDescent="0.25">
      <c r="A695" s="206" t="s">
        <v>10</v>
      </c>
      <c r="B695" s="214" t="s">
        <v>624</v>
      </c>
      <c r="C695" s="205">
        <v>55</v>
      </c>
      <c r="D695" s="206" t="s">
        <v>35</v>
      </c>
      <c r="E695" s="304">
        <f>E694</f>
        <v>7500</v>
      </c>
      <c r="F695" s="207">
        <f>E695*C695</f>
        <v>412500</v>
      </c>
    </row>
    <row r="696" spans="1:6" ht="33" x14ac:dyDescent="0.25">
      <c r="B696" s="234" t="s">
        <v>625</v>
      </c>
    </row>
    <row r="697" spans="1:6" x14ac:dyDescent="0.25">
      <c r="B697" s="219" t="s">
        <v>626</v>
      </c>
    </row>
    <row r="698" spans="1:6" x14ac:dyDescent="0.25">
      <c r="A698" s="206" t="s">
        <v>11</v>
      </c>
      <c r="B698" s="214" t="s">
        <v>627</v>
      </c>
      <c r="C698" s="205">
        <f>C694+C695</f>
        <v>106</v>
      </c>
      <c r="D698" s="206" t="s">
        <v>35</v>
      </c>
      <c r="E698" s="304">
        <f>2100</f>
        <v>2100</v>
      </c>
      <c r="F698" s="207">
        <f>E698*C698</f>
        <v>222600</v>
      </c>
    </row>
    <row r="699" spans="1:6" x14ac:dyDescent="0.25">
      <c r="B699" s="210" t="s">
        <v>628</v>
      </c>
      <c r="F699" s="230"/>
    </row>
    <row r="700" spans="1:6" x14ac:dyDescent="0.25">
      <c r="B700" s="220" t="s">
        <v>629</v>
      </c>
      <c r="F700" s="230"/>
    </row>
    <row r="701" spans="1:6" ht="30" x14ac:dyDescent="0.25">
      <c r="B701" s="224" t="s">
        <v>630</v>
      </c>
      <c r="F701" s="230"/>
    </row>
    <row r="702" spans="1:6" ht="18" customHeight="1" x14ac:dyDescent="0.25">
      <c r="A702" s="206" t="s">
        <v>12</v>
      </c>
      <c r="B702" s="214" t="s">
        <v>612</v>
      </c>
      <c r="C702" s="205">
        <f>C479+C481</f>
        <v>1105</v>
      </c>
      <c r="D702" s="206" t="s">
        <v>35</v>
      </c>
      <c r="E702" s="304">
        <f>E681</f>
        <v>3500</v>
      </c>
      <c r="F702" s="207">
        <f>E702*C702</f>
        <v>3867500</v>
      </c>
    </row>
    <row r="703" spans="1:6" x14ac:dyDescent="0.25">
      <c r="A703" s="206" t="s">
        <v>13</v>
      </c>
      <c r="B703" s="233" t="s">
        <v>24</v>
      </c>
      <c r="C703" s="262"/>
      <c r="D703" s="206" t="s">
        <v>35</v>
      </c>
      <c r="E703" s="304">
        <f>E702</f>
        <v>3500</v>
      </c>
      <c r="F703" s="207">
        <f>E703*C703</f>
        <v>0</v>
      </c>
    </row>
    <row r="704" spans="1:6" ht="30" x14ac:dyDescent="0.25">
      <c r="A704" s="206" t="s">
        <v>14</v>
      </c>
      <c r="B704" s="246" t="s">
        <v>631</v>
      </c>
      <c r="C704" s="205">
        <v>187</v>
      </c>
      <c r="D704" s="206" t="s">
        <v>22</v>
      </c>
      <c r="E704" s="304">
        <f>E682</f>
        <v>1050</v>
      </c>
      <c r="F704" s="207">
        <f>E704*C704</f>
        <v>196350</v>
      </c>
    </row>
    <row r="705" spans="1:6" x14ac:dyDescent="0.25">
      <c r="B705" s="233"/>
    </row>
    <row r="706" spans="1:6" x14ac:dyDescent="0.25">
      <c r="B706" s="233"/>
    </row>
    <row r="707" spans="1:6" x14ac:dyDescent="0.25">
      <c r="B707" s="220" t="s">
        <v>520</v>
      </c>
      <c r="C707" s="221"/>
      <c r="D707" s="209"/>
      <c r="E707" s="303" t="s">
        <v>15</v>
      </c>
      <c r="F707" s="222">
        <f>SUM(F676:F705)</f>
        <v>17806670</v>
      </c>
    </row>
    <row r="708" spans="1:6" x14ac:dyDescent="0.25">
      <c r="A708" s="209" t="s">
        <v>795</v>
      </c>
      <c r="B708" s="209"/>
      <c r="C708" s="221" t="s">
        <v>773</v>
      </c>
      <c r="D708" s="209" t="s">
        <v>765</v>
      </c>
      <c r="E708" s="303" t="s">
        <v>908</v>
      </c>
      <c r="F708" s="273" t="s">
        <v>768</v>
      </c>
    </row>
    <row r="709" spans="1:6" ht="19.5" customHeight="1" x14ac:dyDescent="0.25">
      <c r="B709" s="210" t="s">
        <v>632</v>
      </c>
    </row>
    <row r="710" spans="1:6" ht="12.75" customHeight="1" x14ac:dyDescent="0.25">
      <c r="B710" s="233"/>
    </row>
    <row r="711" spans="1:6" ht="33" x14ac:dyDescent="0.25">
      <c r="B711" s="234" t="s">
        <v>621</v>
      </c>
    </row>
    <row r="712" spans="1:6" ht="45" x14ac:dyDescent="0.25">
      <c r="B712" s="218" t="s">
        <v>488</v>
      </c>
    </row>
    <row r="713" spans="1:6" x14ac:dyDescent="0.25">
      <c r="A713" s="206" t="s">
        <v>2</v>
      </c>
      <c r="B713" s="214" t="s">
        <v>633</v>
      </c>
      <c r="D713" s="206" t="s">
        <v>35</v>
      </c>
      <c r="E713" s="304">
        <v>8200</v>
      </c>
      <c r="F713" s="207">
        <f>E713*C713</f>
        <v>0</v>
      </c>
    </row>
    <row r="714" spans="1:6" ht="33" x14ac:dyDescent="0.25">
      <c r="B714" s="264" t="s">
        <v>634</v>
      </c>
    </row>
    <row r="715" spans="1:6" x14ac:dyDescent="0.25">
      <c r="B715" s="214" t="s">
        <v>626</v>
      </c>
    </row>
    <row r="716" spans="1:6" x14ac:dyDescent="0.25">
      <c r="A716" s="206" t="s">
        <v>4</v>
      </c>
      <c r="B716" s="214" t="s">
        <v>627</v>
      </c>
      <c r="D716" s="206" t="s">
        <v>35</v>
      </c>
      <c r="E716" s="304">
        <v>2650</v>
      </c>
      <c r="F716" s="207">
        <f>E716*C716</f>
        <v>0</v>
      </c>
    </row>
    <row r="717" spans="1:6" s="269" customFormat="1" x14ac:dyDescent="0.25">
      <c r="A717" s="265"/>
      <c r="B717" s="266" t="s">
        <v>615</v>
      </c>
      <c r="C717" s="267"/>
      <c r="D717" s="265"/>
      <c r="E717" s="304"/>
      <c r="F717" s="268"/>
    </row>
    <row r="718" spans="1:6" s="269" customFormat="1" ht="30" x14ac:dyDescent="0.25">
      <c r="A718" s="265"/>
      <c r="B718" s="270" t="s">
        <v>616</v>
      </c>
      <c r="C718" s="267"/>
      <c r="D718" s="265"/>
      <c r="E718" s="304"/>
      <c r="F718" s="268"/>
    </row>
    <row r="719" spans="1:6" s="269" customFormat="1" x14ac:dyDescent="0.25">
      <c r="A719" s="265" t="s">
        <v>5</v>
      </c>
      <c r="B719" s="269" t="s">
        <v>617</v>
      </c>
      <c r="C719" s="262">
        <f>C702</f>
        <v>1105</v>
      </c>
      <c r="D719" s="265" t="s">
        <v>35</v>
      </c>
      <c r="E719" s="304">
        <f>E441</f>
        <v>1400</v>
      </c>
      <c r="F719" s="268">
        <f>E719*C719</f>
        <v>1547000</v>
      </c>
    </row>
    <row r="720" spans="1:6" s="269" customFormat="1" ht="24" customHeight="1" x14ac:dyDescent="0.25">
      <c r="A720" s="265" t="s">
        <v>6</v>
      </c>
      <c r="B720" s="271" t="s">
        <v>618</v>
      </c>
      <c r="C720" s="262">
        <f>C704</f>
        <v>187</v>
      </c>
      <c r="D720" s="265" t="s">
        <v>22</v>
      </c>
      <c r="E720" s="304">
        <v>550</v>
      </c>
      <c r="F720" s="268">
        <f>E720*C720</f>
        <v>102850</v>
      </c>
    </row>
    <row r="721" spans="1:6" s="269" customFormat="1" x14ac:dyDescent="0.25">
      <c r="A721" s="265" t="s">
        <v>7</v>
      </c>
      <c r="B721" s="271" t="s">
        <v>636</v>
      </c>
      <c r="C721" s="262"/>
      <c r="D721" s="265" t="s">
        <v>35</v>
      </c>
      <c r="E721" s="304">
        <f>E719</f>
        <v>1400</v>
      </c>
      <c r="F721" s="268">
        <f>E721*C721</f>
        <v>0</v>
      </c>
    </row>
    <row r="722" spans="1:6" x14ac:dyDescent="0.25">
      <c r="A722" s="206" t="s">
        <v>8</v>
      </c>
      <c r="B722" s="233" t="s">
        <v>495</v>
      </c>
      <c r="D722" s="206" t="s">
        <v>22</v>
      </c>
      <c r="E722" s="304">
        <f>E720</f>
        <v>550</v>
      </c>
      <c r="F722" s="207">
        <f>E722*C722</f>
        <v>0</v>
      </c>
    </row>
    <row r="723" spans="1:6" s="269" customFormat="1" x14ac:dyDescent="0.25">
      <c r="A723" s="265"/>
      <c r="B723" s="271"/>
      <c r="C723" s="262"/>
      <c r="D723" s="265"/>
      <c r="E723" s="304"/>
      <c r="F723" s="268"/>
    </row>
    <row r="724" spans="1:6" ht="27" customHeight="1" x14ac:dyDescent="0.25">
      <c r="B724" s="210" t="s">
        <v>152</v>
      </c>
    </row>
    <row r="725" spans="1:6" ht="30" x14ac:dyDescent="0.25">
      <c r="B725" s="226" t="s">
        <v>635</v>
      </c>
    </row>
    <row r="726" spans="1:6" x14ac:dyDescent="0.25">
      <c r="A726" s="206" t="s">
        <v>9</v>
      </c>
      <c r="B726" s="233" t="s">
        <v>612</v>
      </c>
      <c r="C726" s="205">
        <f>C719</f>
        <v>1105</v>
      </c>
      <c r="D726" s="206" t="s">
        <v>35</v>
      </c>
      <c r="E726" s="304">
        <f>E448</f>
        <v>2200</v>
      </c>
      <c r="F726" s="207">
        <f>E726*C726</f>
        <v>2431000</v>
      </c>
    </row>
    <row r="727" spans="1:6" s="269" customFormat="1" ht="24" customHeight="1" x14ac:dyDescent="0.25">
      <c r="A727" s="265" t="s">
        <v>10</v>
      </c>
      <c r="B727" s="271" t="s">
        <v>618</v>
      </c>
      <c r="C727" s="262">
        <f>C720</f>
        <v>187</v>
      </c>
      <c r="D727" s="265" t="s">
        <v>22</v>
      </c>
      <c r="E727" s="304">
        <v>900</v>
      </c>
      <c r="F727" s="268">
        <f>E727*C727</f>
        <v>168300</v>
      </c>
    </row>
    <row r="728" spans="1:6" ht="18.95" customHeight="1" x14ac:dyDescent="0.25">
      <c r="A728" s="206" t="s">
        <v>11</v>
      </c>
      <c r="B728" s="218" t="s">
        <v>636</v>
      </c>
      <c r="D728" s="206" t="s">
        <v>35</v>
      </c>
      <c r="F728" s="207">
        <f>E728*C728</f>
        <v>0</v>
      </c>
    </row>
    <row r="729" spans="1:6" x14ac:dyDescent="0.25">
      <c r="A729" s="206" t="s">
        <v>12</v>
      </c>
      <c r="B729" s="218" t="s">
        <v>685</v>
      </c>
      <c r="D729" s="206" t="s">
        <v>22</v>
      </c>
      <c r="E729" s="304">
        <f>E726*0.3</f>
        <v>660</v>
      </c>
      <c r="F729" s="207">
        <f>E729*C729</f>
        <v>0</v>
      </c>
    </row>
    <row r="730" spans="1:6" x14ac:dyDescent="0.25">
      <c r="A730" s="206" t="s">
        <v>13</v>
      </c>
      <c r="B730" s="214" t="s">
        <v>686</v>
      </c>
      <c r="D730" s="206" t="s">
        <v>22</v>
      </c>
      <c r="F730" s="207">
        <f>E730*C730</f>
        <v>0</v>
      </c>
    </row>
    <row r="731" spans="1:6" ht="15.75" customHeight="1" x14ac:dyDescent="0.25"/>
    <row r="732" spans="1:6" ht="13.5" customHeight="1" x14ac:dyDescent="0.25">
      <c r="B732" s="220" t="s">
        <v>525</v>
      </c>
      <c r="C732" s="221"/>
      <c r="D732" s="209"/>
      <c r="E732" s="303" t="s">
        <v>15</v>
      </c>
      <c r="F732" s="285">
        <f>SUM(F713:F731)</f>
        <v>4249150</v>
      </c>
    </row>
    <row r="733" spans="1:6" x14ac:dyDescent="0.25">
      <c r="B733" s="220"/>
      <c r="C733" s="221"/>
      <c r="D733" s="209"/>
      <c r="E733" s="303"/>
      <c r="F733" s="285"/>
    </row>
    <row r="734" spans="1:6" x14ac:dyDescent="0.25">
      <c r="B734" s="210" t="s">
        <v>531</v>
      </c>
      <c r="C734" s="221"/>
      <c r="D734" s="209"/>
      <c r="E734" s="303"/>
      <c r="F734" s="285"/>
    </row>
    <row r="735" spans="1:6" x14ac:dyDescent="0.25">
      <c r="B735" s="210"/>
      <c r="C735" s="221"/>
      <c r="D735" s="209"/>
      <c r="E735" s="303"/>
      <c r="F735" s="285"/>
    </row>
    <row r="736" spans="1:6" x14ac:dyDescent="0.25">
      <c r="B736" s="231" t="s">
        <v>464</v>
      </c>
      <c r="C736" s="221"/>
      <c r="D736" s="209"/>
      <c r="E736" s="304">
        <f>F707</f>
        <v>17806670</v>
      </c>
      <c r="F736" s="285"/>
    </row>
    <row r="737" spans="1:6" x14ac:dyDescent="0.25">
      <c r="B737" s="231"/>
      <c r="C737" s="221"/>
      <c r="D737" s="209"/>
      <c r="F737" s="285"/>
    </row>
    <row r="738" spans="1:6" ht="18.75" customHeight="1" x14ac:dyDescent="0.25">
      <c r="B738" s="231" t="s">
        <v>637</v>
      </c>
      <c r="C738" s="221"/>
      <c r="D738" s="209"/>
      <c r="E738" s="304">
        <f>F732</f>
        <v>4249150</v>
      </c>
      <c r="F738" s="285"/>
    </row>
    <row r="739" spans="1:6" x14ac:dyDescent="0.25">
      <c r="B739" s="220"/>
      <c r="C739" s="221"/>
      <c r="D739" s="209"/>
      <c r="F739" s="285"/>
    </row>
    <row r="740" spans="1:6" ht="12" customHeight="1" x14ac:dyDescent="0.25">
      <c r="B740" s="220"/>
      <c r="C740" s="221"/>
      <c r="D740" s="209"/>
      <c r="E740" s="303"/>
      <c r="F740" s="285"/>
    </row>
    <row r="741" spans="1:6" ht="12" customHeight="1" x14ac:dyDescent="0.25">
      <c r="B741" s="220"/>
      <c r="C741" s="221"/>
      <c r="D741" s="209"/>
      <c r="E741" s="303"/>
      <c r="F741" s="285"/>
    </row>
    <row r="742" spans="1:6" ht="12" customHeight="1" x14ac:dyDescent="0.25">
      <c r="B742" s="210" t="s">
        <v>236</v>
      </c>
      <c r="C742" s="221"/>
      <c r="D742" s="209"/>
      <c r="E742" s="303"/>
      <c r="F742" s="285"/>
    </row>
    <row r="743" spans="1:6" ht="12" customHeight="1" x14ac:dyDescent="0.25">
      <c r="B743" s="220" t="s">
        <v>638</v>
      </c>
      <c r="C743" s="221"/>
      <c r="D743" s="209"/>
      <c r="E743" s="303" t="s">
        <v>15</v>
      </c>
      <c r="F743" s="285">
        <f>SUM(E734:E739)</f>
        <v>22055820</v>
      </c>
    </row>
    <row r="744" spans="1:6" x14ac:dyDescent="0.25">
      <c r="A744" s="209" t="s">
        <v>795</v>
      </c>
      <c r="B744" s="209"/>
      <c r="C744" s="221" t="s">
        <v>773</v>
      </c>
      <c r="D744" s="209" t="s">
        <v>765</v>
      </c>
      <c r="E744" s="303" t="s">
        <v>908</v>
      </c>
      <c r="F744" s="273" t="s">
        <v>768</v>
      </c>
    </row>
    <row r="745" spans="1:6" x14ac:dyDescent="0.25">
      <c r="B745" s="210" t="s">
        <v>639</v>
      </c>
    </row>
    <row r="746" spans="1:6" ht="12.75" customHeight="1" x14ac:dyDescent="0.25">
      <c r="B746" s="210" t="s">
        <v>265</v>
      </c>
    </row>
    <row r="747" spans="1:6" x14ac:dyDescent="0.25">
      <c r="B747" s="219" t="s">
        <v>610</v>
      </c>
    </row>
    <row r="748" spans="1:6" ht="16.149999999999999" customHeight="1" x14ac:dyDescent="0.25">
      <c r="B748" s="211" t="s">
        <v>640</v>
      </c>
    </row>
    <row r="749" spans="1:6" ht="60" x14ac:dyDescent="0.25">
      <c r="B749" s="226" t="s">
        <v>698</v>
      </c>
    </row>
    <row r="750" spans="1:6" x14ac:dyDescent="0.25">
      <c r="A750" s="206" t="s">
        <v>2</v>
      </c>
      <c r="B750" s="214" t="s">
        <v>966</v>
      </c>
      <c r="C750" s="205">
        <v>49</v>
      </c>
      <c r="D750" s="206" t="s">
        <v>35</v>
      </c>
      <c r="E750" s="304">
        <v>5500</v>
      </c>
      <c r="F750" s="207">
        <f>E750*C750</f>
        <v>269500</v>
      </c>
    </row>
    <row r="751" spans="1:6" ht="60" x14ac:dyDescent="0.25">
      <c r="B751" s="224" t="s">
        <v>641</v>
      </c>
      <c r="F751" s="289"/>
    </row>
    <row r="752" spans="1:6" ht="30" x14ac:dyDescent="0.25">
      <c r="A752" s="206" t="s">
        <v>4</v>
      </c>
      <c r="B752" s="218" t="s">
        <v>1017</v>
      </c>
      <c r="C752" s="205">
        <f>114*2</f>
        <v>228</v>
      </c>
      <c r="D752" s="206" t="s">
        <v>35</v>
      </c>
      <c r="E752" s="304">
        <v>7500</v>
      </c>
      <c r="F752" s="207">
        <f t="shared" ref="F752:F757" si="1">E752*C752</f>
        <v>1710000</v>
      </c>
    </row>
    <row r="753" spans="1:6" x14ac:dyDescent="0.25">
      <c r="A753" s="206" t="s">
        <v>5</v>
      </c>
      <c r="B753" s="214" t="s">
        <v>642</v>
      </c>
      <c r="C753" s="205">
        <f>C752*1.1</f>
        <v>250.8</v>
      </c>
      <c r="D753" s="206" t="s">
        <v>22</v>
      </c>
      <c r="E753" s="304">
        <f>E752*0.15</f>
        <v>1125</v>
      </c>
      <c r="F753" s="207">
        <f t="shared" si="1"/>
        <v>282150</v>
      </c>
    </row>
    <row r="754" spans="1:6" x14ac:dyDescent="0.25">
      <c r="A754" s="206" t="s">
        <v>6</v>
      </c>
      <c r="B754" s="218" t="s">
        <v>1018</v>
      </c>
      <c r="C754" s="205">
        <f>133*2</f>
        <v>266</v>
      </c>
      <c r="D754" s="206" t="s">
        <v>35</v>
      </c>
      <c r="E754" s="304">
        <v>7500</v>
      </c>
      <c r="F754" s="207">
        <f t="shared" si="1"/>
        <v>1995000</v>
      </c>
    </row>
    <row r="755" spans="1:6" x14ac:dyDescent="0.25">
      <c r="A755" s="206" t="s">
        <v>7</v>
      </c>
      <c r="B755" s="214" t="s">
        <v>642</v>
      </c>
      <c r="C755" s="205">
        <f>C754*1.1</f>
        <v>292.60000000000002</v>
      </c>
      <c r="D755" s="206" t="s">
        <v>22</v>
      </c>
      <c r="E755" s="304">
        <f>E754*0.15</f>
        <v>1125</v>
      </c>
      <c r="F755" s="207">
        <f t="shared" si="1"/>
        <v>329175</v>
      </c>
    </row>
    <row r="756" spans="1:6" ht="30" x14ac:dyDescent="0.25">
      <c r="A756" s="240" t="s">
        <v>8</v>
      </c>
      <c r="B756" s="218" t="s">
        <v>1019</v>
      </c>
      <c r="C756" s="239">
        <f>159*2</f>
        <v>318</v>
      </c>
      <c r="D756" s="240" t="s">
        <v>35</v>
      </c>
      <c r="E756" s="305">
        <f>E754</f>
        <v>7500</v>
      </c>
      <c r="F756" s="241">
        <f t="shared" si="1"/>
        <v>2385000</v>
      </c>
    </row>
    <row r="757" spans="1:6" ht="24" customHeight="1" x14ac:dyDescent="0.25">
      <c r="A757" s="206" t="s">
        <v>9</v>
      </c>
      <c r="B757" s="246" t="s">
        <v>642</v>
      </c>
      <c r="C757" s="205">
        <f>C756*1.1</f>
        <v>349.8</v>
      </c>
      <c r="D757" s="206" t="s">
        <v>22</v>
      </c>
      <c r="E757" s="304">
        <f>E756*0.15</f>
        <v>1125</v>
      </c>
      <c r="F757" s="207">
        <f t="shared" si="1"/>
        <v>393525</v>
      </c>
    </row>
    <row r="758" spans="1:6" ht="9" customHeight="1" x14ac:dyDescent="0.25">
      <c r="B758" s="246"/>
    </row>
    <row r="759" spans="1:6" x14ac:dyDescent="0.25">
      <c r="A759" s="206" t="s">
        <v>10</v>
      </c>
      <c r="B759" s="218" t="s">
        <v>901</v>
      </c>
      <c r="D759" s="206" t="s">
        <v>35</v>
      </c>
      <c r="E759" s="304">
        <f>E754</f>
        <v>7500</v>
      </c>
      <c r="F759" s="207">
        <f>E759*C759</f>
        <v>0</v>
      </c>
    </row>
    <row r="760" spans="1:6" s="236" customFormat="1" ht="27" customHeight="1" x14ac:dyDescent="0.25">
      <c r="A760" s="206" t="s">
        <v>11</v>
      </c>
      <c r="B760" s="214" t="s">
        <v>642</v>
      </c>
      <c r="C760" s="205">
        <f>C759*1.1</f>
        <v>0</v>
      </c>
      <c r="D760" s="206" t="s">
        <v>22</v>
      </c>
      <c r="E760" s="304">
        <f>E759*0.15</f>
        <v>1125</v>
      </c>
      <c r="F760" s="207">
        <f>E760*C760</f>
        <v>0</v>
      </c>
    </row>
    <row r="761" spans="1:6" s="260" customFormat="1" ht="35.450000000000003" customHeight="1" x14ac:dyDescent="0.25">
      <c r="A761" s="206"/>
      <c r="B761" s="234" t="s">
        <v>644</v>
      </c>
      <c r="C761" s="205"/>
      <c r="D761" s="206"/>
      <c r="E761" s="304"/>
      <c r="F761" s="288"/>
    </row>
    <row r="762" spans="1:6" ht="24" customHeight="1" x14ac:dyDescent="0.25">
      <c r="B762" s="219" t="s">
        <v>645</v>
      </c>
      <c r="F762" s="288"/>
    </row>
    <row r="763" spans="1:6" ht="18.95" customHeight="1" x14ac:dyDescent="0.25">
      <c r="A763" s="206" t="s">
        <v>12</v>
      </c>
      <c r="B763" s="214" t="s">
        <v>646</v>
      </c>
      <c r="C763" s="205">
        <f>C759+C756+C754+C752+C750</f>
        <v>861</v>
      </c>
      <c r="D763" s="206" t="s">
        <v>35</v>
      </c>
      <c r="E763" s="304">
        <v>4200</v>
      </c>
      <c r="F763" s="207">
        <f>E763*C763</f>
        <v>3616200</v>
      </c>
    </row>
    <row r="764" spans="1:6" x14ac:dyDescent="0.25">
      <c r="A764" s="206" t="s">
        <v>13</v>
      </c>
      <c r="B764" s="214" t="s">
        <v>627</v>
      </c>
      <c r="C764" s="205">
        <f>C757+C755+C753+C760</f>
        <v>893.2</v>
      </c>
      <c r="D764" s="206" t="s">
        <v>22</v>
      </c>
      <c r="E764" s="304">
        <f>E763*0.15</f>
        <v>630</v>
      </c>
      <c r="F764" s="207">
        <f>E764*C764</f>
        <v>562716</v>
      </c>
    </row>
    <row r="765" spans="1:6" ht="4.9000000000000004" customHeight="1" x14ac:dyDescent="0.25"/>
    <row r="766" spans="1:6" ht="15.75" customHeight="1" x14ac:dyDescent="0.25">
      <c r="B766" s="242" t="s">
        <v>628</v>
      </c>
      <c r="F766" s="227"/>
    </row>
    <row r="767" spans="1:6" ht="13.5" customHeight="1" x14ac:dyDescent="0.25">
      <c r="B767" s="224" t="s">
        <v>647</v>
      </c>
      <c r="F767" s="288"/>
    </row>
    <row r="768" spans="1:6" ht="13.5" customHeight="1" x14ac:dyDescent="0.25">
      <c r="B768" s="224"/>
      <c r="F768" s="288"/>
    </row>
    <row r="769" spans="1:6" ht="16.5" customHeight="1" x14ac:dyDescent="0.25">
      <c r="B769" s="210" t="s">
        <v>1020</v>
      </c>
      <c r="F769" s="227"/>
    </row>
    <row r="770" spans="1:6" ht="30" x14ac:dyDescent="0.25">
      <c r="A770" s="206" t="s">
        <v>14</v>
      </c>
      <c r="B770" s="218" t="s">
        <v>1021</v>
      </c>
      <c r="C770" s="205">
        <v>79</v>
      </c>
      <c r="D770" s="206" t="s">
        <v>35</v>
      </c>
      <c r="E770" s="304">
        <v>7500</v>
      </c>
      <c r="F770" s="207">
        <f>E770*C770</f>
        <v>592500</v>
      </c>
    </row>
    <row r="771" spans="1:6" x14ac:dyDescent="0.25">
      <c r="A771" s="206" t="s">
        <v>15</v>
      </c>
      <c r="B771" s="214" t="s">
        <v>642</v>
      </c>
      <c r="C771" s="205">
        <f>C770*1.1</f>
        <v>86.9</v>
      </c>
      <c r="D771" s="206" t="s">
        <v>22</v>
      </c>
      <c r="E771" s="304">
        <f>E770*0.075</f>
        <v>562.5</v>
      </c>
      <c r="F771" s="207">
        <f>E771*C771</f>
        <v>48881.25</v>
      </c>
    </row>
    <row r="772" spans="1:6" ht="33" x14ac:dyDescent="0.25">
      <c r="B772" s="234" t="s">
        <v>648</v>
      </c>
      <c r="F772" s="227"/>
    </row>
    <row r="773" spans="1:6" x14ac:dyDescent="0.25">
      <c r="B773" s="224" t="s">
        <v>645</v>
      </c>
      <c r="F773" s="227"/>
    </row>
    <row r="774" spans="1:6" ht="18.75" customHeight="1" x14ac:dyDescent="0.25">
      <c r="A774" s="206" t="s">
        <v>16</v>
      </c>
      <c r="B774" s="214" t="s">
        <v>649</v>
      </c>
      <c r="C774" s="205">
        <f>C770</f>
        <v>79</v>
      </c>
      <c r="D774" s="206" t="s">
        <v>35</v>
      </c>
      <c r="E774" s="304">
        <f>E763</f>
        <v>4200</v>
      </c>
      <c r="F774" s="207">
        <f>E774*C774</f>
        <v>331800</v>
      </c>
    </row>
    <row r="775" spans="1:6" x14ac:dyDescent="0.25">
      <c r="A775" s="206" t="s">
        <v>17</v>
      </c>
      <c r="B775" s="214" t="s">
        <v>627</v>
      </c>
      <c r="C775" s="205">
        <f>C771</f>
        <v>86.9</v>
      </c>
      <c r="D775" s="206" t="s">
        <v>22</v>
      </c>
      <c r="E775" s="304">
        <f>E774*0.075</f>
        <v>315</v>
      </c>
      <c r="F775" s="207">
        <f>E775*C775</f>
        <v>27373.5</v>
      </c>
    </row>
    <row r="776" spans="1:6" ht="13.5" customHeight="1" x14ac:dyDescent="0.25">
      <c r="B776" s="224"/>
      <c r="F776" s="288"/>
    </row>
    <row r="780" spans="1:6" x14ac:dyDescent="0.25">
      <c r="B780" s="210" t="s">
        <v>265</v>
      </c>
    </row>
    <row r="781" spans="1:6" ht="12.75" customHeight="1" x14ac:dyDescent="0.25">
      <c r="B781" s="220" t="s">
        <v>534</v>
      </c>
      <c r="C781" s="221"/>
      <c r="D781" s="209"/>
      <c r="E781" s="303" t="s">
        <v>15</v>
      </c>
      <c r="F781" s="285">
        <f>SUM(F749:F780)</f>
        <v>12543820.75</v>
      </c>
    </row>
    <row r="782" spans="1:6" x14ac:dyDescent="0.25">
      <c r="A782" s="209" t="s">
        <v>795</v>
      </c>
      <c r="B782" s="209"/>
      <c r="C782" s="221" t="s">
        <v>773</v>
      </c>
      <c r="D782" s="209" t="s">
        <v>765</v>
      </c>
      <c r="E782" s="303" t="s">
        <v>908</v>
      </c>
      <c r="F782" s="273" t="s">
        <v>768</v>
      </c>
    </row>
    <row r="783" spans="1:6" ht="12" customHeight="1" x14ac:dyDescent="0.25">
      <c r="B783" s="210" t="s">
        <v>650</v>
      </c>
    </row>
    <row r="784" spans="1:6" ht="12" customHeight="1" x14ac:dyDescent="0.25">
      <c r="B784" s="210"/>
    </row>
    <row r="785" spans="1:6" ht="12" customHeight="1" x14ac:dyDescent="0.25">
      <c r="B785" s="210" t="s">
        <v>281</v>
      </c>
    </row>
    <row r="786" spans="1:6" ht="12" customHeight="1" x14ac:dyDescent="0.25">
      <c r="B786" s="210"/>
    </row>
    <row r="787" spans="1:6" ht="12" customHeight="1" x14ac:dyDescent="0.25">
      <c r="B787" s="210" t="s">
        <v>282</v>
      </c>
    </row>
    <row r="788" spans="1:6" ht="12" customHeight="1" x14ac:dyDescent="0.25">
      <c r="B788" s="210"/>
    </row>
    <row r="789" spans="1:6" ht="12" customHeight="1" x14ac:dyDescent="0.25">
      <c r="B789" s="220" t="s">
        <v>629</v>
      </c>
      <c r="F789" s="289"/>
    </row>
    <row r="790" spans="1:6" x14ac:dyDescent="0.25">
      <c r="B790" s="224" t="s">
        <v>651</v>
      </c>
      <c r="F790" s="289"/>
    </row>
    <row r="791" spans="1:6" x14ac:dyDescent="0.25">
      <c r="A791" s="206" t="s">
        <v>2</v>
      </c>
      <c r="B791" s="214" t="s">
        <v>285</v>
      </c>
      <c r="D791" s="206" t="s">
        <v>35</v>
      </c>
      <c r="E791" s="304">
        <f>E702</f>
        <v>3500</v>
      </c>
      <c r="F791" s="207">
        <f>E791*C791</f>
        <v>0</v>
      </c>
    </row>
    <row r="792" spans="1:6" ht="12" customHeight="1" x14ac:dyDescent="0.25">
      <c r="B792" s="220" t="s">
        <v>614</v>
      </c>
      <c r="F792" s="289"/>
    </row>
    <row r="793" spans="1:6" x14ac:dyDescent="0.25">
      <c r="B793" s="220" t="s">
        <v>687</v>
      </c>
      <c r="F793" s="289"/>
    </row>
    <row r="794" spans="1:6" x14ac:dyDescent="0.25">
      <c r="A794" s="206" t="s">
        <v>4</v>
      </c>
      <c r="B794" s="214" t="s">
        <v>688</v>
      </c>
      <c r="C794" s="205">
        <f>C774+C763</f>
        <v>940</v>
      </c>
      <c r="D794" s="206" t="s">
        <v>35</v>
      </c>
      <c r="E794" s="304">
        <v>13200</v>
      </c>
      <c r="F794" s="207">
        <f>E794*C794</f>
        <v>12408000</v>
      </c>
    </row>
    <row r="796" spans="1:6" x14ac:dyDescent="0.25">
      <c r="B796" s="220" t="s">
        <v>653</v>
      </c>
      <c r="F796" s="289"/>
    </row>
    <row r="797" spans="1:6" ht="19.5" customHeight="1" x14ac:dyDescent="0.25">
      <c r="B797" s="272" t="s">
        <v>654</v>
      </c>
    </row>
    <row r="798" spans="1:6" ht="16.5" customHeight="1" x14ac:dyDescent="0.25">
      <c r="A798" s="206" t="s">
        <v>5</v>
      </c>
      <c r="B798" s="214" t="s">
        <v>287</v>
      </c>
      <c r="C798" s="205">
        <f>172*3.6</f>
        <v>619.20000000000005</v>
      </c>
      <c r="D798" s="206" t="s">
        <v>22</v>
      </c>
      <c r="E798" s="304">
        <v>550</v>
      </c>
      <c r="F798" s="207">
        <f>E798*C798</f>
        <v>340560</v>
      </c>
    </row>
    <row r="799" spans="1:6" ht="15.75" customHeight="1" x14ac:dyDescent="0.25">
      <c r="B799" s="220" t="s">
        <v>152</v>
      </c>
      <c r="F799" s="289"/>
    </row>
    <row r="800" spans="1:6" ht="30" x14ac:dyDescent="0.25">
      <c r="B800" s="218" t="s">
        <v>655</v>
      </c>
      <c r="F800" s="289"/>
    </row>
    <row r="801" spans="1:6" ht="17.25" customHeight="1" x14ac:dyDescent="0.25">
      <c r="A801" s="206" t="s">
        <v>6</v>
      </c>
      <c r="B801" s="214" t="s">
        <v>656</v>
      </c>
      <c r="C801" s="205">
        <f>C794</f>
        <v>940</v>
      </c>
      <c r="D801" s="206" t="s">
        <v>35</v>
      </c>
      <c r="E801" s="304">
        <f>E690</f>
        <v>2200</v>
      </c>
      <c r="F801" s="207">
        <f>E801*C801</f>
        <v>2068000</v>
      </c>
    </row>
    <row r="802" spans="1:6" ht="17.25" customHeight="1" x14ac:dyDescent="0.25"/>
    <row r="803" spans="1:6" ht="17.25" customHeight="1" x14ac:dyDescent="0.25"/>
    <row r="804" spans="1:6" ht="17.25" customHeight="1" x14ac:dyDescent="0.25"/>
    <row r="805" spans="1:6" x14ac:dyDescent="0.25">
      <c r="B805" s="215"/>
      <c r="F805" s="289"/>
    </row>
    <row r="806" spans="1:6" x14ac:dyDescent="0.25">
      <c r="B806" s="215"/>
      <c r="F806" s="289"/>
    </row>
    <row r="807" spans="1:6" x14ac:dyDescent="0.25">
      <c r="B807" s="215"/>
      <c r="F807" s="289"/>
    </row>
    <row r="808" spans="1:6" x14ac:dyDescent="0.25">
      <c r="B808" s="215"/>
      <c r="F808" s="289"/>
    </row>
    <row r="809" spans="1:6" x14ac:dyDescent="0.25">
      <c r="B809" s="210" t="s">
        <v>281</v>
      </c>
      <c r="C809" s="221"/>
      <c r="D809" s="209"/>
      <c r="E809" s="303"/>
      <c r="F809" s="222"/>
    </row>
    <row r="810" spans="1:6" x14ac:dyDescent="0.25">
      <c r="B810" s="220" t="s">
        <v>534</v>
      </c>
      <c r="C810" s="221"/>
      <c r="D810" s="209"/>
      <c r="E810" s="303" t="s">
        <v>15</v>
      </c>
      <c r="F810" s="285">
        <f>SUM(F789:F809)</f>
        <v>14816560</v>
      </c>
    </row>
    <row r="811" spans="1:6" x14ac:dyDescent="0.25">
      <c r="A811" s="209" t="s">
        <v>795</v>
      </c>
      <c r="B811" s="209"/>
      <c r="C811" s="221" t="s">
        <v>773</v>
      </c>
      <c r="D811" s="209" t="s">
        <v>765</v>
      </c>
      <c r="E811" s="303" t="s">
        <v>908</v>
      </c>
      <c r="F811" s="273" t="s">
        <v>768</v>
      </c>
    </row>
    <row r="812" spans="1:6" s="482" customFormat="1" ht="18.75" x14ac:dyDescent="0.3">
      <c r="A812" s="197"/>
      <c r="B812" s="292" t="s">
        <v>791</v>
      </c>
      <c r="C812" s="293"/>
      <c r="D812" s="294"/>
      <c r="E812" s="295"/>
      <c r="F812" s="296"/>
    </row>
    <row r="813" spans="1:6" s="482" customFormat="1" ht="15" customHeight="1" x14ac:dyDescent="0.3">
      <c r="A813" s="197"/>
      <c r="B813" s="292" t="s">
        <v>657</v>
      </c>
      <c r="C813" s="293"/>
      <c r="D813" s="294"/>
      <c r="E813" s="295"/>
      <c r="F813" s="296"/>
    </row>
    <row r="814" spans="1:6" s="482" customFormat="1" ht="15" customHeight="1" x14ac:dyDescent="0.3">
      <c r="A814" s="197"/>
      <c r="B814" s="292"/>
      <c r="C814" s="293"/>
      <c r="D814" s="294"/>
      <c r="E814" s="295"/>
      <c r="F814" s="296"/>
    </row>
    <row r="815" spans="1:6" s="482" customFormat="1" ht="15" customHeight="1" x14ac:dyDescent="0.3">
      <c r="A815" s="197"/>
      <c r="B815" s="292"/>
      <c r="C815" s="293"/>
      <c r="D815" s="294"/>
      <c r="E815" s="295"/>
      <c r="F815" s="296"/>
    </row>
    <row r="816" spans="1:6" s="214" customFormat="1" ht="30" x14ac:dyDescent="0.3">
      <c r="A816" s="206" t="s">
        <v>2</v>
      </c>
      <c r="B816" s="358" t="s">
        <v>961</v>
      </c>
      <c r="C816" s="331"/>
      <c r="D816" s="206"/>
      <c r="E816" s="333"/>
      <c r="F816" s="360">
        <v>1800000</v>
      </c>
    </row>
    <row r="817" spans="1:6" s="214" customFormat="1" x14ac:dyDescent="0.25">
      <c r="A817" s="206"/>
      <c r="B817" s="220"/>
      <c r="C817" s="331"/>
      <c r="D817" s="206"/>
      <c r="E817" s="333"/>
      <c r="F817" s="332"/>
    </row>
    <row r="818" spans="1:6" s="214" customFormat="1" x14ac:dyDescent="0.25">
      <c r="A818" s="206"/>
      <c r="B818" s="220"/>
      <c r="C818" s="331"/>
      <c r="D818" s="206"/>
      <c r="E818" s="333"/>
      <c r="F818" s="332"/>
    </row>
    <row r="819" spans="1:6" s="214" customFormat="1" x14ac:dyDescent="0.25">
      <c r="A819" s="206"/>
      <c r="B819" s="220"/>
      <c r="C819" s="331"/>
      <c r="D819" s="206"/>
      <c r="E819" s="333"/>
      <c r="F819" s="332"/>
    </row>
    <row r="820" spans="1:6" s="214" customFormat="1" x14ac:dyDescent="0.25">
      <c r="A820" s="206"/>
      <c r="B820" s="220"/>
      <c r="C820" s="331"/>
      <c r="D820" s="206"/>
      <c r="E820" s="333"/>
      <c r="F820" s="332"/>
    </row>
    <row r="821" spans="1:6" s="214" customFormat="1" x14ac:dyDescent="0.25">
      <c r="A821" s="206"/>
      <c r="B821" s="220"/>
      <c r="C821" s="331"/>
      <c r="D821" s="206"/>
      <c r="E821" s="333"/>
      <c r="F821" s="332"/>
    </row>
    <row r="822" spans="1:6" s="214" customFormat="1" x14ac:dyDescent="0.25">
      <c r="A822" s="206"/>
      <c r="B822" s="220"/>
      <c r="C822" s="331"/>
      <c r="D822" s="206"/>
      <c r="E822" s="333"/>
      <c r="F822" s="332"/>
    </row>
    <row r="823" spans="1:6" s="214" customFormat="1" x14ac:dyDescent="0.25">
      <c r="A823" s="206"/>
      <c r="B823" s="220"/>
      <c r="C823" s="331"/>
      <c r="D823" s="206"/>
      <c r="E823" s="333"/>
      <c r="F823" s="332"/>
    </row>
    <row r="824" spans="1:6" s="214" customFormat="1" x14ac:dyDescent="0.25">
      <c r="A824" s="206"/>
      <c r="B824" s="220"/>
      <c r="C824" s="331"/>
      <c r="D824" s="206"/>
      <c r="E824" s="333"/>
      <c r="F824" s="332"/>
    </row>
    <row r="825" spans="1:6" s="214" customFormat="1" x14ac:dyDescent="0.25">
      <c r="A825" s="206"/>
      <c r="B825" s="220"/>
      <c r="C825" s="331"/>
      <c r="D825" s="206"/>
      <c r="E825" s="333"/>
      <c r="F825" s="332"/>
    </row>
    <row r="826" spans="1:6" s="214" customFormat="1" x14ac:dyDescent="0.25">
      <c r="A826" s="206"/>
      <c r="B826" s="220"/>
      <c r="C826" s="331"/>
      <c r="D826" s="206"/>
      <c r="E826" s="333"/>
      <c r="F826" s="332"/>
    </row>
    <row r="827" spans="1:6" s="214" customFormat="1" x14ac:dyDescent="0.25">
      <c r="A827" s="206"/>
      <c r="B827" s="220"/>
      <c r="C827" s="331"/>
      <c r="D827" s="206"/>
      <c r="E827" s="333"/>
      <c r="F827" s="332"/>
    </row>
    <row r="828" spans="1:6" s="214" customFormat="1" x14ac:dyDescent="0.25">
      <c r="A828" s="206"/>
      <c r="B828" s="220"/>
      <c r="C828" s="331"/>
      <c r="D828" s="206"/>
      <c r="E828" s="333"/>
      <c r="F828" s="332"/>
    </row>
    <row r="829" spans="1:6" s="214" customFormat="1" x14ac:dyDescent="0.25">
      <c r="A829" s="206"/>
      <c r="B829" s="220"/>
      <c r="C829" s="331"/>
      <c r="D829" s="206"/>
      <c r="E829" s="333"/>
      <c r="F829" s="332"/>
    </row>
    <row r="830" spans="1:6" s="214" customFormat="1" x14ac:dyDescent="0.25">
      <c r="A830" s="206"/>
      <c r="B830" s="220"/>
      <c r="C830" s="331"/>
      <c r="D830" s="206"/>
      <c r="E830" s="333"/>
      <c r="F830" s="332"/>
    </row>
    <row r="831" spans="1:6" s="214" customFormat="1" x14ac:dyDescent="0.25">
      <c r="A831" s="206"/>
      <c r="B831" s="220"/>
      <c r="C831" s="331"/>
      <c r="D831" s="206"/>
      <c r="E831" s="333"/>
      <c r="F831" s="332"/>
    </row>
    <row r="832" spans="1:6" s="214" customFormat="1" x14ac:dyDescent="0.25">
      <c r="A832" s="206"/>
      <c r="B832" s="220"/>
      <c r="C832" s="331"/>
      <c r="D832" s="206"/>
      <c r="E832" s="333"/>
      <c r="F832" s="332"/>
    </row>
    <row r="833" spans="1:6" s="214" customFormat="1" ht="19.149999999999999" customHeight="1" x14ac:dyDescent="0.25">
      <c r="A833" s="206"/>
      <c r="B833" s="231"/>
      <c r="C833" s="311"/>
      <c r="D833" s="209"/>
      <c r="E833" s="333"/>
      <c r="F833" s="313"/>
    </row>
    <row r="834" spans="1:6" s="214" customFormat="1" ht="19.149999999999999" customHeight="1" x14ac:dyDescent="0.25">
      <c r="A834" s="206"/>
      <c r="B834" s="231"/>
      <c r="C834" s="311"/>
      <c r="D834" s="209"/>
      <c r="E834" s="333"/>
      <c r="F834" s="313"/>
    </row>
    <row r="835" spans="1:6" s="214" customFormat="1" ht="19.149999999999999" customHeight="1" x14ac:dyDescent="0.25">
      <c r="A835" s="206"/>
      <c r="B835" s="231"/>
      <c r="C835" s="311"/>
      <c r="D835" s="209"/>
      <c r="E835" s="333"/>
      <c r="F835" s="313"/>
    </row>
    <row r="836" spans="1:6" s="214" customFormat="1" ht="19.149999999999999" customHeight="1" x14ac:dyDescent="0.25">
      <c r="A836" s="206"/>
      <c r="B836" s="231"/>
      <c r="C836" s="311"/>
      <c r="D836" s="209"/>
      <c r="E836" s="333"/>
      <c r="F836" s="313"/>
    </row>
    <row r="837" spans="1:6" s="214" customFormat="1" ht="19.149999999999999" customHeight="1" x14ac:dyDescent="0.25">
      <c r="A837" s="206"/>
      <c r="B837" s="231"/>
      <c r="C837" s="311"/>
      <c r="D837" s="209"/>
      <c r="E837" s="333"/>
      <c r="F837" s="313"/>
    </row>
    <row r="838" spans="1:6" s="214" customFormat="1" ht="19.149999999999999" customHeight="1" x14ac:dyDescent="0.25">
      <c r="A838" s="206"/>
      <c r="B838" s="231"/>
      <c r="C838" s="311"/>
      <c r="D838" s="209"/>
      <c r="E838" s="333"/>
      <c r="F838" s="313"/>
    </row>
    <row r="839" spans="1:6" s="214" customFormat="1" ht="19.149999999999999" customHeight="1" x14ac:dyDescent="0.25">
      <c r="A839" s="206"/>
      <c r="B839" s="231"/>
      <c r="C839" s="311"/>
      <c r="D839" s="209"/>
      <c r="E839" s="333"/>
      <c r="F839" s="313"/>
    </row>
    <row r="840" spans="1:6" s="214" customFormat="1" ht="19.149999999999999" customHeight="1" x14ac:dyDescent="0.25">
      <c r="A840" s="206"/>
      <c r="B840" s="231"/>
      <c r="C840" s="311"/>
      <c r="D840" s="209"/>
      <c r="E840" s="333"/>
      <c r="F840" s="313"/>
    </row>
    <row r="841" spans="1:6" s="214" customFormat="1" ht="17.25" customHeight="1" x14ac:dyDescent="0.25">
      <c r="A841" s="206"/>
      <c r="B841" s="231"/>
      <c r="C841" s="311"/>
      <c r="D841" s="209"/>
      <c r="E841" s="333"/>
      <c r="F841" s="313"/>
    </row>
    <row r="842" spans="1:6" s="214" customFormat="1" ht="17.25" customHeight="1" x14ac:dyDescent="0.25">
      <c r="A842" s="206"/>
      <c r="B842" s="231"/>
      <c r="C842" s="311"/>
      <c r="D842" s="209"/>
      <c r="E842" s="333"/>
      <c r="F842" s="313"/>
    </row>
    <row r="843" spans="1:6" s="214" customFormat="1" ht="17.25" customHeight="1" x14ac:dyDescent="0.25">
      <c r="A843" s="206"/>
      <c r="B843" s="231"/>
      <c r="C843" s="311"/>
      <c r="D843" s="209"/>
      <c r="E843" s="333"/>
      <c r="F843" s="313"/>
    </row>
    <row r="844" spans="1:6" s="214" customFormat="1" ht="17.25" customHeight="1" x14ac:dyDescent="0.25">
      <c r="A844" s="206"/>
      <c r="B844" s="210" t="s">
        <v>658</v>
      </c>
      <c r="C844" s="311"/>
      <c r="D844" s="209"/>
      <c r="E844" s="333"/>
      <c r="F844" s="313"/>
    </row>
    <row r="845" spans="1:6" s="214" customFormat="1" ht="17.25" customHeight="1" x14ac:dyDescent="0.25">
      <c r="A845" s="206"/>
      <c r="B845" s="220" t="s">
        <v>638</v>
      </c>
      <c r="C845" s="311"/>
      <c r="D845" s="209"/>
      <c r="E845" s="312" t="s">
        <v>15</v>
      </c>
      <c r="F845" s="313">
        <f>F816</f>
        <v>1800000</v>
      </c>
    </row>
    <row r="846" spans="1:6" x14ac:dyDescent="0.25">
      <c r="A846" s="209" t="s">
        <v>795</v>
      </c>
      <c r="B846" s="209"/>
      <c r="C846" s="221" t="s">
        <v>773</v>
      </c>
      <c r="D846" s="209" t="s">
        <v>765</v>
      </c>
      <c r="E846" s="303" t="s">
        <v>908</v>
      </c>
      <c r="F846" s="273" t="s">
        <v>768</v>
      </c>
    </row>
    <row r="847" spans="1:6" s="482" customFormat="1" ht="18.75" x14ac:dyDescent="0.3">
      <c r="A847" s="197"/>
      <c r="B847" s="292" t="s">
        <v>792</v>
      </c>
      <c r="C847" s="202"/>
      <c r="D847" s="197"/>
      <c r="E847" s="299"/>
      <c r="F847" s="201"/>
    </row>
    <row r="848" spans="1:6" s="482" customFormat="1" ht="16.5" customHeight="1" x14ac:dyDescent="0.3">
      <c r="A848" s="197"/>
      <c r="B848" s="202"/>
      <c r="C848" s="202"/>
      <c r="D848" s="197"/>
      <c r="E848" s="299"/>
      <c r="F848" s="201"/>
    </row>
    <row r="849" spans="1:6" s="482" customFormat="1" ht="17.25" customHeight="1" x14ac:dyDescent="0.3">
      <c r="A849" s="197"/>
      <c r="B849" s="300" t="s">
        <v>659</v>
      </c>
      <c r="C849" s="202"/>
      <c r="D849" s="197"/>
      <c r="E849" s="299"/>
      <c r="F849" s="201"/>
    </row>
    <row r="850" spans="1:6" s="482" customFormat="1" ht="17.25" customHeight="1" x14ac:dyDescent="0.3">
      <c r="A850" s="197"/>
      <c r="B850" s="300"/>
      <c r="C850" s="202"/>
      <c r="D850" s="197"/>
      <c r="E850" s="299"/>
      <c r="F850" s="201"/>
    </row>
    <row r="851" spans="1:6" s="513" customFormat="1" ht="17.25" x14ac:dyDescent="0.35">
      <c r="A851" s="354" t="s">
        <v>795</v>
      </c>
      <c r="B851" s="354" t="s">
        <v>764</v>
      </c>
      <c r="C851" s="354" t="s">
        <v>765</v>
      </c>
      <c r="D851" s="354" t="s">
        <v>773</v>
      </c>
      <c r="E851" s="568" t="s">
        <v>767</v>
      </c>
      <c r="F851" s="354" t="s">
        <v>768</v>
      </c>
    </row>
    <row r="852" spans="1:6" s="513" customFormat="1" ht="17.25" x14ac:dyDescent="0.35">
      <c r="A852" s="354"/>
      <c r="B852" s="354"/>
      <c r="C852" s="354"/>
      <c r="D852" s="354"/>
      <c r="E852" s="568"/>
      <c r="F852" s="354"/>
    </row>
    <row r="853" spans="1:6" s="513" customFormat="1" ht="30" x14ac:dyDescent="0.3">
      <c r="A853" s="357" t="s">
        <v>2</v>
      </c>
      <c r="B853" s="358" t="s">
        <v>875</v>
      </c>
      <c r="C853" s="359" t="s">
        <v>36</v>
      </c>
      <c r="E853" s="569"/>
      <c r="F853" s="360">
        <v>8565000</v>
      </c>
    </row>
    <row r="854" spans="1:6" s="513" customFormat="1" x14ac:dyDescent="0.3">
      <c r="A854" s="357"/>
      <c r="B854" s="358"/>
      <c r="C854" s="359"/>
      <c r="E854" s="569"/>
      <c r="F854" s="360"/>
    </row>
    <row r="855" spans="1:6" s="513" customFormat="1" x14ac:dyDescent="0.3">
      <c r="A855" s="357"/>
      <c r="B855" s="358"/>
      <c r="C855" s="359"/>
      <c r="E855" s="569"/>
      <c r="F855" s="360"/>
    </row>
    <row r="856" spans="1:6" s="513" customFormat="1" x14ac:dyDescent="0.3">
      <c r="A856" s="357"/>
      <c r="B856" s="358"/>
      <c r="C856" s="359"/>
      <c r="E856" s="569"/>
      <c r="F856" s="360"/>
    </row>
    <row r="857" spans="1:6" s="513" customFormat="1" x14ac:dyDescent="0.3">
      <c r="A857" s="357"/>
      <c r="B857" s="358"/>
      <c r="C857" s="359"/>
      <c r="E857" s="569"/>
      <c r="F857" s="360"/>
    </row>
    <row r="858" spans="1:6" s="513" customFormat="1" x14ac:dyDescent="0.3">
      <c r="A858" s="357"/>
      <c r="B858" s="358"/>
      <c r="C858" s="359"/>
      <c r="E858" s="569"/>
      <c r="F858" s="360"/>
    </row>
    <row r="859" spans="1:6" s="513" customFormat="1" x14ac:dyDescent="0.3">
      <c r="A859" s="357"/>
      <c r="B859" s="358"/>
      <c r="C859" s="359"/>
      <c r="E859" s="569"/>
      <c r="F859" s="360"/>
    </row>
    <row r="860" spans="1:6" s="513" customFormat="1" x14ac:dyDescent="0.3">
      <c r="A860" s="357"/>
      <c r="B860" s="358"/>
      <c r="C860" s="359"/>
      <c r="E860" s="569"/>
      <c r="F860" s="360"/>
    </row>
    <row r="861" spans="1:6" s="513" customFormat="1" x14ac:dyDescent="0.3">
      <c r="A861" s="357"/>
      <c r="B861" s="358"/>
      <c r="C861" s="359"/>
      <c r="E861" s="569"/>
      <c r="F861" s="360"/>
    </row>
    <row r="862" spans="1:6" s="513" customFormat="1" x14ac:dyDescent="0.3">
      <c r="A862" s="357"/>
      <c r="B862" s="358"/>
      <c r="C862" s="359"/>
      <c r="E862" s="569"/>
      <c r="F862" s="360"/>
    </row>
    <row r="863" spans="1:6" s="513" customFormat="1" x14ac:dyDescent="0.3">
      <c r="A863" s="357"/>
      <c r="B863" s="358"/>
      <c r="C863" s="359"/>
      <c r="E863" s="569"/>
      <c r="F863" s="360"/>
    </row>
    <row r="864" spans="1:6" s="513" customFormat="1" x14ac:dyDescent="0.3">
      <c r="A864" s="357"/>
      <c r="B864" s="358"/>
      <c r="C864" s="359"/>
      <c r="E864" s="569"/>
      <c r="F864" s="360"/>
    </row>
    <row r="865" spans="1:6" s="513" customFormat="1" x14ac:dyDescent="0.3">
      <c r="A865" s="357"/>
      <c r="B865" s="358"/>
      <c r="C865" s="359"/>
      <c r="E865" s="569"/>
      <c r="F865" s="360"/>
    </row>
    <row r="866" spans="1:6" s="513" customFormat="1" x14ac:dyDescent="0.3">
      <c r="A866" s="357"/>
      <c r="B866" s="358"/>
      <c r="C866" s="359"/>
      <c r="E866" s="569"/>
      <c r="F866" s="360"/>
    </row>
    <row r="867" spans="1:6" s="513" customFormat="1" x14ac:dyDescent="0.3">
      <c r="A867" s="357"/>
      <c r="B867" s="358"/>
      <c r="C867" s="359"/>
      <c r="E867" s="569"/>
      <c r="F867" s="360"/>
    </row>
    <row r="868" spans="1:6" s="513" customFormat="1" x14ac:dyDescent="0.3">
      <c r="A868" s="357"/>
      <c r="B868" s="358"/>
      <c r="C868" s="359"/>
      <c r="E868" s="569"/>
      <c r="F868" s="360"/>
    </row>
    <row r="869" spans="1:6" s="513" customFormat="1" x14ac:dyDescent="0.3">
      <c r="A869" s="357"/>
      <c r="B869" s="358"/>
      <c r="C869" s="359"/>
      <c r="E869" s="569"/>
      <c r="F869" s="360"/>
    </row>
    <row r="870" spans="1:6" s="513" customFormat="1" x14ac:dyDescent="0.3">
      <c r="A870" s="357"/>
      <c r="B870" s="358"/>
      <c r="C870" s="359"/>
      <c r="E870" s="569"/>
      <c r="F870" s="360"/>
    </row>
    <row r="871" spans="1:6" s="513" customFormat="1" x14ac:dyDescent="0.3">
      <c r="A871" s="357"/>
      <c r="B871" s="358"/>
      <c r="C871" s="359"/>
      <c r="E871" s="569"/>
      <c r="F871" s="360"/>
    </row>
    <row r="872" spans="1:6" s="513" customFormat="1" x14ac:dyDescent="0.3">
      <c r="A872" s="357"/>
      <c r="B872" s="358"/>
      <c r="C872" s="359"/>
      <c r="E872" s="569"/>
      <c r="F872" s="360"/>
    </row>
    <row r="873" spans="1:6" s="513" customFormat="1" x14ac:dyDescent="0.3">
      <c r="A873" s="357"/>
      <c r="B873" s="358"/>
      <c r="C873" s="359"/>
      <c r="E873" s="569"/>
      <c r="F873" s="360"/>
    </row>
    <row r="874" spans="1:6" s="482" customFormat="1" ht="18.75" x14ac:dyDescent="0.3">
      <c r="A874" s="197"/>
      <c r="B874" s="300" t="s">
        <v>659</v>
      </c>
      <c r="C874" s="202"/>
      <c r="D874" s="197"/>
      <c r="E874" s="299"/>
      <c r="F874" s="201"/>
    </row>
    <row r="875" spans="1:6" s="482" customFormat="1" ht="18" x14ac:dyDescent="0.35">
      <c r="A875" s="297"/>
      <c r="B875" s="293" t="s">
        <v>638</v>
      </c>
      <c r="C875" s="298"/>
      <c r="D875" s="297"/>
      <c r="E875" s="570" t="s">
        <v>15</v>
      </c>
      <c r="F875" s="585">
        <f>SUM(F853:F874)</f>
        <v>8565000</v>
      </c>
    </row>
    <row r="876" spans="1:6" x14ac:dyDescent="0.25">
      <c r="B876" s="211"/>
    </row>
    <row r="877" spans="1:6" x14ac:dyDescent="0.25">
      <c r="B877" s="211"/>
    </row>
    <row r="878" spans="1:6" ht="19.5" customHeight="1" x14ac:dyDescent="0.25">
      <c r="B878" s="211" t="s">
        <v>450</v>
      </c>
    </row>
    <row r="879" spans="1:6" x14ac:dyDescent="0.25">
      <c r="F879" s="273"/>
    </row>
    <row r="880" spans="1:6" ht="15.75" customHeight="1" x14ac:dyDescent="0.25">
      <c r="B880" s="218" t="s">
        <v>533</v>
      </c>
      <c r="E880" s="304">
        <f>F108</f>
        <v>17925945</v>
      </c>
      <c r="F880" s="274"/>
    </row>
    <row r="881" spans="2:6" x14ac:dyDescent="0.25">
      <c r="F881" s="274"/>
    </row>
    <row r="882" spans="2:6" x14ac:dyDescent="0.25">
      <c r="B882" s="214" t="s">
        <v>108</v>
      </c>
      <c r="E882" s="304">
        <f>F153</f>
        <v>21497000</v>
      </c>
      <c r="F882" s="274"/>
    </row>
    <row r="883" spans="2:6" x14ac:dyDescent="0.25">
      <c r="F883" s="274"/>
    </row>
    <row r="884" spans="2:6" x14ac:dyDescent="0.25">
      <c r="B884" s="214" t="s">
        <v>453</v>
      </c>
      <c r="E884" s="304">
        <f>F198</f>
        <v>16864000</v>
      </c>
      <c r="F884" s="274"/>
    </row>
    <row r="885" spans="2:6" x14ac:dyDescent="0.25">
      <c r="C885" s="275"/>
      <c r="D885" s="276"/>
      <c r="F885" s="274"/>
    </row>
    <row r="886" spans="2:6" x14ac:dyDescent="0.25">
      <c r="B886" s="214" t="s">
        <v>125</v>
      </c>
      <c r="E886" s="304">
        <f>F334</f>
        <v>2292020</v>
      </c>
      <c r="F886" s="274"/>
    </row>
    <row r="887" spans="2:6" ht="18" customHeight="1" x14ac:dyDescent="0.25">
      <c r="C887" s="275"/>
      <c r="D887" s="276"/>
      <c r="F887" s="274"/>
    </row>
    <row r="888" spans="2:6" x14ac:dyDescent="0.25">
      <c r="B888" s="214" t="s">
        <v>163</v>
      </c>
      <c r="E888" s="304">
        <f>F469</f>
        <v>12808355</v>
      </c>
      <c r="F888" s="274"/>
    </row>
    <row r="889" spans="2:6" x14ac:dyDescent="0.25">
      <c r="C889" s="275"/>
      <c r="D889" s="276"/>
      <c r="F889" s="274"/>
    </row>
    <row r="890" spans="2:6" x14ac:dyDescent="0.25">
      <c r="B890" s="214" t="s">
        <v>195</v>
      </c>
      <c r="E890" s="304">
        <f>F513</f>
        <v>12863000</v>
      </c>
      <c r="F890" s="274"/>
    </row>
    <row r="891" spans="2:6" x14ac:dyDescent="0.25">
      <c r="F891" s="274"/>
    </row>
    <row r="892" spans="2:6" x14ac:dyDescent="0.25">
      <c r="B892" s="214" t="s">
        <v>602</v>
      </c>
      <c r="E892" s="304">
        <f>F578</f>
        <v>17530920</v>
      </c>
      <c r="F892" s="274"/>
    </row>
    <row r="893" spans="2:6" x14ac:dyDescent="0.25">
      <c r="F893" s="274"/>
    </row>
    <row r="894" spans="2:6" x14ac:dyDescent="0.25">
      <c r="B894" s="214" t="s">
        <v>210</v>
      </c>
      <c r="E894" s="304">
        <f>F619</f>
        <v>4031750</v>
      </c>
      <c r="F894" s="274"/>
    </row>
    <row r="895" spans="2:6" x14ac:dyDescent="0.25">
      <c r="F895" s="274"/>
    </row>
    <row r="896" spans="2:6" x14ac:dyDescent="0.25">
      <c r="B896" s="214" t="s">
        <v>607</v>
      </c>
      <c r="E896" s="304">
        <f>F644</f>
        <v>3838950</v>
      </c>
      <c r="F896" s="274"/>
    </row>
    <row r="897" spans="2:6" x14ac:dyDescent="0.25">
      <c r="C897" s="275"/>
      <c r="D897" s="276"/>
      <c r="F897" s="274"/>
    </row>
    <row r="898" spans="2:6" x14ac:dyDescent="0.25">
      <c r="B898" s="214" t="s">
        <v>902</v>
      </c>
      <c r="E898" s="304">
        <f>F671</f>
        <v>5055500</v>
      </c>
      <c r="F898" s="274"/>
    </row>
    <row r="899" spans="2:6" x14ac:dyDescent="0.25">
      <c r="F899" s="274"/>
    </row>
    <row r="900" spans="2:6" x14ac:dyDescent="0.25">
      <c r="B900" s="214" t="s">
        <v>236</v>
      </c>
      <c r="E900" s="304">
        <f>F707</f>
        <v>17806670</v>
      </c>
      <c r="F900" s="274"/>
    </row>
    <row r="901" spans="2:6" x14ac:dyDescent="0.25">
      <c r="F901" s="274"/>
    </row>
    <row r="902" spans="2:6" x14ac:dyDescent="0.25">
      <c r="B902" s="214" t="s">
        <v>689</v>
      </c>
      <c r="E902" s="304">
        <f>F781</f>
        <v>12543820.75</v>
      </c>
      <c r="F902" s="274"/>
    </row>
    <row r="903" spans="2:6" x14ac:dyDescent="0.25">
      <c r="F903" s="274"/>
    </row>
    <row r="904" spans="2:6" x14ac:dyDescent="0.25">
      <c r="B904" s="214" t="s">
        <v>690</v>
      </c>
      <c r="E904" s="304">
        <f>F810</f>
        <v>14816560</v>
      </c>
      <c r="F904" s="274"/>
    </row>
    <row r="905" spans="2:6" x14ac:dyDescent="0.25">
      <c r="F905" s="274"/>
    </row>
    <row r="906" spans="2:6" x14ac:dyDescent="0.25">
      <c r="B906" s="214" t="s">
        <v>658</v>
      </c>
      <c r="E906" s="304">
        <f>F845</f>
        <v>1800000</v>
      </c>
      <c r="F906" s="274"/>
    </row>
    <row r="907" spans="2:6" x14ac:dyDescent="0.25">
      <c r="C907" s="275"/>
      <c r="D907" s="276"/>
      <c r="F907" s="274"/>
    </row>
    <row r="908" spans="2:6" x14ac:dyDescent="0.25">
      <c r="B908" s="214" t="s">
        <v>659</v>
      </c>
      <c r="C908" s="277"/>
      <c r="E908" s="304">
        <f>F875</f>
        <v>8565000</v>
      </c>
      <c r="F908" s="274"/>
    </row>
    <row r="909" spans="2:6" x14ac:dyDescent="0.25">
      <c r="C909" s="277"/>
      <c r="F909" s="274"/>
    </row>
    <row r="910" spans="2:6" x14ac:dyDescent="0.25">
      <c r="B910" s="278" t="s">
        <v>987</v>
      </c>
      <c r="C910" s="279"/>
      <c r="D910" s="280"/>
      <c r="E910" s="309"/>
      <c r="F910" s="274"/>
    </row>
    <row r="911" spans="2:6" ht="17.25" customHeight="1" x14ac:dyDescent="0.25">
      <c r="B911" s="220" t="s">
        <v>660</v>
      </c>
      <c r="D911" s="276" t="s">
        <v>20</v>
      </c>
      <c r="E911" s="310"/>
      <c r="F911" s="222">
        <f>SUM(E880:E910)</f>
        <v>170239490.75</v>
      </c>
    </row>
    <row r="912" spans="2:6" ht="19.5" customHeight="1" x14ac:dyDescent="0.25">
      <c r="B912" s="220" t="s">
        <v>692</v>
      </c>
      <c r="F912" s="281">
        <f>F911*5%</f>
        <v>8511974.5374999996</v>
      </c>
    </row>
    <row r="913" spans="2:6" ht="19.5" customHeight="1" x14ac:dyDescent="0.25">
      <c r="B913" s="220" t="s">
        <v>474</v>
      </c>
      <c r="F913" s="222">
        <f>SUM(F911:F912)</f>
        <v>178751465.28749999</v>
      </c>
    </row>
    <row r="914" spans="2:6" ht="19.5" customHeight="1" x14ac:dyDescent="0.25">
      <c r="B914" s="220" t="s">
        <v>693</v>
      </c>
      <c r="F914" s="222">
        <f>F913*5%</f>
        <v>8937573.2643749993</v>
      </c>
    </row>
    <row r="915" spans="2:6" ht="19.5" customHeight="1" x14ac:dyDescent="0.25">
      <c r="B915" s="220"/>
      <c r="F915" s="282">
        <f>SUM(F913:F914)</f>
        <v>187689038.551875</v>
      </c>
    </row>
    <row r="916" spans="2:6" x14ac:dyDescent="0.25">
      <c r="B916" s="220" t="s">
        <v>477</v>
      </c>
      <c r="F916" s="281">
        <f>F915*7.5%</f>
        <v>14076677.891390624</v>
      </c>
    </row>
    <row r="917" spans="2:6" ht="17.25" customHeight="1" thickBot="1" x14ac:dyDescent="0.3">
      <c r="B917" s="210" t="s">
        <v>1022</v>
      </c>
      <c r="E917" s="303" t="s">
        <v>15</v>
      </c>
      <c r="F917" s="283">
        <f>SUM(F915:F916)</f>
        <v>201765716.44326562</v>
      </c>
    </row>
    <row r="918" spans="2:6" ht="17.25" customHeight="1" thickTop="1" x14ac:dyDescent="0.25">
      <c r="B918" s="220" t="s">
        <v>695</v>
      </c>
    </row>
    <row r="919" spans="2:6" ht="17.25" customHeight="1" x14ac:dyDescent="0.25">
      <c r="B919" s="220"/>
    </row>
    <row r="920" spans="2:6" ht="17.25" customHeight="1" x14ac:dyDescent="0.25"/>
    <row r="921" spans="2:6" ht="20.45" customHeight="1" x14ac:dyDescent="0.25"/>
    <row r="922" spans="2:6" ht="17.25" customHeight="1" x14ac:dyDescent="0.25">
      <c r="B922" s="220"/>
      <c r="E922" s="303"/>
    </row>
    <row r="923" spans="2:6" ht="17.25" hidden="1" customHeight="1" x14ac:dyDescent="0.25">
      <c r="B923" s="218"/>
    </row>
    <row r="924" spans="2:6" ht="17.25" hidden="1" customHeight="1" x14ac:dyDescent="0.25">
      <c r="B924" s="220" t="s">
        <v>471</v>
      </c>
      <c r="C924" s="221">
        <v>1142</v>
      </c>
      <c r="D924" s="209" t="s">
        <v>472</v>
      </c>
    </row>
    <row r="925" spans="2:6" ht="17.25" hidden="1" customHeight="1" x14ac:dyDescent="0.25">
      <c r="B925" s="220" t="s">
        <v>661</v>
      </c>
      <c r="E925" s="303">
        <f>F917/C924</f>
        <v>176677.51002037269</v>
      </c>
    </row>
    <row r="926" spans="2:6" ht="17.25" customHeight="1" x14ac:dyDescent="0.25"/>
    <row r="927" spans="2:6" ht="17.25" customHeight="1" x14ac:dyDescent="0.25"/>
    <row r="938" spans="1:6" x14ac:dyDescent="0.25">
      <c r="B938" s="214" t="s">
        <v>696</v>
      </c>
    </row>
    <row r="941" spans="1:6" s="223" customFormat="1" x14ac:dyDescent="0.25">
      <c r="A941" s="206"/>
      <c r="B941" s="214"/>
      <c r="C941" s="205"/>
      <c r="D941" s="206"/>
      <c r="E941" s="304"/>
      <c r="F941" s="207"/>
    </row>
    <row r="942" spans="1:6" s="223" customFormat="1" x14ac:dyDescent="0.25">
      <c r="A942" s="206"/>
      <c r="B942" s="214"/>
      <c r="C942" s="205"/>
      <c r="D942" s="206"/>
      <c r="E942" s="304"/>
      <c r="F942" s="207"/>
    </row>
    <row r="943" spans="1:6" s="223" customFormat="1" x14ac:dyDescent="0.25">
      <c r="A943" s="206"/>
      <c r="B943" s="214"/>
      <c r="C943" s="205"/>
      <c r="D943" s="206"/>
      <c r="E943" s="304"/>
      <c r="F943" s="207"/>
    </row>
    <row r="944" spans="1:6" s="223" customFormat="1" x14ac:dyDescent="0.25">
      <c r="A944" s="206"/>
      <c r="B944" s="214"/>
      <c r="C944" s="205"/>
      <c r="D944" s="206"/>
      <c r="E944" s="304"/>
      <c r="F944" s="207"/>
    </row>
    <row r="945" spans="1:6" s="223" customFormat="1" x14ac:dyDescent="0.25">
      <c r="A945" s="206"/>
      <c r="B945" s="214"/>
      <c r="C945" s="205"/>
      <c r="D945" s="206"/>
      <c r="E945" s="304"/>
      <c r="F945" s="207"/>
    </row>
    <row r="946" spans="1:6" s="223" customFormat="1" x14ac:dyDescent="0.25">
      <c r="A946" s="206"/>
      <c r="B946" s="214"/>
      <c r="C946" s="205"/>
      <c r="D946" s="206"/>
      <c r="E946" s="304"/>
      <c r="F946" s="207"/>
    </row>
    <row r="970" spans="1:6" s="223" customFormat="1" x14ac:dyDescent="0.25">
      <c r="A970" s="206"/>
      <c r="B970" s="214"/>
      <c r="C970" s="205"/>
      <c r="D970" s="206"/>
      <c r="E970" s="304"/>
      <c r="F970" s="207"/>
    </row>
    <row r="971" spans="1:6" ht="21" customHeight="1" x14ac:dyDescent="0.25"/>
    <row r="1008" spans="1:6" s="223" customFormat="1" x14ac:dyDescent="0.25">
      <c r="A1008" s="206"/>
      <c r="B1008" s="214"/>
      <c r="C1008" s="205"/>
      <c r="D1008" s="206"/>
      <c r="E1008" s="304"/>
      <c r="F1008" s="207"/>
    </row>
    <row r="1009" spans="1:6" s="223" customFormat="1" x14ac:dyDescent="0.25">
      <c r="A1009" s="206"/>
      <c r="B1009" s="214"/>
      <c r="C1009" s="205"/>
      <c r="D1009" s="206"/>
      <c r="E1009" s="304"/>
      <c r="F1009" s="207"/>
    </row>
    <row r="1040" spans="1:6" s="223" customFormat="1" x14ac:dyDescent="0.25">
      <c r="A1040" s="206"/>
      <c r="B1040" s="214"/>
      <c r="C1040" s="205"/>
      <c r="D1040" s="206"/>
      <c r="E1040" s="304"/>
      <c r="F1040" s="207"/>
    </row>
    <row r="1041" spans="1:6" s="223" customFormat="1" x14ac:dyDescent="0.25">
      <c r="A1041" s="206"/>
      <c r="B1041" s="214"/>
      <c r="C1041" s="205"/>
      <c r="D1041" s="206"/>
      <c r="E1041" s="304"/>
      <c r="F1041" s="207"/>
    </row>
  </sheetData>
  <printOptions gridLines="1"/>
  <pageMargins left="0.74803149606299213" right="0.74803149606299213" top="0.98425196850393704" bottom="0.98425196850393704" header="0.51181102362204722" footer="0.51181102362204722"/>
  <pageSetup paperSize="9" scale="61" orientation="portrait" r:id="rId1"/>
  <headerFooter alignWithMargins="0">
    <oddFooter>&amp;R&amp;"Comic Sans MS,Bold Italic"Page /&amp;P</oddFooter>
  </headerFooter>
  <rowBreaks count="22" manualBreakCount="22">
    <brk id="31" max="5" man="1"/>
    <brk id="70" max="5" man="1"/>
    <brk id="108" max="5" man="1"/>
    <brk id="153" max="5" man="1"/>
    <brk id="198" max="5" man="1"/>
    <brk id="244" max="5" man="1"/>
    <brk id="289" max="5" man="1"/>
    <brk id="334" max="5" man="1"/>
    <brk id="380" max="5" man="1"/>
    <brk id="425" max="5" man="1"/>
    <brk id="469" max="5" man="1"/>
    <brk id="513" max="5" man="1"/>
    <brk id="578" max="5" man="1"/>
    <brk id="619" max="5" man="1"/>
    <brk id="644" max="5" man="1"/>
    <brk id="671" max="5" man="1"/>
    <brk id="707" max="5" man="1"/>
    <brk id="743" max="5" man="1"/>
    <brk id="781" max="5" man="1"/>
    <brk id="810" max="5" man="1"/>
    <brk id="845" max="5" man="1"/>
    <brk id="87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2954-80F7-477E-A26E-AB78C3934D0E}">
  <dimension ref="A1:J29"/>
  <sheetViews>
    <sheetView view="pageBreakPreview" topLeftCell="A14" zoomScaleNormal="96" zoomScaleSheetLayoutView="100" workbookViewId="0">
      <selection activeCell="A5" sqref="A5:J10"/>
    </sheetView>
  </sheetViews>
  <sheetFormatPr defaultColWidth="11.42578125" defaultRowHeight="26.25" x14ac:dyDescent="0.4"/>
  <cols>
    <col min="1" max="1" width="8.5703125" style="388" customWidth="1"/>
    <col min="2" max="2" width="14.42578125" style="388" customWidth="1"/>
    <col min="3" max="7" width="11.42578125" style="388"/>
    <col min="8" max="8" width="14.85546875" style="388" customWidth="1"/>
    <col min="9" max="16384" width="11.42578125" style="388"/>
  </cols>
  <sheetData>
    <row r="1" spans="1:10" ht="31.5" x14ac:dyDescent="0.4">
      <c r="A1" s="582"/>
      <c r="B1" s="582"/>
      <c r="C1" s="582"/>
      <c r="D1" s="582"/>
      <c r="E1" s="582"/>
      <c r="F1" s="582"/>
      <c r="G1" s="582"/>
      <c r="H1" s="582"/>
      <c r="I1" s="582"/>
      <c r="J1" s="582"/>
    </row>
    <row r="2" spans="1:10" ht="17.25" customHeight="1" x14ac:dyDescent="0.5">
      <c r="A2" s="389"/>
      <c r="B2" s="389"/>
      <c r="C2" s="389"/>
      <c r="D2" s="389"/>
      <c r="E2" s="389"/>
      <c r="F2" s="389"/>
      <c r="G2" s="389"/>
      <c r="H2" s="389"/>
      <c r="I2" s="390"/>
      <c r="J2" s="390"/>
    </row>
    <row r="3" spans="1:10" ht="31.5" x14ac:dyDescent="0.4">
      <c r="A3" s="582"/>
      <c r="B3" s="582"/>
      <c r="C3" s="582"/>
      <c r="D3" s="582"/>
      <c r="E3" s="582"/>
      <c r="F3" s="582"/>
      <c r="G3" s="582"/>
      <c r="H3" s="582"/>
      <c r="I3" s="582"/>
      <c r="J3" s="582"/>
    </row>
    <row r="4" spans="1:10" ht="13.5" customHeight="1" x14ac:dyDescent="0.5">
      <c r="A4" s="389"/>
      <c r="B4" s="389"/>
      <c r="C4" s="389"/>
      <c r="D4" s="389"/>
      <c r="E4" s="389"/>
      <c r="F4" s="389"/>
      <c r="G4" s="389"/>
      <c r="H4" s="389"/>
      <c r="I4" s="390"/>
      <c r="J4" s="390"/>
    </row>
    <row r="5" spans="1:10" ht="21" customHeight="1" x14ac:dyDescent="0.4">
      <c r="A5" s="583" t="s">
        <v>1023</v>
      </c>
      <c r="B5" s="583"/>
      <c r="C5" s="583"/>
      <c r="D5" s="583"/>
      <c r="E5" s="583"/>
      <c r="F5" s="583"/>
      <c r="G5" s="583"/>
      <c r="H5" s="583"/>
      <c r="I5" s="583"/>
      <c r="J5" s="583"/>
    </row>
    <row r="6" spans="1:10" ht="17.25" customHeight="1" x14ac:dyDescent="0.4">
      <c r="A6" s="583"/>
      <c r="B6" s="583"/>
      <c r="C6" s="583"/>
      <c r="D6" s="583"/>
      <c r="E6" s="583"/>
      <c r="F6" s="583"/>
      <c r="G6" s="583"/>
      <c r="H6" s="583"/>
      <c r="I6" s="583"/>
      <c r="J6" s="583"/>
    </row>
    <row r="7" spans="1:10" ht="26.25" customHeight="1" x14ac:dyDescent="0.4">
      <c r="A7" s="583"/>
      <c r="B7" s="583"/>
      <c r="C7" s="583"/>
      <c r="D7" s="583"/>
      <c r="E7" s="583"/>
      <c r="F7" s="583"/>
      <c r="G7" s="583"/>
      <c r="H7" s="583"/>
      <c r="I7" s="583"/>
      <c r="J7" s="583"/>
    </row>
    <row r="8" spans="1:10" ht="8.25" customHeight="1" x14ac:dyDescent="0.4">
      <c r="A8" s="583"/>
      <c r="B8" s="583"/>
      <c r="C8" s="583"/>
      <c r="D8" s="583"/>
      <c r="E8" s="583"/>
      <c r="F8" s="583"/>
      <c r="G8" s="583"/>
      <c r="H8" s="583"/>
      <c r="I8" s="583"/>
      <c r="J8" s="583"/>
    </row>
    <row r="9" spans="1:10" ht="26.25" hidden="1" customHeight="1" x14ac:dyDescent="0.4">
      <c r="A9" s="583"/>
      <c r="B9" s="583"/>
      <c r="C9" s="583"/>
      <c r="D9" s="583"/>
      <c r="E9" s="583"/>
      <c r="F9" s="583"/>
      <c r="G9" s="583"/>
      <c r="H9" s="583"/>
      <c r="I9" s="583"/>
      <c r="J9" s="583"/>
    </row>
    <row r="10" spans="1:10" ht="5.25" hidden="1" customHeight="1" x14ac:dyDescent="0.4">
      <c r="A10" s="583"/>
      <c r="B10" s="583"/>
      <c r="C10" s="583"/>
      <c r="D10" s="583"/>
      <c r="E10" s="583"/>
      <c r="F10" s="583"/>
      <c r="G10" s="583"/>
      <c r="H10" s="583"/>
      <c r="I10" s="583"/>
      <c r="J10" s="583"/>
    </row>
    <row r="12" spans="1:10" ht="17.25" customHeight="1" x14ac:dyDescent="0.4"/>
    <row r="24" spans="1:10" s="392" customFormat="1" ht="18.75" x14ac:dyDescent="0.3">
      <c r="A24" s="391"/>
      <c r="G24" s="391"/>
    </row>
    <row r="25" spans="1:10" s="394" customFormat="1" ht="16.5" x14ac:dyDescent="0.3">
      <c r="A25" s="393"/>
      <c r="G25" s="395"/>
    </row>
    <row r="26" spans="1:10" s="394" customFormat="1" ht="15.75" x14ac:dyDescent="0.25"/>
    <row r="27" spans="1:10" s="394" customFormat="1" ht="15.75" x14ac:dyDescent="0.25"/>
    <row r="28" spans="1:10" s="392" customFormat="1" ht="15.75" x14ac:dyDescent="0.25"/>
    <row r="29" spans="1:10" s="392" customFormat="1" ht="15.75" x14ac:dyDescent="0.25">
      <c r="A29" s="584"/>
      <c r="B29" s="584"/>
      <c r="C29" s="584"/>
      <c r="D29" s="584"/>
      <c r="E29" s="584"/>
      <c r="F29" s="584"/>
      <c r="G29" s="584"/>
      <c r="H29" s="584"/>
      <c r="I29" s="584"/>
      <c r="J29" s="584"/>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ACF9-461E-4C25-B342-8091F9D10284}">
  <dimension ref="A1:T772"/>
  <sheetViews>
    <sheetView view="pageBreakPreview" topLeftCell="A642" zoomScaleNormal="100" zoomScaleSheetLayoutView="100" workbookViewId="0">
      <selection activeCell="A181" sqref="A181"/>
    </sheetView>
  </sheetViews>
  <sheetFormatPr defaultColWidth="9.140625" defaultRowHeight="16.5" x14ac:dyDescent="0.25"/>
  <cols>
    <col min="1" max="1" width="3.42578125" style="206" customWidth="1"/>
    <col min="2" max="2" width="42.28515625" style="214" customWidth="1"/>
    <col min="3" max="3" width="10" style="205" customWidth="1"/>
    <col min="4" max="4" width="5.7109375" style="206" customWidth="1"/>
    <col min="5" max="5" width="16.85546875" style="320" customWidth="1"/>
    <col min="6" max="7" width="16.42578125" style="207" customWidth="1"/>
    <col min="8" max="8" width="13.140625" style="208" bestFit="1" customWidth="1"/>
    <col min="9" max="9" width="35.5703125" style="208" customWidth="1"/>
    <col min="10" max="10" width="9.140625" style="208"/>
    <col min="11" max="11" width="22.42578125" style="208" customWidth="1"/>
    <col min="12" max="12" width="5.42578125" style="208" customWidth="1"/>
    <col min="13" max="13" width="9.5703125" style="208" customWidth="1"/>
    <col min="14" max="16" width="9.140625" style="208"/>
    <col min="17" max="17" width="12.5703125" style="208" bestFit="1" customWidth="1"/>
    <col min="18" max="18" width="9.140625" style="208"/>
    <col min="19" max="19" width="12.42578125" style="208" bestFit="1" customWidth="1"/>
    <col min="20" max="16384" width="9.140625" style="208"/>
  </cols>
  <sheetData>
    <row r="1" spans="1:10" x14ac:dyDescent="0.25">
      <c r="A1" s="203"/>
      <c r="B1" s="204" t="s">
        <v>508</v>
      </c>
    </row>
    <row r="2" spans="1:10" x14ac:dyDescent="0.25">
      <c r="B2" s="209"/>
    </row>
    <row r="3" spans="1:10" x14ac:dyDescent="0.25">
      <c r="B3" s="210" t="s">
        <v>509</v>
      </c>
    </row>
    <row r="4" spans="1:10" x14ac:dyDescent="0.25">
      <c r="B4" s="210"/>
    </row>
    <row r="5" spans="1:10" s="213" customFormat="1" x14ac:dyDescent="0.25">
      <c r="A5" s="206"/>
      <c r="B5" s="211" t="s">
        <v>44</v>
      </c>
      <c r="C5" s="205"/>
      <c r="D5" s="206"/>
      <c r="E5" s="586"/>
      <c r="F5" s="212"/>
      <c r="G5" s="212"/>
      <c r="H5" s="208"/>
    </row>
    <row r="6" spans="1:10" s="213" customFormat="1" x14ac:dyDescent="0.25">
      <c r="A6" s="206"/>
      <c r="B6" s="211"/>
      <c r="C6" s="205"/>
      <c r="D6" s="206"/>
      <c r="E6" s="586"/>
      <c r="F6" s="212"/>
      <c r="G6" s="212"/>
      <c r="H6" s="208"/>
    </row>
    <row r="7" spans="1:10" s="213" customFormat="1" x14ac:dyDescent="0.25">
      <c r="A7" s="206"/>
      <c r="B7" s="211" t="s">
        <v>510</v>
      </c>
      <c r="C7" s="205"/>
      <c r="D7" s="206"/>
      <c r="E7" s="586"/>
      <c r="F7" s="212"/>
      <c r="G7" s="212"/>
      <c r="H7" s="208"/>
    </row>
    <row r="8" spans="1:10" ht="17.25" customHeight="1" x14ac:dyDescent="0.25"/>
    <row r="9" spans="1:10" ht="40.5" customHeight="1" x14ac:dyDescent="0.25">
      <c r="A9" s="206" t="s">
        <v>2</v>
      </c>
      <c r="B9" s="215" t="s">
        <v>45</v>
      </c>
      <c r="C9" s="205">
        <v>377</v>
      </c>
      <c r="D9" s="206" t="s">
        <v>511</v>
      </c>
      <c r="E9" s="532">
        <v>200</v>
      </c>
      <c r="F9" s="207">
        <f t="shared" ref="F9:F16" si="0">C9*E9</f>
        <v>75400</v>
      </c>
      <c r="G9" s="216"/>
      <c r="H9" s="284"/>
    </row>
    <row r="10" spans="1:10" ht="51.75" customHeight="1" x14ac:dyDescent="0.25">
      <c r="A10" s="206" t="s">
        <v>4</v>
      </c>
      <c r="B10" s="215" t="s">
        <v>923</v>
      </c>
      <c r="C10" s="205">
        <v>67</v>
      </c>
      <c r="D10" s="206" t="s">
        <v>513</v>
      </c>
      <c r="E10" s="532">
        <v>1500</v>
      </c>
      <c r="F10" s="207">
        <f t="shared" si="0"/>
        <v>100500</v>
      </c>
      <c r="G10" s="216"/>
      <c r="H10" s="284"/>
    </row>
    <row r="11" spans="1:10" ht="45" customHeight="1" x14ac:dyDescent="0.25">
      <c r="A11" s="206" t="s">
        <v>5</v>
      </c>
      <c r="B11" s="215" t="s">
        <v>49</v>
      </c>
      <c r="C11" s="205">
        <v>36</v>
      </c>
      <c r="D11" s="206" t="s">
        <v>513</v>
      </c>
      <c r="E11" s="532">
        <f>E10</f>
        <v>1500</v>
      </c>
      <c r="F11" s="207">
        <f t="shared" si="0"/>
        <v>54000</v>
      </c>
      <c r="G11" s="216"/>
      <c r="H11" s="284"/>
    </row>
    <row r="12" spans="1:10" ht="30.75" customHeight="1" x14ac:dyDescent="0.25">
      <c r="A12" s="206" t="s">
        <v>7</v>
      </c>
      <c r="B12" s="215" t="s">
        <v>19</v>
      </c>
      <c r="C12" s="205">
        <v>121</v>
      </c>
      <c r="D12" s="206" t="s">
        <v>511</v>
      </c>
      <c r="E12" s="532">
        <v>200</v>
      </c>
      <c r="F12" s="207">
        <f t="shared" si="0"/>
        <v>24200</v>
      </c>
      <c r="G12" s="216"/>
      <c r="H12" s="284"/>
      <c r="I12" s="217"/>
    </row>
    <row r="13" spans="1:10" ht="30.75" customHeight="1" x14ac:dyDescent="0.25">
      <c r="A13" s="206" t="s">
        <v>8</v>
      </c>
      <c r="B13" s="215" t="s">
        <v>515</v>
      </c>
      <c r="C13" s="205">
        <f>(C10+C11)*0.45</f>
        <v>46.35</v>
      </c>
      <c r="D13" s="206" t="s">
        <v>513</v>
      </c>
      <c r="E13" s="532">
        <v>1000</v>
      </c>
      <c r="F13" s="207">
        <f t="shared" si="0"/>
        <v>46350</v>
      </c>
      <c r="G13" s="216"/>
      <c r="H13" s="284"/>
      <c r="J13" s="217"/>
    </row>
    <row r="14" spans="1:10" ht="44.25" customHeight="1" x14ac:dyDescent="0.25">
      <c r="A14" s="206" t="s">
        <v>9</v>
      </c>
      <c r="B14" s="215" t="s">
        <v>516</v>
      </c>
      <c r="C14" s="205">
        <f>C10+C11-C13</f>
        <v>56.65</v>
      </c>
      <c r="D14" s="206" t="s">
        <v>513</v>
      </c>
      <c r="E14" s="532">
        <v>900</v>
      </c>
      <c r="F14" s="207">
        <f t="shared" si="0"/>
        <v>50985</v>
      </c>
      <c r="G14" s="216"/>
      <c r="H14" s="284"/>
    </row>
    <row r="15" spans="1:10" ht="44.25" customHeight="1" x14ac:dyDescent="0.25">
      <c r="A15" s="206" t="s">
        <v>10</v>
      </c>
      <c r="B15" s="218" t="s">
        <v>806</v>
      </c>
      <c r="C15" s="205">
        <f>180.7*0.3</f>
        <v>54.209999999999994</v>
      </c>
      <c r="D15" s="206" t="s">
        <v>513</v>
      </c>
      <c r="E15" s="532">
        <v>6500</v>
      </c>
      <c r="F15" s="207">
        <f>C15*E15</f>
        <v>352364.99999999994</v>
      </c>
      <c r="G15" s="216"/>
      <c r="H15" s="284"/>
    </row>
    <row r="16" spans="1:10" ht="36" customHeight="1" x14ac:dyDescent="0.25">
      <c r="A16" s="206" t="s">
        <v>11</v>
      </c>
      <c r="B16" s="215" t="s">
        <v>663</v>
      </c>
      <c r="C16" s="205">
        <v>181</v>
      </c>
      <c r="D16" s="206" t="s">
        <v>511</v>
      </c>
      <c r="E16" s="532">
        <v>4500</v>
      </c>
      <c r="F16" s="207">
        <f t="shared" si="0"/>
        <v>814500</v>
      </c>
      <c r="G16" s="216"/>
      <c r="H16" s="284"/>
    </row>
    <row r="17" spans="1:8" x14ac:dyDescent="0.25">
      <c r="B17" s="211" t="s">
        <v>98</v>
      </c>
      <c r="E17" s="532"/>
      <c r="G17" s="216"/>
    </row>
    <row r="18" spans="1:8" ht="17.25" customHeight="1" x14ac:dyDescent="0.25">
      <c r="B18" s="219" t="s">
        <v>942</v>
      </c>
      <c r="E18" s="532"/>
      <c r="G18" s="216"/>
    </row>
    <row r="19" spans="1:8" ht="17.25" customHeight="1" x14ac:dyDescent="0.25">
      <c r="A19" s="206" t="s">
        <v>13</v>
      </c>
      <c r="B19" s="214" t="s">
        <v>807</v>
      </c>
      <c r="C19" s="205">
        <v>40</v>
      </c>
      <c r="D19" s="206" t="s">
        <v>511</v>
      </c>
      <c r="E19" s="532">
        <v>3000</v>
      </c>
      <c r="F19" s="207">
        <f>C19*E19</f>
        <v>120000</v>
      </c>
      <c r="G19" s="216"/>
      <c r="H19" s="284"/>
    </row>
    <row r="20" spans="1:8" ht="17.25" customHeight="1" x14ac:dyDescent="0.25">
      <c r="B20" s="219" t="s">
        <v>1025</v>
      </c>
      <c r="E20" s="532"/>
      <c r="G20" s="216"/>
    </row>
    <row r="21" spans="1:8" ht="17.25" customHeight="1" x14ac:dyDescent="0.25">
      <c r="A21" s="206" t="s">
        <v>14</v>
      </c>
      <c r="B21" s="214" t="s">
        <v>1026</v>
      </c>
      <c r="C21" s="205">
        <v>21</v>
      </c>
      <c r="D21" s="206" t="s">
        <v>513</v>
      </c>
      <c r="E21" s="532">
        <v>85000</v>
      </c>
      <c r="F21" s="207">
        <f>C21*E21</f>
        <v>1785000</v>
      </c>
      <c r="G21" s="216"/>
      <c r="H21" s="284"/>
    </row>
    <row r="22" spans="1:8" ht="17.25" customHeight="1" x14ac:dyDescent="0.25">
      <c r="A22" s="206" t="s">
        <v>15</v>
      </c>
      <c r="B22" s="214" t="s">
        <v>519</v>
      </c>
      <c r="C22" s="205">
        <v>34</v>
      </c>
      <c r="D22" s="206" t="s">
        <v>513</v>
      </c>
      <c r="E22" s="532">
        <f>E21</f>
        <v>85000</v>
      </c>
      <c r="F22" s="207">
        <f>C22*E22</f>
        <v>2890000</v>
      </c>
      <c r="G22" s="216"/>
      <c r="H22" s="284"/>
    </row>
    <row r="23" spans="1:8" ht="17.25" customHeight="1" x14ac:dyDescent="0.25">
      <c r="E23" s="532"/>
      <c r="G23" s="216"/>
      <c r="H23" s="284"/>
    </row>
    <row r="24" spans="1:8" ht="17.25" customHeight="1" x14ac:dyDescent="0.25">
      <c r="E24" s="532"/>
      <c r="G24" s="216"/>
      <c r="H24" s="284"/>
    </row>
    <row r="25" spans="1:8" ht="17.25" customHeight="1" x14ac:dyDescent="0.25">
      <c r="E25" s="532"/>
      <c r="G25" s="216"/>
      <c r="H25" s="284"/>
    </row>
    <row r="26" spans="1:8" ht="17.25" customHeight="1" x14ac:dyDescent="0.25">
      <c r="E26" s="532"/>
      <c r="G26" s="216"/>
      <c r="H26" s="284"/>
    </row>
    <row r="27" spans="1:8" ht="17.25" customHeight="1" x14ac:dyDescent="0.25">
      <c r="E27" s="532"/>
      <c r="G27" s="216"/>
      <c r="H27" s="284"/>
    </row>
    <row r="28" spans="1:8" ht="17.25" customHeight="1" x14ac:dyDescent="0.25">
      <c r="E28" s="532"/>
      <c r="G28" s="216"/>
      <c r="H28" s="284"/>
    </row>
    <row r="29" spans="1:8" ht="17.25" customHeight="1" x14ac:dyDescent="0.25">
      <c r="E29" s="532"/>
      <c r="G29" s="216"/>
      <c r="H29" s="284"/>
    </row>
    <row r="30" spans="1:8" ht="17.25" customHeight="1" x14ac:dyDescent="0.25">
      <c r="B30" s="220" t="s">
        <v>520</v>
      </c>
      <c r="C30" s="221"/>
      <c r="D30" s="209"/>
      <c r="E30" s="587" t="s">
        <v>15</v>
      </c>
      <c r="F30" s="285">
        <f>SUM(F2:F29)</f>
        <v>6313300</v>
      </c>
      <c r="G30" s="216"/>
    </row>
    <row r="31" spans="1:8" s="223" customFormat="1" ht="17.25" customHeight="1" x14ac:dyDescent="0.25">
      <c r="A31" s="209"/>
      <c r="B31" s="210" t="s">
        <v>521</v>
      </c>
      <c r="C31" s="221"/>
      <c r="D31" s="209"/>
      <c r="E31" s="588"/>
      <c r="F31" s="222"/>
      <c r="G31" s="216"/>
    </row>
    <row r="32" spans="1:8" ht="30.75" customHeight="1" x14ac:dyDescent="0.25">
      <c r="B32" s="219" t="s">
        <v>522</v>
      </c>
      <c r="G32" s="216"/>
    </row>
    <row r="33" spans="1:8" ht="17.25" customHeight="1" x14ac:dyDescent="0.25">
      <c r="B33" s="219" t="s">
        <v>944</v>
      </c>
      <c r="G33" s="216"/>
    </row>
    <row r="34" spans="1:8" ht="23.25" customHeight="1" x14ac:dyDescent="0.25">
      <c r="A34" s="206" t="s">
        <v>2</v>
      </c>
      <c r="B34" s="214" t="s">
        <v>945</v>
      </c>
      <c r="C34" s="205">
        <v>12</v>
      </c>
      <c r="D34" s="206" t="s">
        <v>513</v>
      </c>
      <c r="E34" s="532">
        <f>E21</f>
        <v>85000</v>
      </c>
      <c r="F34" s="207">
        <f>C34*E34</f>
        <v>1020000</v>
      </c>
      <c r="G34" s="216"/>
      <c r="H34" s="284"/>
    </row>
    <row r="35" spans="1:8" x14ac:dyDescent="0.25">
      <c r="E35" s="532"/>
      <c r="G35" s="216"/>
      <c r="H35" s="284"/>
    </row>
    <row r="36" spans="1:8" ht="21.75" customHeight="1" x14ac:dyDescent="0.25">
      <c r="A36" s="206" t="s">
        <v>4</v>
      </c>
      <c r="B36" s="214" t="s">
        <v>65</v>
      </c>
      <c r="C36" s="205">
        <v>3</v>
      </c>
      <c r="D36" s="206" t="s">
        <v>513</v>
      </c>
      <c r="E36" s="532">
        <f>E34</f>
        <v>85000</v>
      </c>
      <c r="F36" s="207">
        <f>C36*E36</f>
        <v>255000</v>
      </c>
      <c r="G36" s="216"/>
      <c r="H36" s="284"/>
    </row>
    <row r="37" spans="1:8" x14ac:dyDescent="0.25">
      <c r="E37" s="532"/>
      <c r="G37" s="216"/>
    </row>
    <row r="38" spans="1:8" ht="21" customHeight="1" x14ac:dyDescent="0.25">
      <c r="B38" s="211" t="s">
        <v>102</v>
      </c>
      <c r="G38" s="216"/>
    </row>
    <row r="39" spans="1:8" ht="38.25" customHeight="1" x14ac:dyDescent="0.25">
      <c r="B39" s="224" t="s">
        <v>946</v>
      </c>
      <c r="G39" s="216"/>
    </row>
    <row r="40" spans="1:8" ht="22.5" customHeight="1" x14ac:dyDescent="0.25">
      <c r="A40" s="206" t="s">
        <v>5</v>
      </c>
      <c r="B40" s="214" t="s">
        <v>1054</v>
      </c>
      <c r="C40" s="205">
        <v>443</v>
      </c>
      <c r="D40" s="206" t="s">
        <v>75</v>
      </c>
      <c r="E40" s="532">
        <v>1250</v>
      </c>
      <c r="F40" s="207">
        <f>C40*E40</f>
        <v>553750</v>
      </c>
      <c r="G40" s="216"/>
      <c r="H40" s="284"/>
    </row>
    <row r="41" spans="1:8" x14ac:dyDescent="0.25">
      <c r="E41" s="532"/>
      <c r="G41" s="216"/>
      <c r="H41" s="284"/>
    </row>
    <row r="42" spans="1:8" ht="21" customHeight="1" x14ac:dyDescent="0.25">
      <c r="A42" s="206" t="s">
        <v>6</v>
      </c>
      <c r="B42" s="214" t="s">
        <v>1027</v>
      </c>
      <c r="C42" s="205">
        <v>512</v>
      </c>
      <c r="D42" s="206" t="s">
        <v>75</v>
      </c>
      <c r="E42" s="532">
        <f>E40</f>
        <v>1250</v>
      </c>
      <c r="F42" s="207">
        <f>C42*E42</f>
        <v>640000</v>
      </c>
      <c r="G42" s="216"/>
      <c r="H42" s="284"/>
    </row>
    <row r="43" spans="1:8" x14ac:dyDescent="0.25">
      <c r="E43" s="532"/>
      <c r="G43" s="216"/>
      <c r="H43" s="284"/>
    </row>
    <row r="44" spans="1:8" ht="22.5" customHeight="1" x14ac:dyDescent="0.25">
      <c r="A44" s="206" t="s">
        <v>5</v>
      </c>
      <c r="B44" s="214" t="s">
        <v>1056</v>
      </c>
      <c r="C44" s="205">
        <v>32</v>
      </c>
      <c r="D44" s="206" t="s">
        <v>75</v>
      </c>
      <c r="E44" s="532">
        <v>1250</v>
      </c>
      <c r="F44" s="207">
        <f>C44*E44</f>
        <v>40000</v>
      </c>
      <c r="G44" s="216"/>
      <c r="H44" s="284"/>
    </row>
    <row r="45" spans="1:8" x14ac:dyDescent="0.25">
      <c r="E45" s="532"/>
      <c r="G45" s="216"/>
      <c r="H45" s="284"/>
    </row>
    <row r="46" spans="1:8" ht="18" customHeight="1" x14ac:dyDescent="0.25">
      <c r="A46" s="206" t="s">
        <v>7</v>
      </c>
      <c r="B46" s="214" t="s">
        <v>1028</v>
      </c>
      <c r="C46" s="205">
        <v>145</v>
      </c>
      <c r="D46" s="206" t="s">
        <v>75</v>
      </c>
      <c r="E46" s="532">
        <f>E42</f>
        <v>1250</v>
      </c>
      <c r="F46" s="207">
        <f>C46*E46</f>
        <v>181250</v>
      </c>
      <c r="G46" s="216"/>
      <c r="H46" s="284"/>
    </row>
    <row r="47" spans="1:8" x14ac:dyDescent="0.25">
      <c r="E47" s="532"/>
      <c r="G47" s="216"/>
      <c r="H47" s="284"/>
    </row>
    <row r="48" spans="1:8" x14ac:dyDescent="0.25">
      <c r="E48" s="532"/>
      <c r="G48" s="216"/>
      <c r="H48" s="284"/>
    </row>
    <row r="49" spans="1:8" ht="49.5" customHeight="1" x14ac:dyDescent="0.25">
      <c r="B49" s="224" t="s">
        <v>524</v>
      </c>
      <c r="G49" s="216"/>
    </row>
    <row r="50" spans="1:8" ht="20.25" customHeight="1" x14ac:dyDescent="0.25">
      <c r="A50" s="206" t="s">
        <v>9</v>
      </c>
      <c r="B50" s="218" t="s">
        <v>39</v>
      </c>
      <c r="C50" s="205">
        <v>221</v>
      </c>
      <c r="D50" s="206" t="s">
        <v>511</v>
      </c>
      <c r="E50" s="320">
        <v>2000</v>
      </c>
      <c r="F50" s="207">
        <f>C50*E50</f>
        <v>442000</v>
      </c>
      <c r="G50" s="216"/>
      <c r="H50" s="284"/>
    </row>
    <row r="51" spans="1:8" x14ac:dyDescent="0.25">
      <c r="B51" s="218"/>
      <c r="G51" s="216"/>
      <c r="H51" s="284"/>
    </row>
    <row r="52" spans="1:8" ht="21" customHeight="1" x14ac:dyDescent="0.25">
      <c r="B52" s="211" t="s">
        <v>67</v>
      </c>
      <c r="G52" s="216"/>
    </row>
    <row r="53" spans="1:8" ht="24.75" customHeight="1" x14ac:dyDescent="0.25">
      <c r="B53" s="219" t="s">
        <v>120</v>
      </c>
      <c r="G53" s="216"/>
    </row>
    <row r="54" spans="1:8" ht="21.75" customHeight="1" x14ac:dyDescent="0.25">
      <c r="A54" s="206" t="s">
        <v>10</v>
      </c>
      <c r="B54" s="214" t="s">
        <v>947</v>
      </c>
      <c r="C54" s="205">
        <v>40</v>
      </c>
      <c r="D54" s="206" t="s">
        <v>511</v>
      </c>
      <c r="E54" s="532">
        <v>6500</v>
      </c>
      <c r="F54" s="207">
        <f t="shared" ref="F54:F56" si="1">C54*E54</f>
        <v>260000</v>
      </c>
      <c r="G54" s="216"/>
      <c r="H54" s="284"/>
    </row>
    <row r="55" spans="1:8" x14ac:dyDescent="0.25">
      <c r="E55" s="532"/>
      <c r="G55" s="216"/>
      <c r="H55" s="284"/>
    </row>
    <row r="56" spans="1:8" ht="23.25" customHeight="1" x14ac:dyDescent="0.25">
      <c r="A56" s="206" t="s">
        <v>11</v>
      </c>
      <c r="B56" s="214" t="s">
        <v>1055</v>
      </c>
      <c r="C56" s="205">
        <v>43</v>
      </c>
      <c r="D56" s="206" t="s">
        <v>511</v>
      </c>
      <c r="E56" s="532">
        <f>E54</f>
        <v>6500</v>
      </c>
      <c r="F56" s="207">
        <f t="shared" si="1"/>
        <v>279500</v>
      </c>
      <c r="G56" s="216"/>
    </row>
    <row r="57" spans="1:8" x14ac:dyDescent="0.25">
      <c r="G57" s="216"/>
    </row>
    <row r="58" spans="1:8" x14ac:dyDescent="0.25">
      <c r="G58" s="216"/>
    </row>
    <row r="59" spans="1:8" x14ac:dyDescent="0.25">
      <c r="G59" s="216"/>
    </row>
    <row r="60" spans="1:8" x14ac:dyDescent="0.25">
      <c r="G60" s="216"/>
    </row>
    <row r="61" spans="1:8" x14ac:dyDescent="0.25">
      <c r="G61" s="216"/>
    </row>
    <row r="62" spans="1:8" x14ac:dyDescent="0.25">
      <c r="G62" s="216"/>
    </row>
    <row r="63" spans="1:8" x14ac:dyDescent="0.25">
      <c r="G63" s="216"/>
    </row>
    <row r="64" spans="1:8" x14ac:dyDescent="0.25">
      <c r="G64" s="216"/>
    </row>
    <row r="65" spans="1:8" x14ac:dyDescent="0.25">
      <c r="G65" s="216"/>
    </row>
    <row r="66" spans="1:8" x14ac:dyDescent="0.25">
      <c r="G66" s="216"/>
    </row>
    <row r="67" spans="1:8" x14ac:dyDescent="0.25">
      <c r="B67" s="225" t="s">
        <v>525</v>
      </c>
      <c r="E67" s="587" t="s">
        <v>15</v>
      </c>
      <c r="F67" s="222">
        <f>SUM(F33:F66)</f>
        <v>3671500</v>
      </c>
      <c r="G67" s="216"/>
    </row>
    <row r="68" spans="1:8" x14ac:dyDescent="0.25">
      <c r="B68" s="210" t="s">
        <v>521</v>
      </c>
      <c r="G68" s="216"/>
    </row>
    <row r="69" spans="1:8" x14ac:dyDescent="0.25">
      <c r="B69" s="210"/>
      <c r="G69" s="216"/>
    </row>
    <row r="70" spans="1:8" x14ac:dyDescent="0.25">
      <c r="B70" s="219" t="s">
        <v>120</v>
      </c>
      <c r="G70" s="216"/>
    </row>
    <row r="71" spans="1:8" x14ac:dyDescent="0.25">
      <c r="B71" s="219"/>
      <c r="G71" s="216"/>
    </row>
    <row r="72" spans="1:8" x14ac:dyDescent="0.25">
      <c r="A72" s="206" t="s">
        <v>2</v>
      </c>
      <c r="B72" s="214" t="s">
        <v>1</v>
      </c>
      <c r="C72" s="205">
        <v>73</v>
      </c>
      <c r="D72" s="206" t="s">
        <v>22</v>
      </c>
      <c r="E72" s="532">
        <v>975</v>
      </c>
      <c r="F72" s="207">
        <f>C72*E72</f>
        <v>71175</v>
      </c>
      <c r="G72" s="216"/>
      <c r="H72" s="284"/>
    </row>
    <row r="73" spans="1:8" x14ac:dyDescent="0.25">
      <c r="E73" s="532"/>
      <c r="G73" s="216"/>
      <c r="H73" s="284"/>
    </row>
    <row r="74" spans="1:8" x14ac:dyDescent="0.25">
      <c r="B74" s="211" t="s">
        <v>84</v>
      </c>
      <c r="C74" s="221"/>
      <c r="D74" s="209"/>
      <c r="E74" s="589"/>
      <c r="F74" s="286"/>
      <c r="G74" s="216"/>
    </row>
    <row r="75" spans="1:8" x14ac:dyDescent="0.25">
      <c r="B75" s="226"/>
      <c r="C75" s="221"/>
      <c r="D75" s="209"/>
      <c r="E75" s="589"/>
      <c r="F75" s="286"/>
      <c r="G75" s="216"/>
    </row>
    <row r="76" spans="1:8" ht="57.75" customHeight="1" x14ac:dyDescent="0.25">
      <c r="B76" s="224" t="s">
        <v>526</v>
      </c>
      <c r="C76" s="221"/>
      <c r="D76" s="209"/>
      <c r="E76" s="589"/>
      <c r="F76" s="286"/>
      <c r="G76" s="216"/>
    </row>
    <row r="77" spans="1:8" x14ac:dyDescent="0.25">
      <c r="B77" s="224"/>
      <c r="C77" s="221"/>
      <c r="D77" s="209"/>
      <c r="E77" s="589"/>
      <c r="F77" s="286"/>
      <c r="G77" s="216"/>
    </row>
    <row r="78" spans="1:8" x14ac:dyDescent="0.25">
      <c r="A78" s="206" t="s">
        <v>4</v>
      </c>
      <c r="B78" s="218" t="s">
        <v>527</v>
      </c>
      <c r="C78" s="205">
        <v>134</v>
      </c>
      <c r="D78" s="206" t="s">
        <v>511</v>
      </c>
      <c r="E78" s="532">
        <v>11000</v>
      </c>
      <c r="F78" s="207">
        <f>C78*E78</f>
        <v>1474000</v>
      </c>
      <c r="G78" s="216"/>
      <c r="H78" s="284"/>
    </row>
    <row r="79" spans="1:8" x14ac:dyDescent="0.25">
      <c r="G79" s="216"/>
    </row>
    <row r="80" spans="1:8" x14ac:dyDescent="0.25">
      <c r="B80" s="219" t="s">
        <v>528</v>
      </c>
      <c r="F80" s="227"/>
      <c r="G80" s="216"/>
    </row>
    <row r="81" spans="1:7" x14ac:dyDescent="0.25">
      <c r="B81" s="219" t="s">
        <v>529</v>
      </c>
      <c r="F81" s="227"/>
      <c r="G81" s="216"/>
    </row>
    <row r="82" spans="1:7" x14ac:dyDescent="0.25">
      <c r="F82" s="227"/>
      <c r="G82" s="216"/>
    </row>
    <row r="83" spans="1:7" ht="29.25" customHeight="1" x14ac:dyDescent="0.25">
      <c r="A83" s="206" t="s">
        <v>5</v>
      </c>
      <c r="B83" s="215" t="s">
        <v>530</v>
      </c>
      <c r="C83" s="205">
        <v>226</v>
      </c>
      <c r="D83" s="206" t="s">
        <v>511</v>
      </c>
      <c r="E83" s="586">
        <v>650</v>
      </c>
      <c r="F83" s="207">
        <f>C83*E83</f>
        <v>146900</v>
      </c>
      <c r="G83" s="216"/>
    </row>
    <row r="84" spans="1:7" x14ac:dyDescent="0.25">
      <c r="B84" s="215"/>
      <c r="F84" s="227"/>
      <c r="G84" s="216"/>
    </row>
    <row r="85" spans="1:7" x14ac:dyDescent="0.25">
      <c r="B85" s="228"/>
      <c r="F85" s="227"/>
      <c r="G85" s="216"/>
    </row>
    <row r="86" spans="1:7" ht="35.25" customHeight="1" x14ac:dyDescent="0.25">
      <c r="B86" s="215"/>
      <c r="F86" s="229"/>
      <c r="G86" s="216"/>
    </row>
    <row r="87" spans="1:7" x14ac:dyDescent="0.25">
      <c r="B87" s="215"/>
      <c r="F87" s="227"/>
      <c r="G87" s="216"/>
    </row>
    <row r="88" spans="1:7" ht="18.75" customHeight="1" x14ac:dyDescent="0.25">
      <c r="B88" s="225" t="s">
        <v>525</v>
      </c>
      <c r="E88" s="587" t="s">
        <v>15</v>
      </c>
      <c r="F88" s="222">
        <f>SUM(F70:F87)</f>
        <v>1692075</v>
      </c>
      <c r="G88" s="216"/>
    </row>
    <row r="89" spans="1:7" x14ac:dyDescent="0.25">
      <c r="B89" s="215"/>
      <c r="F89" s="227"/>
      <c r="G89" s="216"/>
    </row>
    <row r="90" spans="1:7" x14ac:dyDescent="0.25">
      <c r="B90" s="225"/>
      <c r="E90" s="587"/>
      <c r="F90" s="285"/>
      <c r="G90" s="216"/>
    </row>
    <row r="91" spans="1:7" x14ac:dyDescent="0.25">
      <c r="B91" s="211" t="s">
        <v>531</v>
      </c>
      <c r="E91" s="587"/>
      <c r="F91" s="285"/>
      <c r="G91" s="216"/>
    </row>
    <row r="92" spans="1:7" x14ac:dyDescent="0.25">
      <c r="F92" s="230"/>
      <c r="G92" s="216"/>
    </row>
    <row r="93" spans="1:7" x14ac:dyDescent="0.25">
      <c r="F93" s="230"/>
      <c r="G93" s="216"/>
    </row>
    <row r="94" spans="1:7" x14ac:dyDescent="0.25">
      <c r="B94" s="231" t="s">
        <v>532</v>
      </c>
      <c r="E94" s="320">
        <f>F30</f>
        <v>6313300</v>
      </c>
      <c r="F94" s="230"/>
      <c r="G94" s="216"/>
    </row>
    <row r="95" spans="1:7" x14ac:dyDescent="0.25">
      <c r="B95" s="232"/>
      <c r="F95" s="230"/>
      <c r="G95" s="216"/>
    </row>
    <row r="96" spans="1:7" x14ac:dyDescent="0.25">
      <c r="B96" s="231" t="s">
        <v>451</v>
      </c>
      <c r="E96" s="320">
        <f>F67</f>
        <v>3671500</v>
      </c>
      <c r="F96" s="230"/>
      <c r="G96" s="216"/>
    </row>
    <row r="97" spans="2:7" x14ac:dyDescent="0.25">
      <c r="B97" s="231"/>
      <c r="F97" s="230"/>
      <c r="G97" s="216"/>
    </row>
    <row r="98" spans="2:7" x14ac:dyDescent="0.25">
      <c r="B98" s="231" t="s">
        <v>452</v>
      </c>
      <c r="E98" s="320">
        <f>F88</f>
        <v>1692075</v>
      </c>
      <c r="F98" s="230"/>
      <c r="G98" s="216"/>
    </row>
    <row r="99" spans="2:7" x14ac:dyDescent="0.25">
      <c r="B99" s="233"/>
      <c r="F99" s="230"/>
      <c r="G99" s="216"/>
    </row>
    <row r="100" spans="2:7" x14ac:dyDescent="0.25">
      <c r="B100" s="233"/>
      <c r="F100" s="230"/>
      <c r="G100" s="216"/>
    </row>
    <row r="101" spans="2:7" x14ac:dyDescent="0.25">
      <c r="B101" s="233"/>
      <c r="F101" s="230"/>
      <c r="G101" s="216"/>
    </row>
    <row r="102" spans="2:7" x14ac:dyDescent="0.25">
      <c r="B102" s="233"/>
      <c r="F102" s="230"/>
      <c r="G102" s="216"/>
    </row>
    <row r="103" spans="2:7" x14ac:dyDescent="0.25">
      <c r="B103" s="233"/>
      <c r="F103" s="230"/>
      <c r="G103" s="216"/>
    </row>
    <row r="104" spans="2:7" x14ac:dyDescent="0.25">
      <c r="B104" s="233"/>
      <c r="F104" s="230"/>
      <c r="G104" s="216"/>
    </row>
    <row r="105" spans="2:7" x14ac:dyDescent="0.25">
      <c r="B105" s="233"/>
      <c r="F105" s="230"/>
      <c r="G105" s="216"/>
    </row>
    <row r="106" spans="2:7" x14ac:dyDescent="0.25">
      <c r="B106" s="233"/>
      <c r="F106" s="230"/>
      <c r="G106" s="216"/>
    </row>
    <row r="107" spans="2:7" x14ac:dyDescent="0.25">
      <c r="B107" s="233"/>
      <c r="F107" s="230"/>
      <c r="G107" s="216"/>
    </row>
    <row r="108" spans="2:7" x14ac:dyDescent="0.25">
      <c r="B108" s="233"/>
      <c r="F108" s="230"/>
      <c r="G108" s="216"/>
    </row>
    <row r="109" spans="2:7" x14ac:dyDescent="0.25">
      <c r="B109" s="234" t="s">
        <v>533</v>
      </c>
      <c r="C109" s="221"/>
      <c r="D109" s="209"/>
      <c r="F109" s="235"/>
      <c r="G109" s="216"/>
    </row>
    <row r="110" spans="2:7" x14ac:dyDescent="0.25">
      <c r="B110" s="220" t="s">
        <v>534</v>
      </c>
      <c r="C110" s="221"/>
      <c r="D110" s="209"/>
      <c r="E110" s="587" t="s">
        <v>15</v>
      </c>
      <c r="F110" s="286">
        <f>SUM(E94:E99)</f>
        <v>11676875</v>
      </c>
      <c r="G110" s="216"/>
    </row>
    <row r="111" spans="2:7" x14ac:dyDescent="0.25">
      <c r="B111" s="204" t="s">
        <v>535</v>
      </c>
    </row>
    <row r="113" spans="1:8" x14ac:dyDescent="0.25">
      <c r="B113" s="210" t="s">
        <v>108</v>
      </c>
    </row>
    <row r="114" spans="1:8" x14ac:dyDescent="0.25">
      <c r="B114" s="210"/>
    </row>
    <row r="115" spans="1:8" x14ac:dyDescent="0.25">
      <c r="B115" s="211" t="s">
        <v>98</v>
      </c>
    </row>
    <row r="116" spans="1:8" x14ac:dyDescent="0.25">
      <c r="E116" s="214"/>
    </row>
    <row r="117" spans="1:8" x14ac:dyDescent="0.25">
      <c r="B117" s="219" t="s">
        <v>536</v>
      </c>
    </row>
    <row r="118" spans="1:8" x14ac:dyDescent="0.25">
      <c r="B118" s="219"/>
    </row>
    <row r="119" spans="1:8" x14ac:dyDescent="0.25">
      <c r="B119" s="219" t="s">
        <v>1029</v>
      </c>
    </row>
    <row r="121" spans="1:8" x14ac:dyDescent="0.25">
      <c r="A121" s="206" t="s">
        <v>2</v>
      </c>
      <c r="B121" s="214" t="s">
        <v>65</v>
      </c>
      <c r="C121" s="205">
        <v>13</v>
      </c>
      <c r="D121" s="206" t="s">
        <v>513</v>
      </c>
      <c r="E121" s="532">
        <f>E36</f>
        <v>85000</v>
      </c>
      <c r="F121" s="207">
        <f>C121*E121</f>
        <v>1105000</v>
      </c>
      <c r="H121" s="284"/>
    </row>
    <row r="123" spans="1:8" x14ac:dyDescent="0.25">
      <c r="A123" s="206" t="s">
        <v>4</v>
      </c>
      <c r="B123" s="214" t="s">
        <v>1058</v>
      </c>
      <c r="C123" s="205">
        <v>14</v>
      </c>
      <c r="D123" s="206" t="s">
        <v>513</v>
      </c>
      <c r="E123" s="532">
        <f>E121</f>
        <v>85000</v>
      </c>
      <c r="F123" s="207">
        <f>C123*E123</f>
        <v>1190000</v>
      </c>
      <c r="H123" s="284"/>
    </row>
    <row r="125" spans="1:8" x14ac:dyDescent="0.25">
      <c r="B125" s="211" t="s">
        <v>102</v>
      </c>
    </row>
    <row r="127" spans="1:8" ht="30" x14ac:dyDescent="0.25">
      <c r="B127" s="224" t="s">
        <v>1030</v>
      </c>
    </row>
    <row r="128" spans="1:8" x14ac:dyDescent="0.25">
      <c r="B128" s="224"/>
    </row>
    <row r="129" spans="1:8" x14ac:dyDescent="0.25">
      <c r="A129" s="206" t="s">
        <v>5</v>
      </c>
      <c r="B129" s="214" t="s">
        <v>1031</v>
      </c>
      <c r="C129" s="205">
        <v>619</v>
      </c>
      <c r="D129" s="206" t="s">
        <v>75</v>
      </c>
      <c r="E129" s="532">
        <f>E42</f>
        <v>1250</v>
      </c>
      <c r="F129" s="207">
        <f>C129*E129</f>
        <v>773750</v>
      </c>
      <c r="H129" s="284"/>
    </row>
    <row r="130" spans="1:8" x14ac:dyDescent="0.25">
      <c r="E130" s="532"/>
      <c r="H130" s="284"/>
    </row>
    <row r="131" spans="1:8" x14ac:dyDescent="0.25">
      <c r="A131" s="206" t="s">
        <v>6</v>
      </c>
      <c r="B131" s="214" t="s">
        <v>1057</v>
      </c>
      <c r="C131" s="205">
        <v>350</v>
      </c>
      <c r="D131" s="206" t="s">
        <v>75</v>
      </c>
      <c r="E131" s="532">
        <f>E44</f>
        <v>1250</v>
      </c>
      <c r="F131" s="207">
        <f>C131*E131</f>
        <v>437500</v>
      </c>
      <c r="H131" s="284"/>
    </row>
    <row r="132" spans="1:8" x14ac:dyDescent="0.25">
      <c r="E132" s="532"/>
      <c r="H132" s="284"/>
    </row>
    <row r="133" spans="1:8" x14ac:dyDescent="0.25">
      <c r="A133" s="206" t="s">
        <v>7</v>
      </c>
      <c r="B133" s="214" t="s">
        <v>1059</v>
      </c>
      <c r="C133" s="205">
        <v>177</v>
      </c>
      <c r="D133" s="206" t="s">
        <v>75</v>
      </c>
      <c r="E133" s="532">
        <f>E46</f>
        <v>1250</v>
      </c>
      <c r="F133" s="207">
        <f>C133*E133</f>
        <v>221250</v>
      </c>
      <c r="H133" s="284"/>
    </row>
    <row r="134" spans="1:8" x14ac:dyDescent="0.25">
      <c r="E134" s="532"/>
      <c r="H134" s="284"/>
    </row>
    <row r="135" spans="1:8" x14ac:dyDescent="0.25">
      <c r="A135" s="206" t="s">
        <v>8</v>
      </c>
      <c r="B135" s="214" t="s">
        <v>1032</v>
      </c>
      <c r="C135" s="205">
        <v>419</v>
      </c>
      <c r="D135" s="206" t="s">
        <v>75</v>
      </c>
      <c r="E135" s="532">
        <f>E129</f>
        <v>1250</v>
      </c>
      <c r="F135" s="207">
        <f>C135*E135</f>
        <v>523750</v>
      </c>
      <c r="H135" s="284"/>
    </row>
    <row r="137" spans="1:8" x14ac:dyDescent="0.25">
      <c r="B137" s="211" t="s">
        <v>67</v>
      </c>
    </row>
    <row r="139" spans="1:8" x14ac:dyDescent="0.25">
      <c r="B139" s="219" t="s">
        <v>120</v>
      </c>
    </row>
    <row r="141" spans="1:8" x14ac:dyDescent="0.25">
      <c r="A141" s="206" t="s">
        <v>9</v>
      </c>
      <c r="B141" s="214" t="s">
        <v>1060</v>
      </c>
      <c r="C141" s="205">
        <f>177+15</f>
        <v>192</v>
      </c>
      <c r="D141" s="206" t="s">
        <v>511</v>
      </c>
      <c r="E141" s="532">
        <f>E54</f>
        <v>6500</v>
      </c>
      <c r="F141" s="207">
        <f>C141*E141</f>
        <v>1248000</v>
      </c>
      <c r="H141" s="284"/>
    </row>
    <row r="153" spans="2:7" x14ac:dyDescent="0.25">
      <c r="B153" s="210" t="s">
        <v>108</v>
      </c>
    </row>
    <row r="154" spans="2:7" x14ac:dyDescent="0.25">
      <c r="B154" s="220" t="s">
        <v>542</v>
      </c>
      <c r="E154" s="587" t="s">
        <v>15</v>
      </c>
      <c r="F154" s="285">
        <f>SUM(F113:F153)</f>
        <v>5499250</v>
      </c>
    </row>
    <row r="155" spans="2:7" x14ac:dyDescent="0.25">
      <c r="B155" s="204" t="s">
        <v>543</v>
      </c>
      <c r="F155" s="230"/>
      <c r="G155" s="230"/>
    </row>
    <row r="156" spans="2:7" x14ac:dyDescent="0.25">
      <c r="F156" s="230"/>
      <c r="G156" s="230"/>
    </row>
    <row r="157" spans="2:7" x14ac:dyDescent="0.25">
      <c r="B157" s="210" t="s">
        <v>163</v>
      </c>
      <c r="F157" s="230"/>
      <c r="G157" s="230"/>
    </row>
    <row r="158" spans="2:7" x14ac:dyDescent="0.25">
      <c r="F158" s="230"/>
      <c r="G158" s="230"/>
    </row>
    <row r="159" spans="2:7" x14ac:dyDescent="0.25">
      <c r="B159" s="211" t="s">
        <v>98</v>
      </c>
      <c r="F159" s="230"/>
      <c r="G159" s="230"/>
    </row>
    <row r="160" spans="2:7" x14ac:dyDescent="0.25">
      <c r="F160" s="230"/>
      <c r="G160" s="230"/>
    </row>
    <row r="161" spans="1:10" x14ac:dyDescent="0.25">
      <c r="B161" s="219" t="s">
        <v>536</v>
      </c>
      <c r="F161" s="230"/>
      <c r="G161" s="230"/>
    </row>
    <row r="162" spans="1:10" x14ac:dyDescent="0.25">
      <c r="B162" s="219"/>
      <c r="F162" s="230"/>
      <c r="G162" s="230"/>
    </row>
    <row r="163" spans="1:10" x14ac:dyDescent="0.25">
      <c r="B163" s="219" t="s">
        <v>1029</v>
      </c>
      <c r="F163" s="230"/>
      <c r="G163" s="230"/>
    </row>
    <row r="164" spans="1:10" x14ac:dyDescent="0.25">
      <c r="F164" s="230"/>
      <c r="G164" s="230"/>
      <c r="I164" s="208">
        <f>0.3+0.3+0.23</f>
        <v>0.83</v>
      </c>
      <c r="J164" s="208">
        <f>I164*72.8</f>
        <v>60.423999999999992</v>
      </c>
    </row>
    <row r="165" spans="1:10" x14ac:dyDescent="0.25">
      <c r="A165" s="206" t="s">
        <v>2</v>
      </c>
      <c r="B165" s="214" t="s">
        <v>1061</v>
      </c>
      <c r="C165" s="205">
        <f>7+2+1</f>
        <v>10</v>
      </c>
      <c r="D165" s="206" t="s">
        <v>513</v>
      </c>
      <c r="E165" s="320">
        <f>E121</f>
        <v>85000</v>
      </c>
      <c r="F165" s="230">
        <f>C165*E165</f>
        <v>850000</v>
      </c>
      <c r="G165" s="230"/>
      <c r="H165" s="284"/>
    </row>
    <row r="166" spans="1:10" x14ac:dyDescent="0.25">
      <c r="F166" s="230"/>
      <c r="G166" s="230"/>
      <c r="H166" s="284"/>
    </row>
    <row r="167" spans="1:10" x14ac:dyDescent="0.25">
      <c r="A167" s="237"/>
      <c r="B167" s="211" t="s">
        <v>102</v>
      </c>
      <c r="F167" s="230"/>
      <c r="G167" s="230"/>
    </row>
    <row r="168" spans="1:10" x14ac:dyDescent="0.25">
      <c r="B168" s="219"/>
      <c r="F168" s="230"/>
      <c r="G168" s="230"/>
    </row>
    <row r="169" spans="1:10" ht="30" x14ac:dyDescent="0.25">
      <c r="B169" s="224" t="s">
        <v>570</v>
      </c>
      <c r="F169" s="230"/>
      <c r="G169" s="230"/>
    </row>
    <row r="170" spans="1:10" x14ac:dyDescent="0.25">
      <c r="B170" s="218"/>
      <c r="C170" s="239"/>
      <c r="D170" s="240"/>
      <c r="E170" s="590"/>
      <c r="F170" s="245"/>
      <c r="G170" s="245"/>
    </row>
    <row r="171" spans="1:10" x14ac:dyDescent="0.25">
      <c r="A171" s="206" t="s">
        <v>4</v>
      </c>
      <c r="B171" s="214" t="s">
        <v>805</v>
      </c>
      <c r="C171" s="205">
        <v>734</v>
      </c>
      <c r="D171" s="206" t="s">
        <v>75</v>
      </c>
      <c r="E171" s="532">
        <f>E129</f>
        <v>1250</v>
      </c>
      <c r="F171" s="287">
        <f>C171*E171</f>
        <v>917500</v>
      </c>
      <c r="G171" s="287"/>
      <c r="H171" s="284"/>
    </row>
    <row r="172" spans="1:10" x14ac:dyDescent="0.25">
      <c r="E172" s="532"/>
      <c r="F172" s="287"/>
      <c r="G172" s="287"/>
      <c r="H172" s="284"/>
      <c r="I172" s="223"/>
    </row>
    <row r="173" spans="1:10" x14ac:dyDescent="0.25">
      <c r="A173" s="206" t="s">
        <v>5</v>
      </c>
      <c r="B173" s="214" t="s">
        <v>571</v>
      </c>
      <c r="C173" s="205">
        <v>125</v>
      </c>
      <c r="D173" s="206" t="s">
        <v>75</v>
      </c>
      <c r="E173" s="532">
        <f>E131</f>
        <v>1250</v>
      </c>
      <c r="F173" s="287">
        <f>C173*E173</f>
        <v>156250</v>
      </c>
      <c r="G173" s="287"/>
      <c r="H173" s="284"/>
    </row>
    <row r="174" spans="1:10" x14ac:dyDescent="0.25">
      <c r="E174" s="532"/>
      <c r="F174" s="287"/>
      <c r="G174" s="287"/>
      <c r="H174" s="284"/>
      <c r="I174" s="223"/>
    </row>
    <row r="175" spans="1:10" x14ac:dyDescent="0.25">
      <c r="A175" s="206" t="s">
        <v>6</v>
      </c>
      <c r="B175" s="214" t="s">
        <v>803</v>
      </c>
      <c r="C175" s="205">
        <v>213</v>
      </c>
      <c r="D175" s="206" t="s">
        <v>75</v>
      </c>
      <c r="E175" s="532">
        <f>E171</f>
        <v>1250</v>
      </c>
      <c r="F175" s="287">
        <f>C175*E175</f>
        <v>266250</v>
      </c>
      <c r="G175" s="287"/>
      <c r="H175" s="284"/>
    </row>
    <row r="176" spans="1:10" x14ac:dyDescent="0.25">
      <c r="A176" s="238"/>
      <c r="E176" s="532"/>
      <c r="F176" s="287"/>
      <c r="G176" s="287"/>
    </row>
    <row r="177" spans="1:8" x14ac:dyDescent="0.25">
      <c r="B177" s="211" t="s">
        <v>67</v>
      </c>
      <c r="F177" s="230"/>
      <c r="G177" s="230"/>
    </row>
    <row r="178" spans="1:8" x14ac:dyDescent="0.25">
      <c r="F178" s="230"/>
      <c r="G178" s="230"/>
    </row>
    <row r="179" spans="1:8" x14ac:dyDescent="0.25">
      <c r="B179" s="219" t="s">
        <v>120</v>
      </c>
      <c r="F179" s="230"/>
      <c r="G179" s="230"/>
    </row>
    <row r="180" spans="1:8" x14ac:dyDescent="0.25">
      <c r="F180" s="230"/>
      <c r="G180" s="230"/>
    </row>
    <row r="181" spans="1:8" x14ac:dyDescent="0.25">
      <c r="A181" s="206" t="s">
        <v>7</v>
      </c>
      <c r="B181" s="214" t="s">
        <v>572</v>
      </c>
      <c r="C181" s="205">
        <f>59+12+13</f>
        <v>84</v>
      </c>
      <c r="D181" s="206" t="s">
        <v>511</v>
      </c>
      <c r="E181" s="320">
        <f>E141</f>
        <v>6500</v>
      </c>
      <c r="F181" s="230">
        <f>C181*E181</f>
        <v>546000</v>
      </c>
      <c r="G181" s="230"/>
      <c r="H181" s="284"/>
    </row>
    <row r="182" spans="1:8" x14ac:dyDescent="0.25">
      <c r="F182" s="230"/>
      <c r="G182" s="230"/>
      <c r="H182" s="284"/>
    </row>
    <row r="183" spans="1:8" x14ac:dyDescent="0.25">
      <c r="F183" s="230"/>
      <c r="G183" s="230"/>
      <c r="H183" s="284"/>
    </row>
    <row r="184" spans="1:8" x14ac:dyDescent="0.25">
      <c r="F184" s="230"/>
      <c r="G184" s="230"/>
      <c r="H184" s="284"/>
    </row>
    <row r="185" spans="1:8" x14ac:dyDescent="0.25">
      <c r="F185" s="230"/>
      <c r="G185" s="230"/>
      <c r="H185" s="284"/>
    </row>
    <row r="186" spans="1:8" x14ac:dyDescent="0.25">
      <c r="F186" s="230"/>
      <c r="G186" s="230"/>
      <c r="H186" s="284"/>
    </row>
    <row r="187" spans="1:8" x14ac:dyDescent="0.25">
      <c r="F187" s="230"/>
      <c r="G187" s="230"/>
      <c r="H187" s="284"/>
    </row>
    <row r="188" spans="1:8" x14ac:dyDescent="0.25">
      <c r="F188" s="230"/>
      <c r="G188" s="230"/>
      <c r="H188" s="284"/>
    </row>
    <row r="189" spans="1:8" x14ac:dyDescent="0.25">
      <c r="F189" s="230"/>
      <c r="G189" s="230"/>
      <c r="H189" s="284"/>
    </row>
    <row r="190" spans="1:8" x14ac:dyDescent="0.25">
      <c r="F190" s="230"/>
      <c r="G190" s="230"/>
      <c r="H190" s="284"/>
    </row>
    <row r="191" spans="1:8" x14ac:dyDescent="0.25">
      <c r="B191" s="220" t="s">
        <v>520</v>
      </c>
      <c r="C191" s="221"/>
      <c r="D191" s="209"/>
      <c r="E191" s="587" t="s">
        <v>15</v>
      </c>
      <c r="F191" s="235">
        <f>SUM(F158:F186)</f>
        <v>2736000</v>
      </c>
      <c r="G191" s="230"/>
      <c r="H191" s="284"/>
    </row>
    <row r="192" spans="1:8" x14ac:dyDescent="0.25">
      <c r="B192" s="210" t="s">
        <v>573</v>
      </c>
      <c r="F192" s="230"/>
      <c r="G192" s="230"/>
      <c r="H192" s="284"/>
    </row>
    <row r="193" spans="1:14" ht="14.1" customHeight="1" x14ac:dyDescent="0.25">
      <c r="F193" s="230"/>
      <c r="G193" s="230"/>
      <c r="H193" s="284"/>
    </row>
    <row r="194" spans="1:14" ht="49.5" x14ac:dyDescent="0.25">
      <c r="B194" s="242" t="s">
        <v>574</v>
      </c>
    </row>
    <row r="195" spans="1:14" ht="13.5" customHeight="1" x14ac:dyDescent="0.25">
      <c r="B195" s="233"/>
      <c r="L195" s="223"/>
    </row>
    <row r="196" spans="1:14" x14ac:dyDescent="0.25">
      <c r="A196" s="206" t="s">
        <v>2</v>
      </c>
      <c r="B196" s="246" t="s">
        <v>575</v>
      </c>
      <c r="C196" s="205">
        <v>201</v>
      </c>
      <c r="D196" s="206" t="s">
        <v>511</v>
      </c>
      <c r="E196" s="532">
        <v>10100</v>
      </c>
      <c r="F196" s="289">
        <f>E196*C196</f>
        <v>2030100</v>
      </c>
      <c r="G196" s="289"/>
      <c r="H196" s="284"/>
      <c r="L196" s="223"/>
    </row>
    <row r="197" spans="1:14" x14ac:dyDescent="0.25">
      <c r="B197" s="246"/>
      <c r="E197" s="532"/>
      <c r="F197" s="289"/>
      <c r="G197" s="289"/>
      <c r="H197" s="284"/>
    </row>
    <row r="198" spans="1:14" x14ac:dyDescent="0.25">
      <c r="A198" s="206" t="s">
        <v>4</v>
      </c>
      <c r="B198" s="214" t="s">
        <v>1033</v>
      </c>
      <c r="D198" s="206" t="s">
        <v>22</v>
      </c>
      <c r="E198" s="532">
        <f>E196*0.3</f>
        <v>3030</v>
      </c>
      <c r="F198" s="289">
        <f t="shared" ref="F198:F200" si="2">E198*C198</f>
        <v>0</v>
      </c>
      <c r="G198" s="289"/>
      <c r="H198" s="284"/>
      <c r="N198" s="208">
        <f>SUM(L198:M198)</f>
        <v>0</v>
      </c>
    </row>
    <row r="199" spans="1:14" x14ac:dyDescent="0.25">
      <c r="E199" s="532"/>
      <c r="F199" s="289"/>
      <c r="G199" s="289"/>
      <c r="H199" s="284"/>
    </row>
    <row r="200" spans="1:14" x14ac:dyDescent="0.25">
      <c r="A200" s="206" t="s">
        <v>5</v>
      </c>
      <c r="B200" s="214" t="s">
        <v>576</v>
      </c>
      <c r="D200" s="206" t="s">
        <v>22</v>
      </c>
      <c r="E200" s="532">
        <f>E196*0.15</f>
        <v>1515</v>
      </c>
      <c r="F200" s="289">
        <f t="shared" si="2"/>
        <v>0</v>
      </c>
      <c r="G200" s="289"/>
      <c r="H200" s="284"/>
      <c r="N200" s="208">
        <f>SUM(L200:M200)</f>
        <v>0</v>
      </c>
    </row>
    <row r="201" spans="1:14" x14ac:dyDescent="0.25">
      <c r="E201" s="532"/>
      <c r="F201" s="289"/>
      <c r="G201" s="289"/>
      <c r="H201" s="284"/>
    </row>
    <row r="202" spans="1:14" x14ac:dyDescent="0.25">
      <c r="B202" s="211" t="s">
        <v>577</v>
      </c>
    </row>
    <row r="203" spans="1:14" ht="12.6" customHeight="1" x14ac:dyDescent="0.25"/>
    <row r="204" spans="1:14" ht="14.25" customHeight="1" x14ac:dyDescent="0.25">
      <c r="B204" s="224" t="s">
        <v>187</v>
      </c>
    </row>
    <row r="206" spans="1:14" x14ac:dyDescent="0.25">
      <c r="A206" s="206" t="s">
        <v>6</v>
      </c>
      <c r="B206" s="214" t="s">
        <v>678</v>
      </c>
      <c r="C206" s="205">
        <v>65</v>
      </c>
      <c r="D206" s="206" t="s">
        <v>22</v>
      </c>
      <c r="E206" s="532">
        <v>800</v>
      </c>
      <c r="F206" s="289">
        <f>C206*E206</f>
        <v>52000</v>
      </c>
      <c r="G206" s="289"/>
      <c r="H206" s="284"/>
    </row>
    <row r="208" spans="1:14" x14ac:dyDescent="0.25">
      <c r="A208" s="206" t="s">
        <v>7</v>
      </c>
      <c r="B208" s="214" t="s">
        <v>580</v>
      </c>
      <c r="C208" s="205">
        <v>181</v>
      </c>
      <c r="D208" s="206" t="s">
        <v>22</v>
      </c>
      <c r="E208" s="532">
        <f>E206</f>
        <v>800</v>
      </c>
      <c r="F208" s="289">
        <f>C208*E208</f>
        <v>144800</v>
      </c>
      <c r="G208" s="289"/>
      <c r="H208" s="284"/>
    </row>
    <row r="209" spans="1:8" ht="12.75" customHeight="1" x14ac:dyDescent="0.25">
      <c r="E209" s="532"/>
      <c r="F209" s="289"/>
      <c r="G209" s="289"/>
    </row>
    <row r="210" spans="1:8" x14ac:dyDescent="0.25">
      <c r="A210" s="206" t="s">
        <v>8</v>
      </c>
      <c r="B210" s="214" t="s">
        <v>188</v>
      </c>
      <c r="C210" s="205">
        <v>178</v>
      </c>
      <c r="D210" s="206" t="s">
        <v>22</v>
      </c>
      <c r="E210" s="532">
        <f>E208</f>
        <v>800</v>
      </c>
      <c r="F210" s="289">
        <f>C210*E210</f>
        <v>142400</v>
      </c>
      <c r="G210" s="289"/>
      <c r="H210" s="284"/>
    </row>
    <row r="211" spans="1:8" ht="12.75" customHeight="1" x14ac:dyDescent="0.25"/>
    <row r="212" spans="1:8" x14ac:dyDescent="0.25">
      <c r="A212" s="206" t="s">
        <v>9</v>
      </c>
      <c r="B212" s="214" t="s">
        <v>1034</v>
      </c>
      <c r="C212" s="205">
        <v>226</v>
      </c>
      <c r="D212" s="206" t="s">
        <v>22</v>
      </c>
      <c r="E212" s="532">
        <f>E210</f>
        <v>800</v>
      </c>
      <c r="F212" s="289">
        <f>C212*E212</f>
        <v>180800</v>
      </c>
      <c r="G212" s="289"/>
      <c r="H212" s="284"/>
    </row>
    <row r="213" spans="1:8" ht="12.75" customHeight="1" x14ac:dyDescent="0.25">
      <c r="E213" s="532"/>
      <c r="F213" s="289"/>
      <c r="G213" s="289"/>
    </row>
    <row r="214" spans="1:8" x14ac:dyDescent="0.25">
      <c r="A214" s="206" t="s">
        <v>10</v>
      </c>
      <c r="B214" s="214" t="s">
        <v>191</v>
      </c>
      <c r="C214" s="205">
        <v>220</v>
      </c>
      <c r="D214" s="206" t="s">
        <v>22</v>
      </c>
      <c r="E214" s="532">
        <v>750</v>
      </c>
      <c r="F214" s="289">
        <f>C214*E214</f>
        <v>165000</v>
      </c>
      <c r="G214" s="289"/>
      <c r="H214" s="284"/>
    </row>
    <row r="215" spans="1:8" ht="12.6" customHeight="1" x14ac:dyDescent="0.25">
      <c r="E215" s="532"/>
      <c r="F215" s="289"/>
      <c r="G215" s="289"/>
      <c r="H215" s="284"/>
    </row>
    <row r="216" spans="1:8" x14ac:dyDescent="0.25">
      <c r="A216" s="206" t="s">
        <v>11</v>
      </c>
      <c r="B216" s="214" t="s">
        <v>679</v>
      </c>
      <c r="D216" s="206" t="s">
        <v>22</v>
      </c>
      <c r="E216" s="532">
        <v>1500</v>
      </c>
      <c r="F216" s="289">
        <f>C216*E216</f>
        <v>0</v>
      </c>
      <c r="G216" s="289"/>
      <c r="H216" s="284"/>
    </row>
    <row r="217" spans="1:8" x14ac:dyDescent="0.25">
      <c r="B217" s="211" t="s">
        <v>84</v>
      </c>
      <c r="C217" s="221"/>
      <c r="D217" s="209"/>
      <c r="E217" s="589"/>
      <c r="F217" s="286"/>
      <c r="G217" s="286"/>
      <c r="H217" s="284"/>
    </row>
    <row r="218" spans="1:8" x14ac:dyDescent="0.25">
      <c r="B218" s="226"/>
      <c r="C218" s="221"/>
      <c r="D218" s="209"/>
      <c r="E218" s="589"/>
      <c r="F218" s="286"/>
      <c r="G218" s="286"/>
      <c r="H218" s="284"/>
    </row>
    <row r="219" spans="1:8" ht="32.25" customHeight="1" x14ac:dyDescent="0.25">
      <c r="B219" s="224" t="s">
        <v>582</v>
      </c>
      <c r="C219" s="221"/>
      <c r="D219" s="209"/>
      <c r="E219" s="589"/>
      <c r="F219" s="286"/>
      <c r="G219" s="286"/>
      <c r="H219" s="284"/>
    </row>
    <row r="220" spans="1:8" x14ac:dyDescent="0.25">
      <c r="B220" s="224"/>
      <c r="C220" s="221"/>
      <c r="D220" s="209"/>
      <c r="E220" s="589"/>
      <c r="F220" s="286"/>
      <c r="G220" s="286"/>
      <c r="H220" s="284"/>
    </row>
    <row r="221" spans="1:8" x14ac:dyDescent="0.25">
      <c r="A221" s="206" t="s">
        <v>12</v>
      </c>
      <c r="B221" s="218" t="s">
        <v>680</v>
      </c>
      <c r="C221" s="205">
        <f>49.5*1.6</f>
        <v>79.2</v>
      </c>
      <c r="D221" s="206" t="s">
        <v>511</v>
      </c>
      <c r="E221" s="532">
        <v>10300</v>
      </c>
      <c r="F221" s="207">
        <f>C221*E221</f>
        <v>815760</v>
      </c>
      <c r="H221" s="284"/>
    </row>
    <row r="222" spans="1:8" x14ac:dyDescent="0.25">
      <c r="H222" s="284"/>
    </row>
    <row r="223" spans="1:8" x14ac:dyDescent="0.25">
      <c r="B223" s="211" t="s">
        <v>147</v>
      </c>
      <c r="F223" s="230"/>
      <c r="G223" s="230"/>
      <c r="H223" s="284"/>
    </row>
    <row r="224" spans="1:8" ht="12.95" customHeight="1" x14ac:dyDescent="0.25">
      <c r="F224" s="230"/>
      <c r="G224" s="230"/>
      <c r="H224" s="284"/>
    </row>
    <row r="225" spans="1:8" ht="30" x14ac:dyDescent="0.25">
      <c r="B225" s="224" t="s">
        <v>583</v>
      </c>
      <c r="F225" s="230"/>
      <c r="G225" s="230"/>
      <c r="H225" s="284"/>
    </row>
    <row r="226" spans="1:8" ht="16.5" customHeight="1" x14ac:dyDescent="0.25">
      <c r="B226" s="224"/>
      <c r="F226" s="230"/>
      <c r="G226" s="230"/>
      <c r="H226" s="284"/>
    </row>
    <row r="227" spans="1:8" ht="19.5" customHeight="1" x14ac:dyDescent="0.25">
      <c r="A227" s="206" t="s">
        <v>13</v>
      </c>
      <c r="B227" s="233" t="s">
        <v>24</v>
      </c>
      <c r="C227" s="205">
        <f>C221*2</f>
        <v>158.4</v>
      </c>
      <c r="D227" s="206" t="s">
        <v>511</v>
      </c>
      <c r="E227" s="532">
        <v>3500</v>
      </c>
      <c r="F227" s="207">
        <f>C227*E227</f>
        <v>554400</v>
      </c>
      <c r="H227" s="284"/>
    </row>
    <row r="228" spans="1:8" x14ac:dyDescent="0.25">
      <c r="B228" s="233"/>
      <c r="E228" s="532"/>
      <c r="H228" s="284"/>
    </row>
    <row r="229" spans="1:8" x14ac:dyDescent="0.25">
      <c r="A229" s="206" t="s">
        <v>14</v>
      </c>
      <c r="B229" s="214" t="s">
        <v>584</v>
      </c>
      <c r="C229" s="205">
        <v>13</v>
      </c>
      <c r="D229" s="206" t="s">
        <v>511</v>
      </c>
      <c r="E229" s="532">
        <f>E227</f>
        <v>3500</v>
      </c>
      <c r="F229" s="207">
        <f>C229*E229</f>
        <v>45500</v>
      </c>
      <c r="H229" s="284"/>
    </row>
    <row r="230" spans="1:8" ht="14.25" customHeight="1" x14ac:dyDescent="0.25">
      <c r="E230" s="532"/>
      <c r="H230" s="284"/>
    </row>
    <row r="231" spans="1:8" x14ac:dyDescent="0.25">
      <c r="B231" s="233"/>
      <c r="E231" s="532"/>
      <c r="H231" s="284"/>
    </row>
    <row r="232" spans="1:8" x14ac:dyDescent="0.25">
      <c r="B232" s="233"/>
      <c r="E232" s="532"/>
      <c r="H232" s="284"/>
    </row>
    <row r="233" spans="1:8" x14ac:dyDescent="0.25">
      <c r="B233" s="233"/>
      <c r="E233" s="532"/>
      <c r="H233" s="284"/>
    </row>
    <row r="234" spans="1:8" x14ac:dyDescent="0.25">
      <c r="B234" s="233"/>
      <c r="E234" s="532"/>
      <c r="H234" s="284"/>
    </row>
    <row r="235" spans="1:8" x14ac:dyDescent="0.25">
      <c r="B235" s="233"/>
      <c r="E235" s="532"/>
      <c r="H235" s="284"/>
    </row>
    <row r="236" spans="1:8" x14ac:dyDescent="0.25">
      <c r="B236" s="233"/>
      <c r="E236" s="532"/>
      <c r="H236" s="284"/>
    </row>
    <row r="237" spans="1:8" x14ac:dyDescent="0.25">
      <c r="B237" s="233"/>
      <c r="E237" s="532"/>
      <c r="H237" s="284"/>
    </row>
    <row r="238" spans="1:8" x14ac:dyDescent="0.25">
      <c r="B238" s="220" t="s">
        <v>520</v>
      </c>
      <c r="C238" s="221"/>
      <c r="D238" s="209"/>
      <c r="E238" s="587" t="s">
        <v>15</v>
      </c>
      <c r="F238" s="222">
        <f>SUM(F194:F231)</f>
        <v>4130760</v>
      </c>
      <c r="G238" s="222"/>
      <c r="H238" s="284"/>
    </row>
    <row r="239" spans="1:8" x14ac:dyDescent="0.25">
      <c r="B239" s="211" t="s">
        <v>592</v>
      </c>
    </row>
    <row r="241" spans="1:8" s="269" customFormat="1" x14ac:dyDescent="0.25">
      <c r="A241" s="265"/>
      <c r="B241" s="266" t="s">
        <v>615</v>
      </c>
      <c r="C241" s="267"/>
      <c r="D241" s="265"/>
      <c r="E241" s="304"/>
      <c r="F241" s="268"/>
    </row>
    <row r="242" spans="1:8" s="269" customFormat="1" ht="45" x14ac:dyDescent="0.25">
      <c r="A242" s="265"/>
      <c r="B242" s="270" t="s">
        <v>616</v>
      </c>
      <c r="C242" s="267"/>
      <c r="D242" s="265"/>
      <c r="E242" s="304"/>
      <c r="F242" s="268"/>
    </row>
    <row r="243" spans="1:8" s="269" customFormat="1" x14ac:dyDescent="0.25">
      <c r="A243" s="265" t="s">
        <v>2</v>
      </c>
      <c r="B243" s="233" t="s">
        <v>24</v>
      </c>
      <c r="C243" s="262">
        <f>C221</f>
        <v>79.2</v>
      </c>
      <c r="D243" s="265" t="s">
        <v>35</v>
      </c>
      <c r="E243" s="304">
        <v>1400</v>
      </c>
      <c r="F243" s="268">
        <f>E243*C243</f>
        <v>110880</v>
      </c>
    </row>
    <row r="244" spans="1:8" s="269" customFormat="1" x14ac:dyDescent="0.25">
      <c r="A244" s="265"/>
      <c r="B244" s="233"/>
      <c r="C244" s="262"/>
      <c r="D244" s="265"/>
      <c r="E244" s="304"/>
      <c r="F244" s="268"/>
    </row>
    <row r="245" spans="1:8" x14ac:dyDescent="0.25">
      <c r="B245" s="224" t="s">
        <v>1035</v>
      </c>
    </row>
    <row r="247" spans="1:8" x14ac:dyDescent="0.25">
      <c r="A247" s="206" t="s">
        <v>4</v>
      </c>
      <c r="B247" s="233" t="s">
        <v>24</v>
      </c>
      <c r="C247" s="205">
        <f>C221</f>
        <v>79.2</v>
      </c>
      <c r="D247" s="206" t="s">
        <v>35</v>
      </c>
      <c r="E247" s="532">
        <v>2200</v>
      </c>
      <c r="F247" s="289">
        <f>C247*E247</f>
        <v>174240</v>
      </c>
      <c r="G247" s="289"/>
      <c r="H247" s="284"/>
    </row>
    <row r="248" spans="1:8" x14ac:dyDescent="0.25">
      <c r="B248" s="233"/>
      <c r="E248" s="532"/>
      <c r="F248" s="289"/>
      <c r="G248" s="289"/>
      <c r="H248" s="284"/>
    </row>
    <row r="249" spans="1:8" x14ac:dyDescent="0.25">
      <c r="E249" s="532"/>
      <c r="F249" s="289"/>
      <c r="G249" s="289"/>
      <c r="H249" s="284"/>
    </row>
    <row r="250" spans="1:8" x14ac:dyDescent="0.25">
      <c r="B250" s="220" t="s">
        <v>520</v>
      </c>
      <c r="C250" s="221"/>
      <c r="D250" s="209"/>
      <c r="E250" s="587" t="s">
        <v>15</v>
      </c>
      <c r="F250" s="286">
        <f>SUM(F239:F249)</f>
        <v>285120</v>
      </c>
      <c r="G250" s="286"/>
    </row>
    <row r="251" spans="1:8" x14ac:dyDescent="0.25">
      <c r="B251" s="220"/>
      <c r="C251" s="221"/>
      <c r="D251" s="209"/>
      <c r="E251" s="589"/>
      <c r="F251" s="286"/>
      <c r="G251" s="286"/>
    </row>
    <row r="252" spans="1:8" x14ac:dyDescent="0.25">
      <c r="B252" s="220"/>
      <c r="C252" s="221"/>
      <c r="D252" s="209"/>
      <c r="E252" s="589"/>
      <c r="F252" s="286"/>
      <c r="G252" s="286"/>
    </row>
    <row r="253" spans="1:8" x14ac:dyDescent="0.25">
      <c r="B253" s="210" t="s">
        <v>531</v>
      </c>
      <c r="F253" s="230"/>
      <c r="G253" s="230"/>
    </row>
    <row r="254" spans="1:8" x14ac:dyDescent="0.25">
      <c r="B254" s="219"/>
      <c r="F254" s="230"/>
      <c r="G254" s="230"/>
    </row>
    <row r="255" spans="1:8" x14ac:dyDescent="0.25">
      <c r="B255" s="231" t="s">
        <v>457</v>
      </c>
      <c r="E255" s="320">
        <f>F191</f>
        <v>2736000</v>
      </c>
      <c r="F255" s="230"/>
      <c r="G255" s="230"/>
    </row>
    <row r="256" spans="1:8" x14ac:dyDescent="0.25">
      <c r="B256" s="231"/>
      <c r="F256" s="230"/>
      <c r="G256" s="230"/>
    </row>
    <row r="257" spans="2:7" x14ac:dyDescent="0.25">
      <c r="B257" s="231" t="s">
        <v>458</v>
      </c>
      <c r="E257" s="320">
        <f>F238</f>
        <v>4130760</v>
      </c>
      <c r="F257" s="230"/>
      <c r="G257" s="230"/>
    </row>
    <row r="258" spans="2:7" x14ac:dyDescent="0.25">
      <c r="B258" s="231"/>
    </row>
    <row r="259" spans="2:7" x14ac:dyDescent="0.25">
      <c r="B259" s="231" t="s">
        <v>459</v>
      </c>
      <c r="E259" s="320">
        <f>F250</f>
        <v>285120</v>
      </c>
    </row>
    <row r="260" spans="2:7" x14ac:dyDescent="0.25">
      <c r="B260" s="233"/>
    </row>
    <row r="261" spans="2:7" x14ac:dyDescent="0.25">
      <c r="B261" s="233"/>
    </row>
    <row r="262" spans="2:7" x14ac:dyDescent="0.25">
      <c r="B262" s="233"/>
    </row>
    <row r="263" spans="2:7" x14ac:dyDescent="0.25">
      <c r="B263" s="233"/>
    </row>
    <row r="264" spans="2:7" x14ac:dyDescent="0.25">
      <c r="B264" s="233"/>
    </row>
    <row r="265" spans="2:7" x14ac:dyDescent="0.25">
      <c r="B265" s="233"/>
    </row>
    <row r="266" spans="2:7" x14ac:dyDescent="0.25">
      <c r="B266" s="233"/>
    </row>
    <row r="267" spans="2:7" x14ac:dyDescent="0.25">
      <c r="B267" s="210" t="s">
        <v>163</v>
      </c>
      <c r="F267" s="230"/>
      <c r="G267" s="230"/>
    </row>
    <row r="268" spans="2:7" x14ac:dyDescent="0.25">
      <c r="B268" s="220" t="s">
        <v>534</v>
      </c>
      <c r="C268" s="221"/>
      <c r="D268" s="209"/>
      <c r="E268" s="587" t="s">
        <v>15</v>
      </c>
      <c r="F268" s="286">
        <f>SUM(E253:E261)</f>
        <v>7151880</v>
      </c>
      <c r="G268" s="286"/>
    </row>
    <row r="269" spans="2:7" x14ac:dyDescent="0.25">
      <c r="B269" s="204" t="s">
        <v>593</v>
      </c>
      <c r="F269" s="230"/>
      <c r="G269" s="230"/>
    </row>
    <row r="270" spans="2:7" x14ac:dyDescent="0.25">
      <c r="F270" s="230"/>
      <c r="G270" s="230"/>
    </row>
    <row r="271" spans="2:7" x14ac:dyDescent="0.25">
      <c r="B271" s="210" t="s">
        <v>195</v>
      </c>
      <c r="F271" s="230"/>
      <c r="G271" s="230"/>
    </row>
    <row r="272" spans="2:7" x14ac:dyDescent="0.25">
      <c r="B272" s="210"/>
      <c r="F272" s="230"/>
      <c r="G272" s="230"/>
    </row>
    <row r="273" spans="1:10" x14ac:dyDescent="0.25">
      <c r="B273" s="211" t="s">
        <v>84</v>
      </c>
      <c r="C273" s="221"/>
      <c r="D273" s="209"/>
      <c r="E273" s="589"/>
      <c r="F273" s="286"/>
      <c r="G273" s="286"/>
    </row>
    <row r="274" spans="1:10" x14ac:dyDescent="0.25">
      <c r="B274" s="226"/>
      <c r="C274" s="221"/>
      <c r="D274" s="209"/>
      <c r="E274" s="589"/>
      <c r="F274" s="286"/>
      <c r="G274" s="286"/>
      <c r="J274" s="214"/>
    </row>
    <row r="275" spans="1:10" ht="30" x14ac:dyDescent="0.25">
      <c r="B275" s="224" t="s">
        <v>594</v>
      </c>
      <c r="C275" s="221"/>
      <c r="D275" s="209"/>
      <c r="E275" s="589"/>
      <c r="F275" s="286"/>
      <c r="G275" s="286"/>
      <c r="J275" s="214"/>
    </row>
    <row r="276" spans="1:10" x14ac:dyDescent="0.25">
      <c r="B276" s="224"/>
      <c r="C276" s="221"/>
      <c r="D276" s="209"/>
      <c r="E276" s="589"/>
      <c r="F276" s="286"/>
      <c r="G276" s="286"/>
      <c r="J276" s="214"/>
    </row>
    <row r="277" spans="1:10" x14ac:dyDescent="0.25">
      <c r="A277" s="206" t="s">
        <v>2</v>
      </c>
      <c r="B277" s="214" t="s">
        <v>595</v>
      </c>
      <c r="C277" s="205">
        <v>309</v>
      </c>
      <c r="D277" s="206" t="s">
        <v>511</v>
      </c>
      <c r="E277" s="532">
        <v>10300</v>
      </c>
      <c r="F277" s="289">
        <f>C277*E277</f>
        <v>3182700</v>
      </c>
      <c r="G277" s="289"/>
      <c r="I277" s="255"/>
      <c r="J277" s="214"/>
    </row>
    <row r="278" spans="1:10" x14ac:dyDescent="0.25">
      <c r="B278" s="210"/>
      <c r="E278" s="532"/>
      <c r="F278" s="291"/>
      <c r="G278" s="291"/>
      <c r="H278" s="284"/>
      <c r="J278" s="214"/>
    </row>
    <row r="279" spans="1:10" x14ac:dyDescent="0.25">
      <c r="C279" s="256"/>
      <c r="E279" s="532"/>
      <c r="F279" s="257"/>
      <c r="G279" s="257"/>
      <c r="J279" s="214"/>
    </row>
    <row r="280" spans="1:10" x14ac:dyDescent="0.25">
      <c r="B280" s="211" t="s">
        <v>98</v>
      </c>
      <c r="F280" s="230"/>
      <c r="G280" s="230"/>
      <c r="J280" s="214"/>
    </row>
    <row r="281" spans="1:10" x14ac:dyDescent="0.25">
      <c r="F281" s="230"/>
      <c r="G281" s="230"/>
      <c r="J281" s="214"/>
    </row>
    <row r="282" spans="1:10" ht="17.25" customHeight="1" x14ac:dyDescent="0.25">
      <c r="B282" s="219" t="s">
        <v>1036</v>
      </c>
      <c r="F282" s="230"/>
      <c r="G282" s="230"/>
      <c r="J282" s="214"/>
    </row>
    <row r="283" spans="1:10" ht="14.25" customHeight="1" x14ac:dyDescent="0.25">
      <c r="B283" s="219"/>
      <c r="F283" s="230"/>
      <c r="G283" s="230"/>
      <c r="J283" s="214"/>
    </row>
    <row r="284" spans="1:10" x14ac:dyDescent="0.25">
      <c r="A284" s="206" t="s">
        <v>4</v>
      </c>
      <c r="B284" s="214" t="s">
        <v>597</v>
      </c>
      <c r="C284" s="205">
        <v>2</v>
      </c>
      <c r="D284" s="206" t="s">
        <v>513</v>
      </c>
      <c r="E284" s="320">
        <f>E121</f>
        <v>85000</v>
      </c>
      <c r="F284" s="230">
        <f>C284*E284</f>
        <v>170000</v>
      </c>
      <c r="G284" s="230"/>
      <c r="H284" s="284"/>
      <c r="J284" s="214"/>
    </row>
    <row r="285" spans="1:10" x14ac:dyDescent="0.25">
      <c r="F285" s="230"/>
      <c r="G285" s="230"/>
      <c r="J285" s="214"/>
    </row>
    <row r="286" spans="1:10" x14ac:dyDescent="0.25">
      <c r="B286" s="211" t="s">
        <v>102</v>
      </c>
      <c r="F286" s="230"/>
      <c r="G286" s="230"/>
      <c r="J286" s="214"/>
    </row>
    <row r="287" spans="1:10" ht="14.25" customHeight="1" x14ac:dyDescent="0.25">
      <c r="B287" s="219"/>
      <c r="F287" s="230"/>
      <c r="G287" s="230"/>
      <c r="J287" s="214"/>
    </row>
    <row r="288" spans="1:10" x14ac:dyDescent="0.25">
      <c r="B288" s="219" t="s">
        <v>598</v>
      </c>
      <c r="F288" s="230"/>
      <c r="G288" s="230"/>
      <c r="J288" s="214"/>
    </row>
    <row r="289" spans="1:16" ht="12.75" customHeight="1" x14ac:dyDescent="0.25">
      <c r="F289" s="230"/>
      <c r="G289" s="230"/>
      <c r="J289" s="214"/>
    </row>
    <row r="290" spans="1:16" x14ac:dyDescent="0.25">
      <c r="A290" s="206" t="s">
        <v>5</v>
      </c>
      <c r="B290" s="214" t="s">
        <v>571</v>
      </c>
      <c r="C290" s="205">
        <v>80</v>
      </c>
      <c r="D290" s="206" t="s">
        <v>75</v>
      </c>
      <c r="E290" s="320">
        <f>E171</f>
        <v>1250</v>
      </c>
      <c r="F290" s="230">
        <f>C290*E290</f>
        <v>100000</v>
      </c>
      <c r="G290" s="230"/>
      <c r="H290" s="284"/>
      <c r="J290" s="214"/>
    </row>
    <row r="291" spans="1:16" x14ac:dyDescent="0.25">
      <c r="F291" s="230"/>
      <c r="G291" s="230"/>
      <c r="J291" s="214"/>
    </row>
    <row r="292" spans="1:16" x14ac:dyDescent="0.25">
      <c r="A292" s="206" t="s">
        <v>6</v>
      </c>
      <c r="B292" s="214" t="s">
        <v>599</v>
      </c>
      <c r="C292" s="205">
        <v>55</v>
      </c>
      <c r="D292" s="206" t="s">
        <v>75</v>
      </c>
      <c r="E292" s="320">
        <f>E290</f>
        <v>1250</v>
      </c>
      <c r="F292" s="230">
        <f>C292*E292</f>
        <v>68750</v>
      </c>
      <c r="G292" s="230"/>
      <c r="H292" s="284"/>
      <c r="J292" s="214"/>
    </row>
    <row r="293" spans="1:16" ht="14.25" customHeight="1" x14ac:dyDescent="0.25">
      <c r="F293" s="230"/>
      <c r="G293" s="230"/>
      <c r="J293" s="214"/>
    </row>
    <row r="294" spans="1:16" x14ac:dyDescent="0.25">
      <c r="B294" s="211" t="s">
        <v>67</v>
      </c>
      <c r="F294" s="230"/>
      <c r="G294" s="230"/>
    </row>
    <row r="295" spans="1:16" ht="15" customHeight="1" x14ac:dyDescent="0.25">
      <c r="F295" s="230"/>
      <c r="G295" s="230"/>
    </row>
    <row r="296" spans="1:16" x14ac:dyDescent="0.25">
      <c r="B296" s="219" t="s">
        <v>120</v>
      </c>
      <c r="F296" s="230"/>
      <c r="G296" s="230"/>
    </row>
    <row r="297" spans="1:16" ht="9.75" customHeight="1" x14ac:dyDescent="0.25">
      <c r="F297" s="230"/>
      <c r="G297" s="230"/>
    </row>
    <row r="298" spans="1:16" x14ac:dyDescent="0.25">
      <c r="A298" s="206" t="s">
        <v>7</v>
      </c>
      <c r="B298" s="214" t="s">
        <v>600</v>
      </c>
      <c r="C298" s="205">
        <v>14</v>
      </c>
      <c r="D298" s="206" t="s">
        <v>511</v>
      </c>
      <c r="E298" s="320">
        <f>E181</f>
        <v>6500</v>
      </c>
      <c r="F298" s="230">
        <f>C298*E298</f>
        <v>91000</v>
      </c>
      <c r="G298" s="230"/>
      <c r="H298" s="284"/>
    </row>
    <row r="299" spans="1:16" x14ac:dyDescent="0.25">
      <c r="B299" s="219"/>
      <c r="F299" s="227"/>
      <c r="G299" s="227"/>
    </row>
    <row r="300" spans="1:16" x14ac:dyDescent="0.25">
      <c r="F300" s="227"/>
      <c r="G300" s="227"/>
    </row>
    <row r="301" spans="1:16" x14ac:dyDescent="0.25">
      <c r="B301" s="224"/>
      <c r="F301" s="227"/>
      <c r="G301" s="227"/>
      <c r="P301" s="208" t="e">
        <f>(#REF!*0.23)*3</f>
        <v>#REF!</v>
      </c>
    </row>
    <row r="302" spans="1:16" x14ac:dyDescent="0.25">
      <c r="B302" s="224"/>
      <c r="F302" s="227"/>
      <c r="G302" s="227"/>
    </row>
    <row r="303" spans="1:16" x14ac:dyDescent="0.25">
      <c r="E303" s="591"/>
      <c r="F303" s="261"/>
      <c r="G303" s="261"/>
    </row>
    <row r="304" spans="1:16" x14ac:dyDescent="0.25">
      <c r="F304" s="227"/>
      <c r="G304" s="227"/>
    </row>
    <row r="305" spans="2:7" x14ac:dyDescent="0.25">
      <c r="B305" s="219"/>
      <c r="F305" s="230"/>
      <c r="G305" s="230"/>
    </row>
    <row r="306" spans="2:7" x14ac:dyDescent="0.25">
      <c r="B306" s="219"/>
      <c r="F306" s="230"/>
      <c r="G306" s="230"/>
    </row>
    <row r="307" spans="2:7" x14ac:dyDescent="0.25">
      <c r="B307" s="224"/>
      <c r="F307" s="230"/>
      <c r="G307" s="230"/>
    </row>
    <row r="308" spans="2:7" x14ac:dyDescent="0.25">
      <c r="B308" s="224"/>
      <c r="F308" s="257"/>
      <c r="G308" s="257"/>
    </row>
    <row r="309" spans="2:7" x14ac:dyDescent="0.25">
      <c r="F309" s="257"/>
      <c r="G309" s="257"/>
    </row>
    <row r="310" spans="2:7" x14ac:dyDescent="0.25">
      <c r="E310" s="532"/>
      <c r="F310" s="257"/>
      <c r="G310" s="257"/>
    </row>
    <row r="311" spans="2:7" x14ac:dyDescent="0.25">
      <c r="B311" s="210"/>
      <c r="E311" s="532"/>
      <c r="F311" s="291"/>
      <c r="G311" s="291"/>
    </row>
    <row r="312" spans="2:7" x14ac:dyDescent="0.25">
      <c r="C312" s="256"/>
      <c r="E312" s="532"/>
      <c r="F312" s="257"/>
      <c r="G312" s="257"/>
    </row>
    <row r="313" spans="2:7" x14ac:dyDescent="0.25">
      <c r="C313" s="256"/>
      <c r="E313" s="532"/>
      <c r="F313" s="257"/>
      <c r="G313" s="257"/>
    </row>
    <row r="314" spans="2:7" x14ac:dyDescent="0.25">
      <c r="C314" s="256"/>
      <c r="E314" s="532"/>
      <c r="F314" s="257"/>
      <c r="G314" s="257"/>
    </row>
    <row r="315" spans="2:7" x14ac:dyDescent="0.25">
      <c r="B315" s="210" t="s">
        <v>195</v>
      </c>
      <c r="C315" s="221"/>
      <c r="D315" s="209"/>
      <c r="E315" s="588"/>
      <c r="F315" s="235"/>
      <c r="G315" s="235"/>
    </row>
    <row r="316" spans="2:7" ht="18.75" customHeight="1" x14ac:dyDescent="0.25">
      <c r="B316" s="220" t="s">
        <v>534</v>
      </c>
      <c r="C316" s="221"/>
      <c r="D316" s="209"/>
      <c r="E316" s="587" t="s">
        <v>15</v>
      </c>
      <c r="F316" s="235">
        <f>SUM(F275:F315)</f>
        <v>3612450</v>
      </c>
      <c r="G316" s="235"/>
    </row>
    <row r="317" spans="2:7" x14ac:dyDescent="0.25">
      <c r="B317" s="210" t="s">
        <v>601</v>
      </c>
      <c r="F317" s="230"/>
      <c r="G317" s="230"/>
    </row>
    <row r="318" spans="2:7" ht="8.25" customHeight="1" x14ac:dyDescent="0.25">
      <c r="B318" s="220"/>
      <c r="F318" s="230"/>
      <c r="G318" s="230"/>
    </row>
    <row r="319" spans="2:7" x14ac:dyDescent="0.25">
      <c r="B319" s="210" t="s">
        <v>602</v>
      </c>
      <c r="F319" s="230"/>
      <c r="G319" s="230"/>
    </row>
    <row r="320" spans="2:7" ht="10.5" customHeight="1" x14ac:dyDescent="0.25">
      <c r="F320" s="230"/>
      <c r="G320" s="230"/>
    </row>
    <row r="321" spans="1:20" x14ac:dyDescent="0.25">
      <c r="B321" s="211" t="s">
        <v>203</v>
      </c>
      <c r="C321" s="221"/>
      <c r="D321" s="209"/>
      <c r="E321" s="589"/>
      <c r="F321" s="286"/>
      <c r="G321" s="286"/>
    </row>
    <row r="322" spans="1:20" ht="9" customHeight="1" x14ac:dyDescent="0.25">
      <c r="B322" s="220"/>
      <c r="C322" s="221"/>
      <c r="D322" s="209"/>
      <c r="E322" s="589"/>
      <c r="F322" s="286"/>
      <c r="G322" s="286"/>
    </row>
    <row r="323" spans="1:20" x14ac:dyDescent="0.25">
      <c r="B323" s="214" t="s">
        <v>603</v>
      </c>
      <c r="F323" s="230"/>
      <c r="G323" s="230"/>
    </row>
    <row r="324" spans="1:20" x14ac:dyDescent="0.25">
      <c r="F324" s="230"/>
      <c r="G324" s="230"/>
    </row>
    <row r="325" spans="1:20" ht="60" x14ac:dyDescent="0.25">
      <c r="B325" s="218" t="s">
        <v>1010</v>
      </c>
      <c r="G325" s="230"/>
      <c r="K325" s="214"/>
      <c r="L325" s="206"/>
      <c r="M325" s="206"/>
      <c r="P325" s="214"/>
      <c r="Q325" s="214"/>
      <c r="R325" s="214"/>
      <c r="S325" s="214"/>
      <c r="T325" s="214"/>
    </row>
    <row r="326" spans="1:20" x14ac:dyDescent="0.25">
      <c r="F326" s="230"/>
      <c r="G326" s="230"/>
    </row>
    <row r="327" spans="1:20" ht="14.25" customHeight="1" x14ac:dyDescent="0.25">
      <c r="A327" s="206" t="s">
        <v>2</v>
      </c>
      <c r="B327" s="214" t="s">
        <v>1064</v>
      </c>
      <c r="C327" s="205">
        <v>1</v>
      </c>
      <c r="D327" s="206" t="s">
        <v>3</v>
      </c>
      <c r="E327" s="320">
        <f>2.8*3.3*65000</f>
        <v>600599.99999999988</v>
      </c>
      <c r="F327" s="230">
        <f>E327*C327</f>
        <v>600599.99999999988</v>
      </c>
      <c r="I327" s="214"/>
      <c r="J327" s="214"/>
      <c r="K327" s="214"/>
      <c r="L327" s="214"/>
      <c r="M327" s="214"/>
      <c r="N327" s="214"/>
      <c r="O327" s="258"/>
      <c r="P327" s="259"/>
      <c r="Q327" s="259"/>
      <c r="R327" s="214"/>
    </row>
    <row r="328" spans="1:20" ht="14.25" customHeight="1" x14ac:dyDescent="0.25">
      <c r="F328" s="230"/>
      <c r="I328" s="214"/>
      <c r="J328" s="214"/>
      <c r="K328" s="214"/>
      <c r="L328" s="214"/>
      <c r="M328" s="214"/>
      <c r="N328" s="214"/>
      <c r="O328" s="258"/>
      <c r="P328" s="259"/>
      <c r="Q328" s="259"/>
      <c r="R328" s="214"/>
    </row>
    <row r="329" spans="1:20" ht="14.25" customHeight="1" x14ac:dyDescent="0.25">
      <c r="A329" s="206" t="s">
        <v>4</v>
      </c>
      <c r="B329" s="214" t="s">
        <v>1065</v>
      </c>
      <c r="C329" s="205">
        <v>1</v>
      </c>
      <c r="D329" s="206" t="s">
        <v>3</v>
      </c>
      <c r="E329" s="320">
        <f>2.1*3.3*65000</f>
        <v>450450</v>
      </c>
      <c r="F329" s="230">
        <f>E329*C329</f>
        <v>450450</v>
      </c>
      <c r="I329" s="214"/>
      <c r="J329" s="214"/>
      <c r="K329" s="214"/>
      <c r="L329" s="214"/>
      <c r="M329" s="214"/>
      <c r="N329" s="214"/>
      <c r="O329" s="258"/>
      <c r="P329" s="259"/>
      <c r="Q329" s="259"/>
      <c r="R329" s="214"/>
    </row>
    <row r="330" spans="1:20" x14ac:dyDescent="0.25">
      <c r="C330" s="221"/>
      <c r="D330" s="209"/>
      <c r="F330" s="214"/>
      <c r="G330" s="214"/>
    </row>
    <row r="331" spans="1:20" ht="14.25" customHeight="1" x14ac:dyDescent="0.25">
      <c r="A331" s="206" t="s">
        <v>5</v>
      </c>
      <c r="B331" s="214" t="s">
        <v>1066</v>
      </c>
      <c r="C331" s="205">
        <v>1</v>
      </c>
      <c r="D331" s="206" t="s">
        <v>3</v>
      </c>
      <c r="E331" s="320">
        <f>1.2*0.9*65000</f>
        <v>70200</v>
      </c>
      <c r="F331" s="230">
        <f>E331*C331</f>
        <v>70200</v>
      </c>
      <c r="I331" s="214"/>
      <c r="J331" s="214"/>
      <c r="K331" s="214"/>
      <c r="L331" s="214"/>
      <c r="M331" s="214"/>
      <c r="N331" s="214"/>
      <c r="O331" s="258"/>
      <c r="P331" s="259"/>
      <c r="Q331" s="259"/>
      <c r="R331" s="214"/>
    </row>
    <row r="332" spans="1:20" x14ac:dyDescent="0.25">
      <c r="C332" s="221"/>
      <c r="D332" s="209"/>
      <c r="F332" s="214"/>
      <c r="G332" s="214"/>
    </row>
    <row r="333" spans="1:20" ht="14.25" customHeight="1" x14ac:dyDescent="0.25">
      <c r="A333" s="206" t="s">
        <v>6</v>
      </c>
      <c r="B333" s="214" t="s">
        <v>1067</v>
      </c>
      <c r="C333" s="205">
        <v>1</v>
      </c>
      <c r="D333" s="206" t="s">
        <v>3</v>
      </c>
      <c r="E333" s="320">
        <f>1.5*1.5*65000</f>
        <v>146250</v>
      </c>
      <c r="F333" s="230">
        <f>E333*C333</f>
        <v>146250</v>
      </c>
      <c r="I333" s="214"/>
      <c r="J333" s="214"/>
      <c r="K333" s="214"/>
      <c r="L333" s="214"/>
      <c r="M333" s="214"/>
      <c r="N333" s="214"/>
      <c r="O333" s="258"/>
      <c r="P333" s="259"/>
      <c r="Q333" s="259"/>
      <c r="R333" s="214"/>
    </row>
    <row r="334" spans="1:20" x14ac:dyDescent="0.25">
      <c r="C334" s="221"/>
      <c r="D334" s="209"/>
      <c r="F334" s="214"/>
      <c r="G334" s="214"/>
    </row>
    <row r="335" spans="1:20" ht="14.25" customHeight="1" x14ac:dyDescent="0.25">
      <c r="A335" s="206" t="s">
        <v>7</v>
      </c>
      <c r="B335" s="214" t="s">
        <v>1068</v>
      </c>
      <c r="C335" s="205">
        <v>2</v>
      </c>
      <c r="D335" s="206" t="s">
        <v>3</v>
      </c>
      <c r="E335" s="320">
        <f>1.2*1.5*65000</f>
        <v>116999.99999999999</v>
      </c>
      <c r="F335" s="230">
        <f>E335*C335</f>
        <v>233999.99999999997</v>
      </c>
      <c r="I335" s="214"/>
      <c r="J335" s="214"/>
      <c r="K335" s="214"/>
      <c r="L335" s="214"/>
      <c r="M335" s="214"/>
      <c r="N335" s="214"/>
      <c r="O335" s="258"/>
      <c r="P335" s="259"/>
      <c r="Q335" s="259"/>
      <c r="R335" s="214"/>
    </row>
    <row r="336" spans="1:20" x14ac:dyDescent="0.25">
      <c r="C336" s="221"/>
      <c r="D336" s="209"/>
      <c r="F336" s="214"/>
      <c r="G336" s="214"/>
    </row>
    <row r="337" spans="1:18" ht="14.25" customHeight="1" x14ac:dyDescent="0.25">
      <c r="A337" s="206" t="s">
        <v>8</v>
      </c>
      <c r="B337" s="214" t="s">
        <v>1069</v>
      </c>
      <c r="C337" s="205">
        <v>2</v>
      </c>
      <c r="D337" s="206" t="s">
        <v>3</v>
      </c>
      <c r="E337" s="320">
        <f>0.45*2.4*65000</f>
        <v>70200</v>
      </c>
      <c r="F337" s="230">
        <f>E337*C337</f>
        <v>140400</v>
      </c>
      <c r="I337" s="214"/>
      <c r="J337" s="214"/>
      <c r="K337" s="214"/>
      <c r="L337" s="214"/>
      <c r="M337" s="214"/>
      <c r="N337" s="214"/>
      <c r="O337" s="258"/>
      <c r="P337" s="259"/>
      <c r="Q337" s="259"/>
      <c r="R337" s="214"/>
    </row>
    <row r="338" spans="1:18" x14ac:dyDescent="0.25">
      <c r="C338" s="221"/>
      <c r="D338" s="209"/>
      <c r="F338" s="214"/>
      <c r="G338" s="214"/>
    </row>
    <row r="339" spans="1:18" ht="14.25" customHeight="1" x14ac:dyDescent="0.25">
      <c r="A339" s="206" t="s">
        <v>9</v>
      </c>
      <c r="B339" s="214" t="s">
        <v>1063</v>
      </c>
      <c r="C339" s="205">
        <v>4</v>
      </c>
      <c r="D339" s="206" t="s">
        <v>3</v>
      </c>
      <c r="E339" s="320">
        <f>0.6*0.6*65000</f>
        <v>23400</v>
      </c>
      <c r="F339" s="230">
        <f>E339*C339</f>
        <v>93600</v>
      </c>
      <c r="I339" s="214"/>
      <c r="J339" s="214"/>
      <c r="K339" s="214"/>
      <c r="L339" s="214"/>
      <c r="M339" s="214"/>
      <c r="N339" s="214"/>
      <c r="O339" s="258"/>
      <c r="P339" s="259"/>
      <c r="Q339" s="259"/>
      <c r="R339" s="214"/>
    </row>
    <row r="340" spans="1:18" x14ac:dyDescent="0.25">
      <c r="C340" s="221"/>
      <c r="D340" s="209"/>
      <c r="F340" s="214"/>
      <c r="G340" s="214"/>
    </row>
    <row r="341" spans="1:18" ht="14.25" customHeight="1" x14ac:dyDescent="0.25">
      <c r="A341" s="206" t="s">
        <v>10</v>
      </c>
      <c r="B341" s="214" t="s">
        <v>1070</v>
      </c>
      <c r="C341" s="205">
        <v>1</v>
      </c>
      <c r="D341" s="206" t="s">
        <v>3</v>
      </c>
      <c r="E341" s="320">
        <f>0.45*1.5*65000</f>
        <v>43875</v>
      </c>
      <c r="F341" s="230">
        <f>E341*C341</f>
        <v>43875</v>
      </c>
      <c r="I341" s="214"/>
      <c r="J341" s="214"/>
      <c r="K341" s="214"/>
      <c r="L341" s="214"/>
      <c r="M341" s="214"/>
      <c r="N341" s="214"/>
      <c r="O341" s="258"/>
      <c r="P341" s="259"/>
      <c r="Q341" s="259"/>
      <c r="R341" s="214"/>
    </row>
    <row r="342" spans="1:18" x14ac:dyDescent="0.25">
      <c r="C342" s="221"/>
      <c r="D342" s="209"/>
      <c r="F342" s="214"/>
      <c r="G342" s="214"/>
    </row>
    <row r="343" spans="1:18" ht="14.25" customHeight="1" x14ac:dyDescent="0.25">
      <c r="A343" s="206" t="s">
        <v>11</v>
      </c>
      <c r="B343" s="214" t="s">
        <v>1071</v>
      </c>
      <c r="C343" s="205">
        <v>2</v>
      </c>
      <c r="D343" s="206" t="s">
        <v>3</v>
      </c>
      <c r="E343" s="320">
        <f>1.2*0.6*65000</f>
        <v>46800</v>
      </c>
      <c r="F343" s="230">
        <f>E343*C343</f>
        <v>93600</v>
      </c>
      <c r="I343" s="214"/>
      <c r="J343" s="214"/>
      <c r="K343" s="214"/>
      <c r="L343" s="214"/>
      <c r="M343" s="214"/>
      <c r="N343" s="214"/>
      <c r="O343" s="258"/>
      <c r="P343" s="259"/>
      <c r="Q343" s="259"/>
      <c r="R343" s="214"/>
    </row>
    <row r="344" spans="1:18" x14ac:dyDescent="0.25">
      <c r="C344" s="221"/>
      <c r="D344" s="209"/>
      <c r="F344" s="214"/>
      <c r="G344" s="214"/>
    </row>
    <row r="345" spans="1:18" x14ac:dyDescent="0.25">
      <c r="C345" s="221"/>
      <c r="D345" s="209"/>
      <c r="F345" s="214"/>
      <c r="G345" s="214"/>
    </row>
    <row r="346" spans="1:18" ht="99" x14ac:dyDescent="0.25">
      <c r="B346" s="234" t="s">
        <v>1004</v>
      </c>
      <c r="E346" s="304"/>
      <c r="F346" s="230"/>
      <c r="G346" s="208"/>
      <c r="H346" s="223"/>
    </row>
    <row r="347" spans="1:18" x14ac:dyDescent="0.25">
      <c r="B347" s="224"/>
      <c r="E347" s="304"/>
      <c r="F347" s="230"/>
      <c r="G347" s="208"/>
      <c r="H347" s="223"/>
    </row>
    <row r="348" spans="1:18" x14ac:dyDescent="0.25">
      <c r="A348" s="206" t="s">
        <v>12</v>
      </c>
      <c r="B348" s="214" t="s">
        <v>1062</v>
      </c>
      <c r="C348" s="205">
        <v>2</v>
      </c>
      <c r="D348" s="206" t="s">
        <v>3</v>
      </c>
      <c r="E348" s="304">
        <f>1.8*2.1*95000</f>
        <v>359100</v>
      </c>
      <c r="F348" s="207">
        <f>E348*C348</f>
        <v>718200</v>
      </c>
      <c r="G348" s="208"/>
    </row>
    <row r="349" spans="1:18" s="613" customFormat="1" x14ac:dyDescent="0.25">
      <c r="A349" s="608"/>
      <c r="B349" s="609"/>
      <c r="C349" s="610"/>
      <c r="D349" s="611"/>
      <c r="E349" s="612"/>
      <c r="F349" s="609"/>
      <c r="G349" s="609"/>
    </row>
    <row r="350" spans="1:18" x14ac:dyDescent="0.25">
      <c r="C350" s="221"/>
      <c r="D350" s="209"/>
      <c r="F350" s="214"/>
      <c r="G350" s="214"/>
    </row>
    <row r="351" spans="1:18" x14ac:dyDescent="0.25">
      <c r="C351" s="221"/>
      <c r="D351" s="209"/>
      <c r="F351" s="214"/>
      <c r="G351" s="214"/>
    </row>
    <row r="352" spans="1:18" x14ac:dyDescent="0.25">
      <c r="C352" s="221"/>
      <c r="D352" s="209"/>
      <c r="F352" s="214"/>
      <c r="G352" s="214"/>
    </row>
    <row r="353" spans="1:7" x14ac:dyDescent="0.25">
      <c r="C353" s="221"/>
      <c r="D353" s="209"/>
      <c r="F353" s="214"/>
      <c r="G353" s="214"/>
    </row>
    <row r="354" spans="1:7" x14ac:dyDescent="0.25">
      <c r="C354" s="221"/>
      <c r="D354" s="209"/>
      <c r="F354" s="214"/>
      <c r="G354" s="214"/>
    </row>
    <row r="355" spans="1:7" x14ac:dyDescent="0.25">
      <c r="B355" s="210" t="s">
        <v>200</v>
      </c>
      <c r="F355" s="230"/>
      <c r="G355" s="230"/>
    </row>
    <row r="356" spans="1:7" x14ac:dyDescent="0.25">
      <c r="B356" s="220" t="s">
        <v>534</v>
      </c>
      <c r="C356" s="221"/>
      <c r="D356" s="209"/>
      <c r="E356" s="587" t="s">
        <v>15</v>
      </c>
      <c r="F356" s="235">
        <f>SUM(F321:F355)</f>
        <v>2591175</v>
      </c>
      <c r="G356" s="235"/>
    </row>
    <row r="357" spans="1:7" x14ac:dyDescent="0.25">
      <c r="B357" s="204" t="s">
        <v>604</v>
      </c>
      <c r="F357" s="230"/>
      <c r="G357" s="230"/>
    </row>
    <row r="358" spans="1:7" x14ac:dyDescent="0.25">
      <c r="F358" s="230"/>
      <c r="G358" s="230"/>
    </row>
    <row r="359" spans="1:7" x14ac:dyDescent="0.25">
      <c r="B359" s="210" t="s">
        <v>210</v>
      </c>
      <c r="F359" s="230"/>
      <c r="G359" s="230"/>
    </row>
    <row r="360" spans="1:7" ht="21" customHeight="1" x14ac:dyDescent="0.25">
      <c r="B360" s="210"/>
      <c r="F360" s="230"/>
      <c r="G360" s="230"/>
    </row>
    <row r="361" spans="1:7" x14ac:dyDescent="0.25">
      <c r="B361" s="211" t="s">
        <v>84</v>
      </c>
      <c r="C361" s="221"/>
      <c r="D361" s="209"/>
      <c r="E361" s="589"/>
      <c r="F361" s="286"/>
      <c r="G361" s="286"/>
    </row>
    <row r="362" spans="1:7" x14ac:dyDescent="0.25">
      <c r="B362" s="226"/>
      <c r="C362" s="221"/>
      <c r="D362" s="209"/>
      <c r="E362" s="589"/>
      <c r="F362" s="286"/>
      <c r="G362" s="286"/>
    </row>
    <row r="363" spans="1:7" ht="30" x14ac:dyDescent="0.25">
      <c r="B363" s="224" t="s">
        <v>594</v>
      </c>
      <c r="C363" s="221"/>
      <c r="D363" s="209"/>
      <c r="E363" s="589"/>
      <c r="F363" s="286"/>
      <c r="G363" s="286"/>
    </row>
    <row r="364" spans="1:7" x14ac:dyDescent="0.25">
      <c r="B364" s="224"/>
      <c r="C364" s="221"/>
      <c r="D364" s="209"/>
      <c r="E364" s="589"/>
      <c r="F364" s="286"/>
      <c r="G364" s="286"/>
    </row>
    <row r="365" spans="1:7" x14ac:dyDescent="0.25">
      <c r="A365" s="206" t="s">
        <v>2</v>
      </c>
      <c r="B365" s="214" t="s">
        <v>595</v>
      </c>
      <c r="C365" s="205">
        <v>199</v>
      </c>
      <c r="D365" s="206" t="s">
        <v>511</v>
      </c>
      <c r="E365" s="532">
        <f>E277</f>
        <v>10300</v>
      </c>
      <c r="F365" s="289">
        <f>C365*E365</f>
        <v>2049700</v>
      </c>
      <c r="G365" s="289"/>
    </row>
    <row r="366" spans="1:7" x14ac:dyDescent="0.25">
      <c r="B366" s="210"/>
      <c r="E366" s="532"/>
      <c r="F366" s="291"/>
      <c r="G366" s="291"/>
    </row>
    <row r="367" spans="1:7" x14ac:dyDescent="0.25">
      <c r="A367" s="206" t="s">
        <v>4</v>
      </c>
      <c r="B367" s="214" t="s">
        <v>596</v>
      </c>
      <c r="D367" s="206" t="s">
        <v>511</v>
      </c>
      <c r="E367" s="532">
        <v>5000</v>
      </c>
      <c r="F367" s="289">
        <f>C367*E367</f>
        <v>0</v>
      </c>
      <c r="G367" s="289"/>
    </row>
    <row r="368" spans="1:7" x14ac:dyDescent="0.25">
      <c r="C368" s="256"/>
      <c r="E368" s="532"/>
      <c r="F368" s="257"/>
      <c r="G368" s="257"/>
    </row>
    <row r="369" spans="1:8" x14ac:dyDescent="0.25">
      <c r="B369" s="211" t="s">
        <v>98</v>
      </c>
      <c r="F369" s="230"/>
      <c r="G369" s="230"/>
      <c r="H369" s="284"/>
    </row>
    <row r="370" spans="1:8" x14ac:dyDescent="0.25">
      <c r="F370" s="230"/>
      <c r="G370" s="230"/>
    </row>
    <row r="371" spans="1:8" x14ac:dyDescent="0.25">
      <c r="B371" s="219" t="s">
        <v>1036</v>
      </c>
      <c r="F371" s="230"/>
      <c r="G371" s="230"/>
    </row>
    <row r="372" spans="1:8" x14ac:dyDescent="0.25">
      <c r="F372" s="230"/>
      <c r="G372" s="230"/>
    </row>
    <row r="373" spans="1:8" x14ac:dyDescent="0.25">
      <c r="A373" s="206" t="s">
        <v>5</v>
      </c>
      <c r="B373" s="214" t="s">
        <v>597</v>
      </c>
      <c r="C373" s="205">
        <v>2</v>
      </c>
      <c r="D373" s="206" t="s">
        <v>513</v>
      </c>
      <c r="E373" s="320">
        <f>E284</f>
        <v>85000</v>
      </c>
      <c r="F373" s="230">
        <f>C373*E373</f>
        <v>170000</v>
      </c>
      <c r="G373" s="230"/>
    </row>
    <row r="374" spans="1:8" x14ac:dyDescent="0.25">
      <c r="F374" s="230"/>
      <c r="G374" s="230"/>
    </row>
    <row r="375" spans="1:8" x14ac:dyDescent="0.25">
      <c r="B375" s="211" t="s">
        <v>102</v>
      </c>
      <c r="F375" s="230"/>
      <c r="G375" s="230"/>
    </row>
    <row r="376" spans="1:8" x14ac:dyDescent="0.25">
      <c r="B376" s="219"/>
      <c r="F376" s="230"/>
      <c r="G376" s="230"/>
    </row>
    <row r="377" spans="1:8" x14ac:dyDescent="0.25">
      <c r="B377" s="219" t="s">
        <v>598</v>
      </c>
      <c r="F377" s="230"/>
      <c r="G377" s="230"/>
    </row>
    <row r="378" spans="1:8" x14ac:dyDescent="0.25">
      <c r="F378" s="230"/>
      <c r="G378" s="230"/>
    </row>
    <row r="379" spans="1:8" x14ac:dyDescent="0.25">
      <c r="A379" s="206" t="s">
        <v>6</v>
      </c>
      <c r="B379" s="214" t="s">
        <v>571</v>
      </c>
      <c r="C379" s="205">
        <f>C290</f>
        <v>80</v>
      </c>
      <c r="D379" s="206" t="s">
        <v>75</v>
      </c>
      <c r="E379" s="320">
        <f>E290</f>
        <v>1250</v>
      </c>
      <c r="F379" s="230">
        <f>C379*E379</f>
        <v>100000</v>
      </c>
      <c r="G379" s="230"/>
    </row>
    <row r="380" spans="1:8" x14ac:dyDescent="0.25">
      <c r="F380" s="230"/>
      <c r="G380" s="230"/>
    </row>
    <row r="381" spans="1:8" x14ac:dyDescent="0.25">
      <c r="A381" s="206" t="s">
        <v>7</v>
      </c>
      <c r="B381" s="214" t="s">
        <v>599</v>
      </c>
      <c r="C381" s="205">
        <f>C292</f>
        <v>55</v>
      </c>
      <c r="D381" s="206" t="s">
        <v>75</v>
      </c>
      <c r="E381" s="320">
        <f>E379</f>
        <v>1250</v>
      </c>
      <c r="F381" s="230">
        <f>C381*E381</f>
        <v>68750</v>
      </c>
      <c r="G381" s="230"/>
    </row>
    <row r="382" spans="1:8" x14ac:dyDescent="0.25">
      <c r="F382" s="230"/>
      <c r="G382" s="230"/>
    </row>
    <row r="383" spans="1:8" x14ac:dyDescent="0.25">
      <c r="B383" s="211" t="s">
        <v>67</v>
      </c>
      <c r="F383" s="230"/>
      <c r="G383" s="230"/>
    </row>
    <row r="384" spans="1:8" x14ac:dyDescent="0.25">
      <c r="F384" s="230"/>
      <c r="G384" s="230"/>
    </row>
    <row r="385" spans="1:7" x14ac:dyDescent="0.25">
      <c r="B385" s="219" t="s">
        <v>120</v>
      </c>
      <c r="F385" s="230"/>
      <c r="G385" s="230"/>
    </row>
    <row r="386" spans="1:7" x14ac:dyDescent="0.25">
      <c r="F386" s="230"/>
      <c r="G386" s="230"/>
    </row>
    <row r="387" spans="1:7" x14ac:dyDescent="0.25">
      <c r="A387" s="206" t="s">
        <v>8</v>
      </c>
      <c r="B387" s="214" t="s">
        <v>600</v>
      </c>
      <c r="C387" s="205">
        <f>C298</f>
        <v>14</v>
      </c>
      <c r="D387" s="206" t="s">
        <v>511</v>
      </c>
      <c r="E387" s="320">
        <f>E298</f>
        <v>6500</v>
      </c>
      <c r="F387" s="230">
        <f>C387*E387</f>
        <v>91000</v>
      </c>
      <c r="G387" s="230"/>
    </row>
    <row r="388" spans="1:7" x14ac:dyDescent="0.25">
      <c r="B388" s="219"/>
      <c r="F388" s="227"/>
      <c r="G388" s="227"/>
    </row>
    <row r="389" spans="1:7" x14ac:dyDescent="0.25">
      <c r="F389" s="227"/>
      <c r="G389" s="227"/>
    </row>
    <row r="390" spans="1:7" x14ac:dyDescent="0.25">
      <c r="B390" s="224"/>
      <c r="F390" s="227"/>
      <c r="G390" s="227"/>
    </row>
    <row r="391" spans="1:7" x14ac:dyDescent="0.25">
      <c r="B391" s="224"/>
      <c r="F391" s="227"/>
      <c r="G391" s="227"/>
    </row>
    <row r="392" spans="1:7" x14ac:dyDescent="0.25">
      <c r="E392" s="591"/>
      <c r="F392" s="261"/>
      <c r="G392" s="261"/>
    </row>
    <row r="393" spans="1:7" x14ac:dyDescent="0.25">
      <c r="F393" s="227"/>
      <c r="G393" s="227"/>
    </row>
    <row r="394" spans="1:7" x14ac:dyDescent="0.25">
      <c r="F394" s="227"/>
      <c r="G394" s="227"/>
    </row>
    <row r="395" spans="1:7" x14ac:dyDescent="0.25">
      <c r="B395" s="219"/>
      <c r="F395" s="230"/>
      <c r="G395" s="230"/>
    </row>
    <row r="396" spans="1:7" x14ac:dyDescent="0.25">
      <c r="B396" s="219"/>
      <c r="F396" s="230"/>
      <c r="G396" s="230"/>
    </row>
    <row r="397" spans="1:7" x14ac:dyDescent="0.25">
      <c r="B397" s="224"/>
      <c r="F397" s="230"/>
      <c r="G397" s="230"/>
    </row>
    <row r="398" spans="1:7" x14ac:dyDescent="0.25">
      <c r="B398" s="224"/>
      <c r="F398" s="257"/>
      <c r="G398" s="257"/>
    </row>
    <row r="399" spans="1:7" x14ac:dyDescent="0.25">
      <c r="B399" s="224"/>
      <c r="F399" s="257"/>
      <c r="G399" s="257"/>
    </row>
    <row r="400" spans="1:7" x14ac:dyDescent="0.25">
      <c r="B400" s="224"/>
      <c r="F400" s="257"/>
      <c r="G400" s="257"/>
    </row>
    <row r="401" spans="1:7" x14ac:dyDescent="0.25">
      <c r="B401" s="224"/>
      <c r="F401" s="257"/>
      <c r="G401" s="257"/>
    </row>
    <row r="402" spans="1:7" x14ac:dyDescent="0.25">
      <c r="B402" s="210" t="s">
        <v>210</v>
      </c>
      <c r="C402" s="221"/>
      <c r="D402" s="209"/>
      <c r="E402" s="588"/>
      <c r="F402" s="235"/>
      <c r="G402" s="235"/>
    </row>
    <row r="403" spans="1:7" x14ac:dyDescent="0.25">
      <c r="B403" s="220" t="s">
        <v>534</v>
      </c>
      <c r="C403" s="221"/>
      <c r="D403" s="209"/>
      <c r="E403" s="587" t="s">
        <v>15</v>
      </c>
      <c r="F403" s="235">
        <f>SUM(F361:F402)</f>
        <v>2479450</v>
      </c>
      <c r="G403" s="235"/>
    </row>
    <row r="404" spans="1:7" x14ac:dyDescent="0.25">
      <c r="B404" s="210" t="s">
        <v>605</v>
      </c>
      <c r="F404" s="230"/>
      <c r="G404" s="230"/>
    </row>
    <row r="405" spans="1:7" x14ac:dyDescent="0.25">
      <c r="B405" s="220"/>
      <c r="F405" s="230"/>
      <c r="G405" s="230"/>
    </row>
    <row r="406" spans="1:7" x14ac:dyDescent="0.25">
      <c r="B406" s="210" t="s">
        <v>213</v>
      </c>
      <c r="F406" s="230"/>
      <c r="G406" s="230"/>
    </row>
    <row r="407" spans="1:7" x14ac:dyDescent="0.25">
      <c r="F407" s="230"/>
      <c r="G407" s="230"/>
    </row>
    <row r="408" spans="1:7" x14ac:dyDescent="0.25">
      <c r="B408" s="210" t="s">
        <v>606</v>
      </c>
      <c r="F408" s="230"/>
      <c r="G408" s="230"/>
    </row>
    <row r="409" spans="1:7" x14ac:dyDescent="0.25">
      <c r="E409" s="532"/>
    </row>
    <row r="410" spans="1:7" ht="60" x14ac:dyDescent="0.25">
      <c r="B410" s="224" t="s">
        <v>1012</v>
      </c>
      <c r="F410" s="230"/>
      <c r="G410" s="230"/>
    </row>
    <row r="411" spans="1:7" ht="22.5" customHeight="1" x14ac:dyDescent="0.25">
      <c r="A411" s="206" t="s">
        <v>2</v>
      </c>
      <c r="B411" s="214" t="s">
        <v>1072</v>
      </c>
      <c r="C411" s="205">
        <v>1</v>
      </c>
      <c r="D411" s="206" t="s">
        <v>3</v>
      </c>
      <c r="E411" s="592">
        <f>1.2*2.1*95000</f>
        <v>239400</v>
      </c>
      <c r="F411" s="207">
        <f>E411*C411</f>
        <v>239400</v>
      </c>
    </row>
    <row r="412" spans="1:7" x14ac:dyDescent="0.25">
      <c r="B412" s="210"/>
      <c r="F412" s="230"/>
      <c r="G412" s="230"/>
    </row>
    <row r="413" spans="1:7" ht="22.5" customHeight="1" x14ac:dyDescent="0.25">
      <c r="A413" s="206" t="s">
        <v>4</v>
      </c>
      <c r="B413" s="214" t="s">
        <v>1037</v>
      </c>
      <c r="C413" s="205">
        <v>6</v>
      </c>
      <c r="D413" s="206" t="s">
        <v>3</v>
      </c>
      <c r="E413" s="592">
        <f>0.9*2.1*95000</f>
        <v>179550</v>
      </c>
      <c r="F413" s="207">
        <f>E413*C413</f>
        <v>1077300</v>
      </c>
    </row>
    <row r="414" spans="1:7" x14ac:dyDescent="0.25">
      <c r="E414" s="592"/>
      <c r="F414" s="289"/>
      <c r="G414" s="289"/>
    </row>
    <row r="415" spans="1:7" ht="22.5" customHeight="1" x14ac:dyDescent="0.25">
      <c r="A415" s="206" t="s">
        <v>5</v>
      </c>
      <c r="B415" s="214" t="s">
        <v>1037</v>
      </c>
      <c r="C415" s="205">
        <v>4</v>
      </c>
      <c r="D415" s="206" t="s">
        <v>3</v>
      </c>
      <c r="E415" s="592">
        <f>0.75*2.1*95000</f>
        <v>149625.00000000003</v>
      </c>
      <c r="F415" s="207">
        <f>E415*C415</f>
        <v>598500.00000000012</v>
      </c>
    </row>
    <row r="416" spans="1:7" x14ac:dyDescent="0.25">
      <c r="B416" s="219"/>
      <c r="F416" s="230"/>
      <c r="G416" s="230"/>
    </row>
    <row r="417" spans="2:7" x14ac:dyDescent="0.25">
      <c r="B417" s="219"/>
      <c r="F417" s="230"/>
      <c r="G417" s="230"/>
    </row>
    <row r="418" spans="2:7" x14ac:dyDescent="0.25">
      <c r="B418" s="219"/>
      <c r="F418" s="230"/>
      <c r="G418" s="230"/>
    </row>
    <row r="419" spans="2:7" x14ac:dyDescent="0.25">
      <c r="B419" s="219"/>
      <c r="F419" s="230"/>
      <c r="G419" s="230"/>
    </row>
    <row r="420" spans="2:7" x14ac:dyDescent="0.25">
      <c r="B420" s="219"/>
      <c r="F420" s="230"/>
      <c r="G420" s="230"/>
    </row>
    <row r="421" spans="2:7" x14ac:dyDescent="0.25">
      <c r="B421" s="219"/>
      <c r="F421" s="230"/>
      <c r="G421" s="230"/>
    </row>
    <row r="422" spans="2:7" x14ac:dyDescent="0.25">
      <c r="B422" s="219"/>
      <c r="F422" s="230"/>
      <c r="G422" s="230"/>
    </row>
    <row r="423" spans="2:7" x14ac:dyDescent="0.25">
      <c r="B423" s="219"/>
      <c r="F423" s="230"/>
      <c r="G423" s="230"/>
    </row>
    <row r="424" spans="2:7" x14ac:dyDescent="0.25">
      <c r="B424" s="219"/>
      <c r="F424" s="230"/>
      <c r="G424" s="230"/>
    </row>
    <row r="425" spans="2:7" x14ac:dyDescent="0.25">
      <c r="B425" s="219"/>
      <c r="F425" s="230"/>
      <c r="G425" s="230"/>
    </row>
    <row r="426" spans="2:7" x14ac:dyDescent="0.25">
      <c r="B426" s="219"/>
      <c r="F426" s="230"/>
      <c r="G426" s="230"/>
    </row>
    <row r="427" spans="2:7" x14ac:dyDescent="0.25">
      <c r="B427" s="210" t="s">
        <v>607</v>
      </c>
      <c r="C427" s="221"/>
      <c r="D427" s="209"/>
      <c r="E427" s="588"/>
      <c r="F427" s="235"/>
      <c r="G427" s="235"/>
    </row>
    <row r="428" spans="2:7" x14ac:dyDescent="0.25">
      <c r="B428" s="220" t="s">
        <v>534</v>
      </c>
      <c r="C428" s="221"/>
      <c r="D428" s="209"/>
      <c r="E428" s="587" t="s">
        <v>15</v>
      </c>
      <c r="F428" s="286">
        <f>SUM(F407:F427)</f>
        <v>1915200</v>
      </c>
      <c r="G428" s="286"/>
    </row>
    <row r="429" spans="2:7" x14ac:dyDescent="0.25">
      <c r="B429" s="210" t="s">
        <v>608</v>
      </c>
    </row>
    <row r="430" spans="2:7" x14ac:dyDescent="0.25">
      <c r="B430" s="210"/>
    </row>
    <row r="431" spans="2:7" x14ac:dyDescent="0.25">
      <c r="B431" s="210" t="s">
        <v>781</v>
      </c>
    </row>
    <row r="432" spans="2:7" x14ac:dyDescent="0.25">
      <c r="B432" s="210"/>
    </row>
    <row r="433" spans="1:8" x14ac:dyDescent="0.25">
      <c r="B433" s="211" t="s">
        <v>784</v>
      </c>
      <c r="F433" s="230"/>
      <c r="G433" s="230"/>
    </row>
    <row r="434" spans="1:8" ht="33" x14ac:dyDescent="0.25">
      <c r="B434" s="242" t="s">
        <v>785</v>
      </c>
      <c r="F434" s="230"/>
      <c r="G434" s="230"/>
    </row>
    <row r="435" spans="1:8" x14ac:dyDescent="0.25">
      <c r="A435" s="206" t="s">
        <v>10</v>
      </c>
      <c r="B435" s="233" t="s">
        <v>1038</v>
      </c>
      <c r="C435" s="262"/>
      <c r="D435" s="206" t="s">
        <v>22</v>
      </c>
      <c r="E435" s="320">
        <v>50000</v>
      </c>
      <c r="F435" s="207">
        <f t="shared" ref="F435" si="3">E435*C435</f>
        <v>0</v>
      </c>
    </row>
    <row r="436" spans="1:8" x14ac:dyDescent="0.25">
      <c r="B436" s="211" t="s">
        <v>1039</v>
      </c>
      <c r="F436" s="230"/>
      <c r="G436" s="230"/>
    </row>
    <row r="437" spans="1:8" x14ac:dyDescent="0.25">
      <c r="B437" s="225" t="s">
        <v>787</v>
      </c>
      <c r="F437" s="230"/>
      <c r="G437" s="230"/>
    </row>
    <row r="438" spans="1:8" ht="30" x14ac:dyDescent="0.25">
      <c r="B438" s="246" t="s">
        <v>788</v>
      </c>
      <c r="C438" s="262"/>
      <c r="F438" s="230"/>
      <c r="G438" s="230"/>
    </row>
    <row r="439" spans="1:8" x14ac:dyDescent="0.25">
      <c r="A439" s="206" t="s">
        <v>14</v>
      </c>
      <c r="B439" s="233" t="s">
        <v>789</v>
      </c>
      <c r="C439" s="262">
        <v>15</v>
      </c>
      <c r="D439" s="206" t="s">
        <v>35</v>
      </c>
      <c r="E439" s="320">
        <v>6000</v>
      </c>
      <c r="F439" s="207">
        <f>E439*C439</f>
        <v>90000</v>
      </c>
    </row>
    <row r="440" spans="1:8" x14ac:dyDescent="0.25">
      <c r="B440" s="233"/>
      <c r="C440" s="262"/>
      <c r="F440" s="230"/>
      <c r="G440" s="230"/>
    </row>
    <row r="441" spans="1:8" x14ac:dyDescent="0.25">
      <c r="B441" s="233"/>
      <c r="F441" s="230"/>
      <c r="G441" s="230"/>
    </row>
    <row r="442" spans="1:8" x14ac:dyDescent="0.25">
      <c r="B442" s="233"/>
      <c r="F442" s="230"/>
      <c r="G442" s="230"/>
    </row>
    <row r="443" spans="1:8" x14ac:dyDescent="0.25">
      <c r="B443" s="210" t="s">
        <v>781</v>
      </c>
    </row>
    <row r="444" spans="1:8" x14ac:dyDescent="0.25">
      <c r="B444" s="220" t="s">
        <v>534</v>
      </c>
      <c r="E444" s="593" t="s">
        <v>15</v>
      </c>
      <c r="F444" s="285">
        <f>SUM(F433:F443)</f>
        <v>90000</v>
      </c>
      <c r="G444" s="285"/>
    </row>
    <row r="445" spans="1:8" x14ac:dyDescent="0.25">
      <c r="B445" s="210" t="s">
        <v>609</v>
      </c>
    </row>
    <row r="446" spans="1:8" x14ac:dyDescent="0.25">
      <c r="B446" s="220"/>
    </row>
    <row r="447" spans="1:8" x14ac:dyDescent="0.25">
      <c r="B447" s="210" t="s">
        <v>236</v>
      </c>
      <c r="H447" s="284"/>
    </row>
    <row r="448" spans="1:8" x14ac:dyDescent="0.25">
      <c r="B448" s="219" t="s">
        <v>610</v>
      </c>
    </row>
    <row r="449" spans="1:8" ht="12.75" customHeight="1" x14ac:dyDescent="0.25"/>
    <row r="450" spans="1:8" x14ac:dyDescent="0.25">
      <c r="B450" s="211" t="s">
        <v>283</v>
      </c>
    </row>
    <row r="451" spans="1:8" ht="10.5" customHeight="1" x14ac:dyDescent="0.25">
      <c r="B451" s="224" t="s">
        <v>611</v>
      </c>
    </row>
    <row r="453" spans="1:8" x14ac:dyDescent="0.25">
      <c r="A453" s="206" t="s">
        <v>2</v>
      </c>
      <c r="B453" s="214" t="s">
        <v>612</v>
      </c>
      <c r="C453" s="205">
        <f>ROUND((C365+C367)*2,0)+(C277)</f>
        <v>707</v>
      </c>
      <c r="D453" s="206" t="s">
        <v>35</v>
      </c>
      <c r="E453" s="320">
        <f>E227</f>
        <v>3500</v>
      </c>
      <c r="F453" s="207">
        <f>E453*C453</f>
        <v>2474500</v>
      </c>
      <c r="H453" s="263"/>
    </row>
    <row r="454" spans="1:8" ht="30" x14ac:dyDescent="0.25">
      <c r="A454" s="206" t="s">
        <v>4</v>
      </c>
      <c r="B454" s="218" t="s">
        <v>613</v>
      </c>
      <c r="C454" s="205">
        <v>56</v>
      </c>
      <c r="D454" s="206" t="s">
        <v>22</v>
      </c>
      <c r="E454" s="320">
        <f>E453*0.3</f>
        <v>1050</v>
      </c>
      <c r="F454" s="207">
        <f>E454*C454</f>
        <v>58800</v>
      </c>
      <c r="H454" s="263"/>
    </row>
    <row r="455" spans="1:8" x14ac:dyDescent="0.25">
      <c r="B455" s="210" t="s">
        <v>614</v>
      </c>
      <c r="H455" s="263"/>
    </row>
    <row r="456" spans="1:8" x14ac:dyDescent="0.25">
      <c r="B456" s="219" t="s">
        <v>615</v>
      </c>
      <c r="C456" s="256"/>
      <c r="H456" s="263"/>
    </row>
    <row r="457" spans="1:8" ht="45" x14ac:dyDescent="0.25">
      <c r="B457" s="246" t="s">
        <v>616</v>
      </c>
    </row>
    <row r="458" spans="1:8" x14ac:dyDescent="0.25">
      <c r="A458" s="206" t="s">
        <v>5</v>
      </c>
      <c r="B458" s="214" t="s">
        <v>617</v>
      </c>
      <c r="C458" s="205">
        <f>C453-C470</f>
        <v>649</v>
      </c>
      <c r="D458" s="206" t="s">
        <v>35</v>
      </c>
      <c r="E458" s="320">
        <v>1400</v>
      </c>
      <c r="F458" s="207">
        <f>E458*C458</f>
        <v>908600</v>
      </c>
    </row>
    <row r="459" spans="1:8" ht="25.5" customHeight="1" x14ac:dyDescent="0.25">
      <c r="A459" s="206" t="s">
        <v>6</v>
      </c>
      <c r="B459" s="218" t="s">
        <v>618</v>
      </c>
      <c r="C459" s="205">
        <f>C454</f>
        <v>56</v>
      </c>
      <c r="D459" s="206" t="s">
        <v>22</v>
      </c>
      <c r="E459" s="320">
        <v>450</v>
      </c>
      <c r="F459" s="207">
        <f>E459*C459</f>
        <v>25200</v>
      </c>
    </row>
    <row r="460" spans="1:8" x14ac:dyDescent="0.25">
      <c r="B460" s="210" t="s">
        <v>152</v>
      </c>
    </row>
    <row r="461" spans="1:8" ht="30" x14ac:dyDescent="0.25">
      <c r="B461" s="224" t="s">
        <v>1040</v>
      </c>
    </row>
    <row r="462" spans="1:8" x14ac:dyDescent="0.25">
      <c r="A462" s="206" t="s">
        <v>7</v>
      </c>
      <c r="B462" s="214" t="s">
        <v>612</v>
      </c>
      <c r="C462" s="205">
        <f>C458</f>
        <v>649</v>
      </c>
      <c r="D462" s="206" t="s">
        <v>35</v>
      </c>
      <c r="E462" s="320">
        <v>2200</v>
      </c>
      <c r="F462" s="207">
        <f>E462*C462</f>
        <v>1427800</v>
      </c>
    </row>
    <row r="463" spans="1:8" x14ac:dyDescent="0.25">
      <c r="A463" s="206" t="s">
        <v>8</v>
      </c>
      <c r="B463" s="214" t="s">
        <v>620</v>
      </c>
      <c r="C463" s="205">
        <f>C459</f>
        <v>56</v>
      </c>
      <c r="D463" s="206" t="s">
        <v>22</v>
      </c>
      <c r="E463" s="320">
        <f>E462*0.3</f>
        <v>660</v>
      </c>
      <c r="F463" s="207">
        <f>E463*C463</f>
        <v>36960</v>
      </c>
    </row>
    <row r="464" spans="1:8" ht="33" x14ac:dyDescent="0.25">
      <c r="B464" s="234" t="s">
        <v>621</v>
      </c>
    </row>
    <row r="465" spans="1:9" ht="60" x14ac:dyDescent="0.25">
      <c r="B465" s="218" t="s">
        <v>622</v>
      </c>
    </row>
    <row r="466" spans="1:9" x14ac:dyDescent="0.25">
      <c r="A466" s="206" t="s">
        <v>9</v>
      </c>
      <c r="B466" s="214" t="s">
        <v>623</v>
      </c>
      <c r="D466" s="206" t="s">
        <v>35</v>
      </c>
      <c r="E466" s="320">
        <v>7500</v>
      </c>
      <c r="F466" s="207">
        <f>E467*C466</f>
        <v>0</v>
      </c>
    </row>
    <row r="467" spans="1:9" x14ac:dyDescent="0.25">
      <c r="A467" s="206" t="s">
        <v>10</v>
      </c>
      <c r="B467" s="214" t="s">
        <v>624</v>
      </c>
      <c r="C467" s="205">
        <v>58</v>
      </c>
      <c r="D467" s="206" t="s">
        <v>35</v>
      </c>
      <c r="E467" s="320">
        <f>E466</f>
        <v>7500</v>
      </c>
      <c r="F467" s="207">
        <f>E467*C467</f>
        <v>435000</v>
      </c>
      <c r="I467" s="263"/>
    </row>
    <row r="468" spans="1:9" ht="49.5" x14ac:dyDescent="0.25">
      <c r="B468" s="234" t="s">
        <v>625</v>
      </c>
    </row>
    <row r="469" spans="1:9" x14ac:dyDescent="0.25">
      <c r="B469" s="219" t="s">
        <v>626</v>
      </c>
      <c r="H469" s="284"/>
    </row>
    <row r="470" spans="1:9" x14ac:dyDescent="0.25">
      <c r="A470" s="206" t="s">
        <v>11</v>
      </c>
      <c r="B470" s="214" t="s">
        <v>627</v>
      </c>
      <c r="C470" s="205">
        <f>C467+C466</f>
        <v>58</v>
      </c>
      <c r="D470" s="206" t="s">
        <v>35</v>
      </c>
      <c r="E470" s="320">
        <v>4200</v>
      </c>
      <c r="F470" s="207">
        <f>E470*C470</f>
        <v>243600</v>
      </c>
    </row>
    <row r="471" spans="1:9" x14ac:dyDescent="0.25">
      <c r="B471" s="210" t="s">
        <v>628</v>
      </c>
      <c r="F471" s="230"/>
      <c r="G471" s="230"/>
    </row>
    <row r="472" spans="1:9" x14ac:dyDescent="0.25">
      <c r="B472" s="220" t="s">
        <v>629</v>
      </c>
      <c r="F472" s="230"/>
      <c r="G472" s="230"/>
    </row>
    <row r="473" spans="1:9" ht="30" x14ac:dyDescent="0.25">
      <c r="B473" s="224" t="s">
        <v>630</v>
      </c>
      <c r="F473" s="230"/>
      <c r="G473" s="230"/>
    </row>
    <row r="474" spans="1:9" ht="18" customHeight="1" x14ac:dyDescent="0.25">
      <c r="A474" s="206" t="s">
        <v>12</v>
      </c>
      <c r="B474" s="214" t="s">
        <v>612</v>
      </c>
      <c r="C474" s="205">
        <f>C277</f>
        <v>309</v>
      </c>
      <c r="D474" s="206" t="s">
        <v>35</v>
      </c>
      <c r="E474" s="320">
        <f>E453</f>
        <v>3500</v>
      </c>
      <c r="F474" s="207">
        <f>E474*C474</f>
        <v>1081500</v>
      </c>
    </row>
    <row r="475" spans="1:9" x14ac:dyDescent="0.25">
      <c r="A475" s="206" t="s">
        <v>13</v>
      </c>
      <c r="B475" s="233" t="s">
        <v>24</v>
      </c>
      <c r="D475" s="206" t="s">
        <v>35</v>
      </c>
      <c r="E475" s="320">
        <f>E474</f>
        <v>3500</v>
      </c>
      <c r="F475" s="207">
        <f>E475*C475</f>
        <v>0</v>
      </c>
    </row>
    <row r="476" spans="1:9" ht="30" x14ac:dyDescent="0.25">
      <c r="A476" s="206" t="s">
        <v>14</v>
      </c>
      <c r="B476" s="246" t="s">
        <v>631</v>
      </c>
      <c r="C476" s="205">
        <v>66</v>
      </c>
      <c r="D476" s="206" t="s">
        <v>22</v>
      </c>
      <c r="E476" s="320">
        <f>E454</f>
        <v>1050</v>
      </c>
      <c r="F476" s="207">
        <f>E476*C476</f>
        <v>69300</v>
      </c>
    </row>
    <row r="477" spans="1:9" x14ac:dyDescent="0.25">
      <c r="B477" s="233"/>
    </row>
    <row r="478" spans="1:9" x14ac:dyDescent="0.25">
      <c r="B478" s="233"/>
    </row>
    <row r="479" spans="1:9" x14ac:dyDescent="0.25">
      <c r="B479" s="220" t="s">
        <v>520</v>
      </c>
      <c r="C479" s="221"/>
      <c r="D479" s="209"/>
      <c r="E479" s="587" t="s">
        <v>15</v>
      </c>
      <c r="F479" s="222">
        <f>SUM(F448:F477)</f>
        <v>6761260</v>
      </c>
    </row>
    <row r="480" spans="1:9" ht="19.5" customHeight="1" x14ac:dyDescent="0.25">
      <c r="B480" s="210" t="s">
        <v>632</v>
      </c>
    </row>
    <row r="481" spans="1:9" ht="12.75" customHeight="1" x14ac:dyDescent="0.25">
      <c r="B481" s="233"/>
    </row>
    <row r="482" spans="1:9" s="269" customFormat="1" x14ac:dyDescent="0.25">
      <c r="A482" s="265"/>
      <c r="B482" s="266" t="s">
        <v>615</v>
      </c>
      <c r="C482" s="267"/>
      <c r="D482" s="265"/>
      <c r="E482" s="594"/>
      <c r="F482" s="268"/>
      <c r="I482" s="259"/>
    </row>
    <row r="483" spans="1:9" s="269" customFormat="1" ht="45" x14ac:dyDescent="0.25">
      <c r="A483" s="265"/>
      <c r="B483" s="270" t="s">
        <v>616</v>
      </c>
      <c r="C483" s="267"/>
      <c r="D483" s="265"/>
      <c r="E483" s="594"/>
      <c r="F483" s="268"/>
      <c r="I483" s="259"/>
    </row>
    <row r="484" spans="1:9" s="269" customFormat="1" x14ac:dyDescent="0.25">
      <c r="A484" s="265" t="s">
        <v>2</v>
      </c>
      <c r="B484" s="269" t="s">
        <v>617</v>
      </c>
      <c r="C484" s="262">
        <f>C474</f>
        <v>309</v>
      </c>
      <c r="D484" s="265" t="s">
        <v>35</v>
      </c>
      <c r="E484" s="594">
        <f>E458</f>
        <v>1400</v>
      </c>
      <c r="F484" s="268">
        <f>E484*C484</f>
        <v>432600</v>
      </c>
      <c r="I484" s="259"/>
    </row>
    <row r="485" spans="1:9" s="269" customFormat="1" ht="24" customHeight="1" x14ac:dyDescent="0.25">
      <c r="A485" s="265" t="s">
        <v>4</v>
      </c>
      <c r="B485" s="271" t="s">
        <v>618</v>
      </c>
      <c r="C485" s="262">
        <f>C476</f>
        <v>66</v>
      </c>
      <c r="D485" s="265" t="s">
        <v>22</v>
      </c>
      <c r="E485" s="594">
        <f>E484*0.3</f>
        <v>420</v>
      </c>
      <c r="F485" s="268">
        <f>E485*C485</f>
        <v>27720</v>
      </c>
      <c r="I485" s="259"/>
    </row>
    <row r="486" spans="1:9" s="269" customFormat="1" x14ac:dyDescent="0.25">
      <c r="A486" s="265"/>
      <c r="B486" s="271"/>
      <c r="C486" s="262"/>
      <c r="D486" s="265"/>
      <c r="E486" s="595"/>
      <c r="F486" s="268"/>
      <c r="I486" s="259"/>
    </row>
    <row r="487" spans="1:9" ht="27" customHeight="1" x14ac:dyDescent="0.25">
      <c r="B487" s="210" t="s">
        <v>152</v>
      </c>
    </row>
    <row r="488" spans="1:9" ht="45" x14ac:dyDescent="0.25">
      <c r="B488" s="226" t="s">
        <v>1041</v>
      </c>
    </row>
    <row r="489" spans="1:9" x14ac:dyDescent="0.25">
      <c r="A489" s="206" t="s">
        <v>5</v>
      </c>
      <c r="B489" s="233" t="s">
        <v>612</v>
      </c>
      <c r="C489" s="205">
        <f>C474</f>
        <v>309</v>
      </c>
      <c r="D489" s="206" t="s">
        <v>35</v>
      </c>
      <c r="E489" s="320">
        <f>E462</f>
        <v>2200</v>
      </c>
      <c r="F489" s="207">
        <f>E489*C489</f>
        <v>679800</v>
      </c>
    </row>
    <row r="490" spans="1:9" ht="30" x14ac:dyDescent="0.25">
      <c r="A490" s="206" t="s">
        <v>6</v>
      </c>
      <c r="B490" s="246" t="s">
        <v>631</v>
      </c>
      <c r="C490" s="205">
        <f>C476</f>
        <v>66</v>
      </c>
      <c r="D490" s="206" t="s">
        <v>35</v>
      </c>
      <c r="E490" s="320">
        <v>700</v>
      </c>
      <c r="F490" s="207">
        <f>E490*C490</f>
        <v>46200</v>
      </c>
    </row>
    <row r="491" spans="1:9" ht="15.75" customHeight="1" x14ac:dyDescent="0.25"/>
    <row r="492" spans="1:9" ht="13.5" customHeight="1" x14ac:dyDescent="0.25">
      <c r="B492" s="220" t="s">
        <v>525</v>
      </c>
      <c r="C492" s="221"/>
      <c r="D492" s="209"/>
      <c r="E492" s="593" t="s">
        <v>15</v>
      </c>
      <c r="F492" s="285">
        <f>SUM(F482:F491)</f>
        <v>1186320</v>
      </c>
      <c r="G492" s="285"/>
    </row>
    <row r="493" spans="1:9" x14ac:dyDescent="0.25">
      <c r="B493" s="220"/>
      <c r="C493" s="221"/>
      <c r="D493" s="209"/>
      <c r="E493" s="588"/>
      <c r="F493" s="285"/>
      <c r="G493" s="285"/>
    </row>
    <row r="494" spans="1:9" x14ac:dyDescent="0.25">
      <c r="B494" s="210" t="s">
        <v>531</v>
      </c>
      <c r="C494" s="221"/>
      <c r="D494" s="209"/>
      <c r="E494" s="588"/>
      <c r="F494" s="285"/>
      <c r="G494" s="285"/>
    </row>
    <row r="495" spans="1:9" x14ac:dyDescent="0.25">
      <c r="B495" s="210"/>
      <c r="C495" s="221"/>
      <c r="D495" s="209"/>
      <c r="E495" s="588"/>
      <c r="F495" s="285"/>
      <c r="G495" s="285"/>
    </row>
    <row r="496" spans="1:9" x14ac:dyDescent="0.25">
      <c r="B496" s="231" t="s">
        <v>464</v>
      </c>
      <c r="C496" s="221"/>
      <c r="D496" s="209"/>
      <c r="E496" s="320">
        <f>F479</f>
        <v>6761260</v>
      </c>
      <c r="F496" s="285"/>
      <c r="G496" s="285"/>
    </row>
    <row r="497" spans="2:7" x14ac:dyDescent="0.25">
      <c r="B497" s="231"/>
      <c r="C497" s="221"/>
      <c r="D497" s="209"/>
      <c r="F497" s="285"/>
      <c r="G497" s="285"/>
    </row>
    <row r="498" spans="2:7" ht="18.75" customHeight="1" x14ac:dyDescent="0.25">
      <c r="B498" s="231" t="s">
        <v>637</v>
      </c>
      <c r="C498" s="221"/>
      <c r="D498" s="209"/>
      <c r="E498" s="320">
        <f>F492</f>
        <v>1186320</v>
      </c>
      <c r="F498" s="285"/>
      <c r="G498" s="285"/>
    </row>
    <row r="499" spans="2:7" x14ac:dyDescent="0.25">
      <c r="B499" s="220"/>
      <c r="C499" s="221"/>
      <c r="D499" s="209"/>
      <c r="F499" s="285"/>
      <c r="G499" s="285"/>
    </row>
    <row r="500" spans="2:7" x14ac:dyDescent="0.25">
      <c r="B500" s="220"/>
      <c r="C500" s="221"/>
      <c r="D500" s="209"/>
      <c r="F500" s="285"/>
      <c r="G500" s="285"/>
    </row>
    <row r="501" spans="2:7" ht="12" customHeight="1" x14ac:dyDescent="0.25">
      <c r="B501" s="220"/>
      <c r="C501" s="221"/>
      <c r="D501" s="209"/>
      <c r="E501" s="588"/>
      <c r="F501" s="285"/>
      <c r="G501" s="285"/>
    </row>
    <row r="502" spans="2:7" ht="12" customHeight="1" x14ac:dyDescent="0.25">
      <c r="B502" s="220"/>
      <c r="C502" s="221"/>
      <c r="D502" s="209"/>
      <c r="E502" s="588"/>
      <c r="F502" s="285"/>
      <c r="G502" s="285"/>
    </row>
    <row r="503" spans="2:7" ht="12" customHeight="1" x14ac:dyDescent="0.25">
      <c r="B503" s="220"/>
      <c r="C503" s="221"/>
      <c r="D503" s="209"/>
      <c r="E503" s="588"/>
      <c r="F503" s="285"/>
      <c r="G503" s="285"/>
    </row>
    <row r="504" spans="2:7" ht="12" customHeight="1" x14ac:dyDescent="0.25">
      <c r="B504" s="220"/>
      <c r="C504" s="221"/>
      <c r="D504" s="209"/>
      <c r="E504" s="588"/>
      <c r="F504" s="285"/>
      <c r="G504" s="285"/>
    </row>
    <row r="505" spans="2:7" ht="12" customHeight="1" x14ac:dyDescent="0.25">
      <c r="B505" s="220"/>
      <c r="C505" s="221"/>
      <c r="D505" s="209"/>
      <c r="E505" s="588"/>
      <c r="F505" s="285"/>
      <c r="G505" s="285"/>
    </row>
    <row r="506" spans="2:7" ht="12" customHeight="1" x14ac:dyDescent="0.25">
      <c r="B506" s="220"/>
      <c r="C506" s="221"/>
      <c r="D506" s="209"/>
      <c r="E506" s="588"/>
      <c r="F506" s="285"/>
      <c r="G506" s="285"/>
    </row>
    <row r="507" spans="2:7" ht="12" customHeight="1" x14ac:dyDescent="0.25">
      <c r="B507" s="220"/>
      <c r="C507" s="221"/>
      <c r="D507" s="209"/>
      <c r="E507" s="588"/>
      <c r="F507" s="285"/>
      <c r="G507" s="285"/>
    </row>
    <row r="508" spans="2:7" ht="12" customHeight="1" x14ac:dyDescent="0.25">
      <c r="B508" s="220"/>
      <c r="C508" s="221"/>
      <c r="D508" s="209"/>
      <c r="E508" s="588"/>
      <c r="F508" s="285"/>
      <c r="G508" s="285"/>
    </row>
    <row r="509" spans="2:7" ht="12" customHeight="1" x14ac:dyDescent="0.25">
      <c r="B509" s="220"/>
      <c r="C509" s="221"/>
      <c r="D509" s="209"/>
      <c r="E509" s="588"/>
      <c r="F509" s="285"/>
      <c r="G509" s="285"/>
    </row>
    <row r="510" spans="2:7" ht="12" customHeight="1" x14ac:dyDescent="0.25">
      <c r="B510" s="210" t="s">
        <v>236</v>
      </c>
      <c r="C510" s="221"/>
      <c r="D510" s="209"/>
      <c r="E510" s="588"/>
      <c r="F510" s="285"/>
      <c r="G510" s="285"/>
    </row>
    <row r="511" spans="2:7" ht="12" customHeight="1" x14ac:dyDescent="0.25">
      <c r="B511" s="220" t="s">
        <v>638</v>
      </c>
      <c r="C511" s="221"/>
      <c r="D511" s="209"/>
      <c r="E511" s="593" t="s">
        <v>15</v>
      </c>
      <c r="F511" s="285">
        <f>SUM(E494:E499)</f>
        <v>7947580</v>
      </c>
      <c r="G511" s="285"/>
    </row>
    <row r="512" spans="2:7" x14ac:dyDescent="0.25">
      <c r="B512" s="210" t="s">
        <v>639</v>
      </c>
    </row>
    <row r="513" spans="1:8" ht="15" customHeight="1" x14ac:dyDescent="0.25">
      <c r="B513" s="210" t="s">
        <v>265</v>
      </c>
    </row>
    <row r="514" spans="1:8" ht="18" customHeight="1" x14ac:dyDescent="0.25">
      <c r="B514" s="219" t="s">
        <v>610</v>
      </c>
    </row>
    <row r="515" spans="1:8" x14ac:dyDescent="0.25">
      <c r="B515" s="211" t="s">
        <v>640</v>
      </c>
    </row>
    <row r="516" spans="1:8" ht="8.25" customHeight="1" x14ac:dyDescent="0.25">
      <c r="B516" s="219"/>
    </row>
    <row r="517" spans="1:8" ht="75" x14ac:dyDescent="0.25">
      <c r="B517" s="226" t="s">
        <v>1042</v>
      </c>
    </row>
    <row r="518" spans="1:8" x14ac:dyDescent="0.25">
      <c r="A518" s="206" t="s">
        <v>2</v>
      </c>
      <c r="B518" s="214" t="s">
        <v>1043</v>
      </c>
      <c r="C518" s="205">
        <v>15</v>
      </c>
      <c r="D518" s="206" t="s">
        <v>35</v>
      </c>
      <c r="E518" s="320">
        <v>5500</v>
      </c>
      <c r="F518" s="207">
        <f>E518*C518</f>
        <v>82500</v>
      </c>
    </row>
    <row r="519" spans="1:8" ht="72.75" customHeight="1" x14ac:dyDescent="0.25">
      <c r="B519" s="224" t="s">
        <v>641</v>
      </c>
      <c r="E519" s="532"/>
      <c r="F519" s="289"/>
      <c r="G519" s="289"/>
    </row>
    <row r="520" spans="1:8" x14ac:dyDescent="0.25">
      <c r="A520" s="206" t="s">
        <v>4</v>
      </c>
      <c r="B520" s="214" t="s">
        <v>1073</v>
      </c>
      <c r="C520" s="205">
        <v>49</v>
      </c>
      <c r="D520" s="206" t="s">
        <v>35</v>
      </c>
      <c r="E520" s="320">
        <v>7500</v>
      </c>
      <c r="F520" s="207">
        <f t="shared" ref="F520:F523" si="4">E520*C520</f>
        <v>367500</v>
      </c>
    </row>
    <row r="521" spans="1:8" x14ac:dyDescent="0.25">
      <c r="A521" s="206" t="s">
        <v>5</v>
      </c>
      <c r="B521" s="214" t="s">
        <v>642</v>
      </c>
      <c r="C521" s="205">
        <f>C520*1.1</f>
        <v>53.900000000000006</v>
      </c>
      <c r="D521" s="206" t="s">
        <v>22</v>
      </c>
      <c r="E521" s="532">
        <f>E520*0.075</f>
        <v>562.5</v>
      </c>
      <c r="F521" s="207">
        <f t="shared" si="4"/>
        <v>30318.750000000004</v>
      </c>
    </row>
    <row r="522" spans="1:8" x14ac:dyDescent="0.25">
      <c r="A522" s="240" t="s">
        <v>6</v>
      </c>
      <c r="B522" s="218" t="s">
        <v>1074</v>
      </c>
      <c r="C522" s="239">
        <v>55</v>
      </c>
      <c r="D522" s="240" t="s">
        <v>35</v>
      </c>
      <c r="E522" s="590">
        <f>E520</f>
        <v>7500</v>
      </c>
      <c r="F522" s="241">
        <f t="shared" si="4"/>
        <v>412500</v>
      </c>
      <c r="G522" s="241"/>
    </row>
    <row r="523" spans="1:8" x14ac:dyDescent="0.25">
      <c r="A523" s="206" t="s">
        <v>7</v>
      </c>
      <c r="B523" s="246" t="s">
        <v>642</v>
      </c>
      <c r="C523" s="205">
        <f>C522*1.1</f>
        <v>60.500000000000007</v>
      </c>
      <c r="D523" s="206" t="s">
        <v>22</v>
      </c>
      <c r="E523" s="320">
        <f>E522*0.075</f>
        <v>562.5</v>
      </c>
      <c r="F523" s="207">
        <f t="shared" si="4"/>
        <v>34031.250000000007</v>
      </c>
      <c r="H523" s="284"/>
    </row>
    <row r="524" spans="1:8" ht="30" x14ac:dyDescent="0.25">
      <c r="A524" s="240" t="s">
        <v>8</v>
      </c>
      <c r="B524" s="218" t="s">
        <v>1075</v>
      </c>
      <c r="C524" s="239">
        <v>50</v>
      </c>
      <c r="D524" s="240" t="s">
        <v>35</v>
      </c>
      <c r="E524" s="590">
        <f>E522</f>
        <v>7500</v>
      </c>
      <c r="F524" s="241">
        <f t="shared" ref="F524:F525" si="5">E524*C524</f>
        <v>375000</v>
      </c>
      <c r="G524" s="241"/>
    </row>
    <row r="525" spans="1:8" x14ac:dyDescent="0.25">
      <c r="A525" s="206" t="s">
        <v>9</v>
      </c>
      <c r="B525" s="246" t="s">
        <v>642</v>
      </c>
      <c r="C525" s="205">
        <f>C524*1.1</f>
        <v>55.000000000000007</v>
      </c>
      <c r="D525" s="206" t="s">
        <v>22</v>
      </c>
      <c r="E525" s="320">
        <f>E524*0.075</f>
        <v>562.5</v>
      </c>
      <c r="F525" s="207">
        <f t="shared" si="5"/>
        <v>30937.500000000004</v>
      </c>
      <c r="H525" s="284"/>
    </row>
    <row r="526" spans="1:8" x14ac:dyDescent="0.25">
      <c r="A526" s="240" t="s">
        <v>10</v>
      </c>
      <c r="B526" s="218" t="s">
        <v>1076</v>
      </c>
      <c r="C526" s="239">
        <v>5</v>
      </c>
      <c r="D526" s="240" t="s">
        <v>35</v>
      </c>
      <c r="E526" s="590">
        <f>E524</f>
        <v>7500</v>
      </c>
      <c r="F526" s="241">
        <f t="shared" ref="F526:F527" si="6">E526*C526</f>
        <v>37500</v>
      </c>
      <c r="G526" s="241"/>
    </row>
    <row r="527" spans="1:8" x14ac:dyDescent="0.25">
      <c r="A527" s="206" t="s">
        <v>11</v>
      </c>
      <c r="B527" s="246" t="s">
        <v>642</v>
      </c>
      <c r="C527" s="205">
        <f>C526*1.1</f>
        <v>5.5</v>
      </c>
      <c r="D527" s="206" t="s">
        <v>22</v>
      </c>
      <c r="E527" s="320">
        <f>E526*0.075</f>
        <v>562.5</v>
      </c>
      <c r="F527" s="207">
        <f t="shared" si="6"/>
        <v>3093.75</v>
      </c>
      <c r="H527" s="284"/>
    </row>
    <row r="528" spans="1:8" x14ac:dyDescent="0.25">
      <c r="B528" s="246"/>
      <c r="H528" s="284"/>
    </row>
    <row r="529" spans="1:9" s="260" customFormat="1" ht="34.5" customHeight="1" x14ac:dyDescent="0.25">
      <c r="A529" s="206"/>
      <c r="B529" s="234" t="s">
        <v>644</v>
      </c>
      <c r="C529" s="205"/>
      <c r="D529" s="206"/>
      <c r="E529" s="320"/>
      <c r="F529" s="288"/>
      <c r="G529" s="288"/>
      <c r="I529" s="208"/>
    </row>
    <row r="530" spans="1:9" x14ac:dyDescent="0.25">
      <c r="B530" s="219" t="s">
        <v>645</v>
      </c>
      <c r="F530" s="288"/>
      <c r="G530" s="288"/>
    </row>
    <row r="531" spans="1:9" x14ac:dyDescent="0.25">
      <c r="A531" s="206" t="s">
        <v>12</v>
      </c>
      <c r="B531" s="214" t="s">
        <v>646</v>
      </c>
      <c r="C531" s="205">
        <f>C522+C520+C518+C524+C526</f>
        <v>174</v>
      </c>
      <c r="D531" s="206" t="s">
        <v>35</v>
      </c>
      <c r="E531" s="532">
        <f>E470</f>
        <v>4200</v>
      </c>
      <c r="F531" s="207">
        <f>E531*C531</f>
        <v>730800</v>
      </c>
    </row>
    <row r="532" spans="1:9" ht="14.25" customHeight="1" x14ac:dyDescent="0.25">
      <c r="A532" s="206" t="s">
        <v>13</v>
      </c>
      <c r="B532" s="214" t="s">
        <v>627</v>
      </c>
      <c r="C532" s="205">
        <f>C523+C521+C525+C527</f>
        <v>174.9</v>
      </c>
      <c r="D532" s="206" t="s">
        <v>22</v>
      </c>
      <c r="E532" s="206">
        <v>450</v>
      </c>
      <c r="F532" s="207">
        <f>E532*C532</f>
        <v>78705</v>
      </c>
    </row>
    <row r="533" spans="1:9" ht="14.25" customHeight="1" x14ac:dyDescent="0.25">
      <c r="E533" s="206"/>
    </row>
    <row r="534" spans="1:9" x14ac:dyDescent="0.25">
      <c r="B534" s="210" t="s">
        <v>265</v>
      </c>
    </row>
    <row r="535" spans="1:9" ht="12.75" customHeight="1" x14ac:dyDescent="0.25">
      <c r="B535" s="220" t="s">
        <v>534</v>
      </c>
      <c r="C535" s="221"/>
      <c r="D535" s="209"/>
      <c r="E535" s="593" t="s">
        <v>15</v>
      </c>
      <c r="F535" s="285">
        <f>SUM(F517:F534)</f>
        <v>2182886.25</v>
      </c>
      <c r="G535" s="285"/>
    </row>
    <row r="536" spans="1:9" ht="15.75" customHeight="1" x14ac:dyDescent="0.25">
      <c r="B536" s="210" t="s">
        <v>650</v>
      </c>
    </row>
    <row r="537" spans="1:9" ht="16.5" customHeight="1" x14ac:dyDescent="0.25">
      <c r="B537" s="210"/>
    </row>
    <row r="538" spans="1:9" x14ac:dyDescent="0.25">
      <c r="B538" s="210" t="s">
        <v>281</v>
      </c>
    </row>
    <row r="539" spans="1:9" x14ac:dyDescent="0.25">
      <c r="B539" s="210"/>
    </row>
    <row r="540" spans="1:9" x14ac:dyDescent="0.25">
      <c r="B540" s="210" t="s">
        <v>282</v>
      </c>
    </row>
    <row r="541" spans="1:9" x14ac:dyDescent="0.25">
      <c r="B541" s="210"/>
    </row>
    <row r="542" spans="1:9" x14ac:dyDescent="0.25">
      <c r="B542" s="220" t="s">
        <v>614</v>
      </c>
      <c r="E542" s="532"/>
      <c r="F542" s="289"/>
      <c r="G542" s="289"/>
    </row>
    <row r="543" spans="1:9" x14ac:dyDescent="0.25">
      <c r="B543" s="220" t="s">
        <v>687</v>
      </c>
      <c r="E543" s="532"/>
      <c r="F543" s="289"/>
      <c r="G543" s="289"/>
    </row>
    <row r="544" spans="1:9" x14ac:dyDescent="0.25">
      <c r="A544" s="206" t="s">
        <v>2</v>
      </c>
      <c r="B544" s="214" t="s">
        <v>1044</v>
      </c>
      <c r="C544" s="205">
        <f>C531</f>
        <v>174</v>
      </c>
      <c r="D544" s="206" t="s">
        <v>35</v>
      </c>
      <c r="E544" s="532">
        <v>13200</v>
      </c>
      <c r="F544" s="207">
        <f>E544*C544</f>
        <v>2296800</v>
      </c>
    </row>
    <row r="545" spans="1:7" x14ac:dyDescent="0.25">
      <c r="E545" s="532"/>
    </row>
    <row r="546" spans="1:7" x14ac:dyDescent="0.25">
      <c r="E546" s="532"/>
    </row>
    <row r="547" spans="1:7" x14ac:dyDescent="0.25">
      <c r="B547" s="220" t="s">
        <v>653</v>
      </c>
      <c r="E547" s="532"/>
      <c r="F547" s="289"/>
      <c r="G547" s="289"/>
    </row>
    <row r="548" spans="1:7" ht="19.5" customHeight="1" x14ac:dyDescent="0.25">
      <c r="B548" s="272" t="s">
        <v>654</v>
      </c>
    </row>
    <row r="549" spans="1:7" ht="16.5" customHeight="1" x14ac:dyDescent="0.25">
      <c r="A549" s="206" t="s">
        <v>4</v>
      </c>
      <c r="B549" s="214" t="s">
        <v>287</v>
      </c>
      <c r="C549" s="205">
        <f>C544*3.6</f>
        <v>626.4</v>
      </c>
      <c r="D549" s="206" t="s">
        <v>22</v>
      </c>
      <c r="E549" s="320">
        <v>550</v>
      </c>
      <c r="F549" s="207">
        <f>E549*C549</f>
        <v>344520</v>
      </c>
    </row>
    <row r="550" spans="1:7" ht="15.75" customHeight="1" x14ac:dyDescent="0.25">
      <c r="B550" s="220" t="s">
        <v>152</v>
      </c>
      <c r="E550" s="532"/>
      <c r="F550" s="289"/>
      <c r="G550" s="289"/>
    </row>
    <row r="551" spans="1:7" ht="30" x14ac:dyDescent="0.25">
      <c r="B551" s="218" t="s">
        <v>655</v>
      </c>
      <c r="E551" s="532"/>
      <c r="F551" s="289"/>
      <c r="G551" s="289"/>
    </row>
    <row r="552" spans="1:7" ht="17.25" customHeight="1" x14ac:dyDescent="0.25">
      <c r="A552" s="206" t="s">
        <v>5</v>
      </c>
      <c r="B552" s="214" t="s">
        <v>656</v>
      </c>
      <c r="C552" s="205">
        <f>C544</f>
        <v>174</v>
      </c>
      <c r="D552" s="206" t="s">
        <v>35</v>
      </c>
      <c r="E552" s="532">
        <v>2200</v>
      </c>
      <c r="F552" s="207">
        <f>E552*C552</f>
        <v>382800</v>
      </c>
    </row>
    <row r="553" spans="1:7" ht="17.25" customHeight="1" x14ac:dyDescent="0.25">
      <c r="E553" s="532"/>
    </row>
    <row r="554" spans="1:7" ht="17.25" customHeight="1" x14ac:dyDescent="0.25">
      <c r="E554" s="532"/>
      <c r="F554" s="289"/>
      <c r="G554" s="289"/>
    </row>
    <row r="555" spans="1:7" x14ac:dyDescent="0.25">
      <c r="E555" s="532"/>
      <c r="F555" s="289"/>
      <c r="G555" s="289"/>
    </row>
    <row r="556" spans="1:7" ht="18" customHeight="1" x14ac:dyDescent="0.25">
      <c r="B556" s="219"/>
      <c r="E556" s="532"/>
      <c r="F556" s="382"/>
      <c r="G556" s="382"/>
    </row>
    <row r="557" spans="1:7" ht="18.75" customHeight="1" x14ac:dyDescent="0.25">
      <c r="E557" s="532"/>
      <c r="F557" s="382"/>
      <c r="G557" s="382"/>
    </row>
    <row r="558" spans="1:7" x14ac:dyDescent="0.25">
      <c r="B558" s="215"/>
      <c r="E558" s="532"/>
      <c r="F558" s="289"/>
      <c r="G558" s="289"/>
    </row>
    <row r="559" spans="1:7" x14ac:dyDescent="0.25">
      <c r="B559" s="215"/>
      <c r="E559" s="532"/>
      <c r="F559" s="289"/>
      <c r="G559" s="289"/>
    </row>
    <row r="560" spans="1:7" x14ac:dyDescent="0.25">
      <c r="B560" s="215"/>
      <c r="E560" s="532"/>
      <c r="F560" s="289"/>
      <c r="G560" s="289"/>
    </row>
    <row r="561" spans="2:7" x14ac:dyDescent="0.25">
      <c r="B561" s="215"/>
      <c r="E561" s="532"/>
      <c r="F561" s="289"/>
      <c r="G561" s="289"/>
    </row>
    <row r="562" spans="2:7" x14ac:dyDescent="0.25">
      <c r="B562" s="215"/>
      <c r="E562" s="532"/>
      <c r="F562" s="289"/>
      <c r="G562" s="289"/>
    </row>
    <row r="563" spans="2:7" x14ac:dyDescent="0.25">
      <c r="B563" s="215"/>
      <c r="E563" s="532"/>
      <c r="F563" s="289"/>
      <c r="G563" s="289"/>
    </row>
    <row r="564" spans="2:7" x14ac:dyDescent="0.25">
      <c r="B564" s="215"/>
      <c r="E564" s="532"/>
      <c r="F564" s="289"/>
      <c r="G564" s="289"/>
    </row>
    <row r="565" spans="2:7" x14ac:dyDescent="0.25">
      <c r="B565" s="215"/>
      <c r="E565" s="532"/>
      <c r="F565" s="289"/>
      <c r="G565" s="289"/>
    </row>
    <row r="566" spans="2:7" x14ac:dyDescent="0.25">
      <c r="B566" s="215"/>
      <c r="E566" s="532"/>
      <c r="F566" s="289"/>
      <c r="G566" s="289"/>
    </row>
    <row r="567" spans="2:7" x14ac:dyDescent="0.25">
      <c r="B567" s="215"/>
      <c r="E567" s="532"/>
      <c r="F567" s="289"/>
      <c r="G567" s="289"/>
    </row>
    <row r="568" spans="2:7" x14ac:dyDescent="0.25">
      <c r="B568" s="215"/>
      <c r="E568" s="532"/>
      <c r="F568" s="289"/>
      <c r="G568" s="289"/>
    </row>
    <row r="569" spans="2:7" x14ac:dyDescent="0.25">
      <c r="B569" s="215"/>
      <c r="E569" s="532"/>
      <c r="F569" s="289"/>
      <c r="G569" s="289"/>
    </row>
    <row r="570" spans="2:7" x14ac:dyDescent="0.25">
      <c r="B570" s="215"/>
      <c r="E570" s="532"/>
      <c r="F570" s="289"/>
      <c r="G570" s="289"/>
    </row>
    <row r="571" spans="2:7" x14ac:dyDescent="0.25">
      <c r="B571" s="215"/>
      <c r="E571" s="532"/>
      <c r="F571" s="289"/>
      <c r="G571" s="289"/>
    </row>
    <row r="572" spans="2:7" x14ac:dyDescent="0.25">
      <c r="B572" s="215"/>
      <c r="E572" s="532"/>
      <c r="F572" s="289"/>
      <c r="G572" s="289"/>
    </row>
    <row r="573" spans="2:7" x14ac:dyDescent="0.25">
      <c r="B573" s="215"/>
      <c r="E573" s="532"/>
      <c r="F573" s="289"/>
      <c r="G573" s="289"/>
    </row>
    <row r="574" spans="2:7" x14ac:dyDescent="0.25">
      <c r="B574" s="215"/>
      <c r="E574" s="532"/>
      <c r="F574" s="289"/>
      <c r="G574" s="289"/>
    </row>
    <row r="575" spans="2:7" x14ac:dyDescent="0.25">
      <c r="B575" s="210" t="s">
        <v>281</v>
      </c>
      <c r="C575" s="221"/>
      <c r="D575" s="209"/>
      <c r="E575" s="588"/>
      <c r="F575" s="222"/>
      <c r="G575" s="222"/>
    </row>
    <row r="576" spans="2:7" x14ac:dyDescent="0.25">
      <c r="B576" s="220" t="s">
        <v>534</v>
      </c>
      <c r="C576" s="221"/>
      <c r="D576" s="209"/>
      <c r="E576" s="593" t="s">
        <v>15</v>
      </c>
      <c r="F576" s="285">
        <f>SUM(F542:F575)</f>
        <v>3024120</v>
      </c>
      <c r="G576" s="285"/>
    </row>
    <row r="577" spans="1:7" s="214" customFormat="1" x14ac:dyDescent="0.25">
      <c r="A577" s="206"/>
      <c r="B577" s="210" t="s">
        <v>791</v>
      </c>
      <c r="C577" s="311"/>
      <c r="D577" s="209"/>
      <c r="E577" s="596"/>
      <c r="F577" s="597"/>
    </row>
    <row r="578" spans="1:7" s="214" customFormat="1" x14ac:dyDescent="0.25">
      <c r="A578" s="206"/>
      <c r="B578" s="210" t="s">
        <v>657</v>
      </c>
      <c r="C578" s="311"/>
      <c r="D578" s="209"/>
      <c r="E578" s="596"/>
      <c r="F578" s="597"/>
    </row>
    <row r="579" spans="1:7" s="315" customFormat="1" ht="15" x14ac:dyDescent="0.3">
      <c r="A579" s="314"/>
      <c r="B579" s="315" t="s">
        <v>940</v>
      </c>
      <c r="C579" s="262"/>
      <c r="D579" s="314"/>
      <c r="E579" s="316"/>
    </row>
    <row r="580" spans="1:7" s="315" customFormat="1" x14ac:dyDescent="0.3">
      <c r="A580" s="314"/>
      <c r="C580" s="262"/>
      <c r="D580" s="314"/>
      <c r="E580" s="316"/>
      <c r="F580" s="207"/>
      <c r="G580" s="214"/>
    </row>
    <row r="581" spans="1:7" s="372" customFormat="1" ht="39" x14ac:dyDescent="0.4">
      <c r="A581" s="598" t="s">
        <v>2</v>
      </c>
      <c r="B581" s="599" t="s">
        <v>1045</v>
      </c>
      <c r="C581" s="600"/>
      <c r="D581" s="598"/>
      <c r="E581" s="601"/>
      <c r="F581" s="370">
        <v>1200000</v>
      </c>
    </row>
    <row r="582" spans="1:7" s="315" customFormat="1" ht="15" x14ac:dyDescent="0.3">
      <c r="A582" s="314"/>
      <c r="C582" s="331"/>
      <c r="D582" s="314"/>
      <c r="E582" s="316"/>
      <c r="F582" s="323"/>
    </row>
    <row r="583" spans="1:7" s="315" customFormat="1" ht="15" x14ac:dyDescent="0.3">
      <c r="A583" s="314"/>
      <c r="C583" s="331"/>
      <c r="D583" s="314"/>
      <c r="E583" s="316"/>
      <c r="F583" s="323"/>
    </row>
    <row r="584" spans="1:7" s="315" customFormat="1" ht="15" x14ac:dyDescent="0.3">
      <c r="A584" s="314"/>
      <c r="C584" s="331"/>
      <c r="D584" s="314"/>
      <c r="E584" s="316"/>
      <c r="F584" s="323"/>
    </row>
    <row r="585" spans="1:7" s="315" customFormat="1" ht="15" x14ac:dyDescent="0.3">
      <c r="A585" s="314"/>
      <c r="C585" s="331"/>
      <c r="D585" s="314"/>
      <c r="E585" s="316"/>
      <c r="F585" s="323"/>
    </row>
    <row r="586" spans="1:7" s="315" customFormat="1" ht="15" x14ac:dyDescent="0.3">
      <c r="A586" s="314"/>
      <c r="C586" s="331"/>
      <c r="D586" s="314"/>
      <c r="E586" s="316"/>
      <c r="F586" s="323"/>
    </row>
    <row r="587" spans="1:7" s="315" customFormat="1" ht="15" x14ac:dyDescent="0.3">
      <c r="A587" s="314"/>
      <c r="C587" s="331"/>
      <c r="D587" s="314"/>
      <c r="E587" s="316"/>
      <c r="F587" s="323"/>
    </row>
    <row r="588" spans="1:7" s="315" customFormat="1" ht="15" x14ac:dyDescent="0.3">
      <c r="A588" s="314"/>
      <c r="C588" s="331"/>
      <c r="D588" s="314"/>
      <c r="E588" s="316"/>
      <c r="F588" s="323"/>
    </row>
    <row r="589" spans="1:7" s="315" customFormat="1" ht="15" x14ac:dyDescent="0.3">
      <c r="A589" s="314"/>
      <c r="C589" s="331"/>
      <c r="D589" s="314"/>
      <c r="E589" s="316"/>
      <c r="F589" s="323"/>
    </row>
    <row r="590" spans="1:7" s="315" customFormat="1" ht="15" x14ac:dyDescent="0.3">
      <c r="A590" s="314"/>
      <c r="C590" s="331"/>
      <c r="D590" s="314"/>
      <c r="E590" s="316"/>
      <c r="F590" s="323"/>
    </row>
    <row r="591" spans="1:7" s="315" customFormat="1" ht="15" x14ac:dyDescent="0.3">
      <c r="A591" s="314"/>
      <c r="C591" s="331"/>
      <c r="D591" s="314"/>
      <c r="E591" s="316"/>
      <c r="F591" s="323"/>
    </row>
    <row r="592" spans="1:7" s="214" customFormat="1" ht="17.25" customHeight="1" x14ac:dyDescent="0.25">
      <c r="A592" s="206"/>
      <c r="B592" s="231"/>
      <c r="C592" s="311"/>
      <c r="D592" s="209"/>
      <c r="E592" s="333"/>
      <c r="F592" s="313"/>
    </row>
    <row r="593" spans="1:20" s="214" customFormat="1" ht="17.25" customHeight="1" x14ac:dyDescent="0.25">
      <c r="A593" s="206"/>
      <c r="B593" s="231"/>
      <c r="C593" s="311"/>
      <c r="D593" s="209"/>
      <c r="E593" s="333"/>
      <c r="F593" s="313"/>
    </row>
    <row r="594" spans="1:20" s="214" customFormat="1" ht="17.25" customHeight="1" x14ac:dyDescent="0.25">
      <c r="A594" s="206"/>
      <c r="B594" s="220" t="s">
        <v>638</v>
      </c>
      <c r="C594" s="311"/>
      <c r="D594" s="209"/>
      <c r="E594" s="312" t="s">
        <v>15</v>
      </c>
      <c r="F594" s="313">
        <f>SUM(F581:F593)</f>
        <v>1200000</v>
      </c>
      <c r="H594" s="334"/>
    </row>
    <row r="595" spans="1:20" ht="17.25" customHeight="1" x14ac:dyDescent="0.25">
      <c r="B595" s="210" t="s">
        <v>792</v>
      </c>
      <c r="C595" s="221"/>
      <c r="D595" s="209"/>
      <c r="E595" s="588"/>
      <c r="F595" s="285"/>
      <c r="G595" s="285"/>
    </row>
    <row r="596" spans="1:20" ht="17.25" customHeight="1" x14ac:dyDescent="0.25">
      <c r="B596" s="210"/>
      <c r="C596" s="221"/>
      <c r="D596" s="209"/>
      <c r="E596" s="588"/>
      <c r="F596" s="285"/>
      <c r="G596" s="285"/>
    </row>
    <row r="597" spans="1:20" ht="17.25" customHeight="1" x14ac:dyDescent="0.25">
      <c r="B597" s="234" t="s">
        <v>659</v>
      </c>
      <c r="C597" s="221"/>
      <c r="E597" s="588"/>
      <c r="F597" s="289"/>
      <c r="G597" s="289"/>
    </row>
    <row r="598" spans="1:20" ht="17.25" customHeight="1" x14ac:dyDescent="0.25">
      <c r="B598" s="211" t="s">
        <v>1046</v>
      </c>
    </row>
    <row r="599" spans="1:20" ht="17.25" customHeight="1" x14ac:dyDescent="0.25">
      <c r="B599" s="602"/>
    </row>
    <row r="600" spans="1:20" ht="30" x14ac:dyDescent="0.25">
      <c r="A600" s="206" t="s">
        <v>2</v>
      </c>
      <c r="B600" s="246" t="s">
        <v>1047</v>
      </c>
      <c r="F600" s="603">
        <v>2341500</v>
      </c>
      <c r="G600" s="603"/>
    </row>
    <row r="601" spans="1:20" ht="17.25" customHeight="1" x14ac:dyDescent="0.25">
      <c r="B601" s="246"/>
    </row>
    <row r="602" spans="1:20" ht="17.25" customHeight="1" x14ac:dyDescent="0.25">
      <c r="B602" s="211"/>
    </row>
    <row r="603" spans="1:20" ht="17.25" customHeight="1" x14ac:dyDescent="0.25">
      <c r="B603" s="211"/>
    </row>
    <row r="604" spans="1:20" s="205" customFormat="1" ht="17.25" customHeight="1" x14ac:dyDescent="0.25">
      <c r="A604" s="206"/>
      <c r="B604" s="211"/>
      <c r="D604" s="206"/>
      <c r="E604" s="320"/>
      <c r="F604" s="207"/>
      <c r="G604" s="207"/>
      <c r="H604" s="208"/>
      <c r="I604" s="208"/>
      <c r="J604" s="208"/>
      <c r="K604" s="208"/>
      <c r="L604" s="208"/>
      <c r="M604" s="208"/>
      <c r="N604" s="208"/>
      <c r="O604" s="208"/>
      <c r="P604" s="208"/>
      <c r="Q604" s="208"/>
      <c r="R604" s="208"/>
      <c r="S604" s="208"/>
      <c r="T604" s="208"/>
    </row>
    <row r="605" spans="1:20" s="205" customFormat="1" x14ac:dyDescent="0.25">
      <c r="A605" s="206"/>
      <c r="B605" s="233"/>
      <c r="D605" s="206"/>
      <c r="E605" s="320"/>
      <c r="F605" s="207"/>
      <c r="G605" s="207"/>
      <c r="H605" s="208"/>
      <c r="I605" s="208"/>
      <c r="J605" s="208"/>
      <c r="K605" s="208"/>
      <c r="L605" s="208"/>
      <c r="M605" s="208"/>
      <c r="N605" s="208"/>
      <c r="O605" s="208"/>
      <c r="P605" s="208"/>
      <c r="Q605" s="208"/>
      <c r="R605" s="208"/>
      <c r="S605" s="208"/>
      <c r="T605" s="208"/>
    </row>
    <row r="606" spans="1:20" s="205" customFormat="1" x14ac:dyDescent="0.25">
      <c r="A606" s="206"/>
      <c r="B606" s="233"/>
      <c r="D606" s="206"/>
      <c r="E606" s="320"/>
      <c r="F606" s="207"/>
      <c r="G606" s="207"/>
      <c r="H606" s="208"/>
      <c r="I606" s="208"/>
      <c r="J606" s="208"/>
      <c r="K606" s="208"/>
      <c r="L606" s="208"/>
      <c r="M606" s="208"/>
      <c r="N606" s="208"/>
      <c r="O606" s="208"/>
      <c r="P606" s="208"/>
      <c r="Q606" s="208"/>
      <c r="R606" s="208"/>
      <c r="S606" s="208"/>
      <c r="T606" s="208"/>
    </row>
    <row r="607" spans="1:20" s="205" customFormat="1" x14ac:dyDescent="0.25">
      <c r="A607" s="206"/>
      <c r="B607" s="246"/>
      <c r="D607" s="206"/>
      <c r="E607" s="320"/>
      <c r="F607" s="207"/>
      <c r="G607" s="207"/>
      <c r="H607" s="208"/>
      <c r="I607" s="208"/>
      <c r="J607" s="208"/>
      <c r="K607" s="208"/>
      <c r="L607" s="208"/>
      <c r="M607" s="208"/>
      <c r="N607" s="208"/>
      <c r="O607" s="208"/>
      <c r="P607" s="208"/>
      <c r="Q607" s="208"/>
      <c r="R607" s="208"/>
      <c r="S607" s="208"/>
      <c r="T607" s="208"/>
    </row>
    <row r="608" spans="1:20" x14ac:dyDescent="0.25">
      <c r="B608" s="211"/>
    </row>
    <row r="609" spans="2:7" x14ac:dyDescent="0.25">
      <c r="B609" s="211"/>
    </row>
    <row r="610" spans="2:7" x14ac:dyDescent="0.25">
      <c r="B610" s="210" t="s">
        <v>659</v>
      </c>
      <c r="C610" s="221"/>
      <c r="D610" s="209"/>
      <c r="E610" s="588"/>
      <c r="F610" s="285"/>
      <c r="G610" s="285"/>
    </row>
    <row r="611" spans="2:7" x14ac:dyDescent="0.25">
      <c r="B611" s="220" t="s">
        <v>638</v>
      </c>
      <c r="C611" s="221"/>
      <c r="D611" s="209"/>
      <c r="E611" s="588" t="s">
        <v>15</v>
      </c>
      <c r="F611" s="285">
        <f>SUM(F598:F610)</f>
        <v>2341500</v>
      </c>
      <c r="G611" s="285"/>
    </row>
    <row r="612" spans="2:7" x14ac:dyDescent="0.25">
      <c r="B612" s="211"/>
    </row>
    <row r="613" spans="2:7" x14ac:dyDescent="0.25">
      <c r="B613" s="211" t="s">
        <v>450</v>
      </c>
    </row>
    <row r="614" spans="2:7" x14ac:dyDescent="0.25">
      <c r="F614" s="273"/>
      <c r="G614" s="273"/>
    </row>
    <row r="615" spans="2:7" x14ac:dyDescent="0.25">
      <c r="B615" s="218" t="s">
        <v>533</v>
      </c>
      <c r="E615" s="532">
        <f>F110</f>
        <v>11676875</v>
      </c>
      <c r="F615" s="274"/>
      <c r="G615" s="274"/>
    </row>
    <row r="616" spans="2:7" x14ac:dyDescent="0.25">
      <c r="F616" s="274"/>
      <c r="G616" s="274"/>
    </row>
    <row r="617" spans="2:7" x14ac:dyDescent="0.25">
      <c r="B617" s="214" t="s">
        <v>108</v>
      </c>
      <c r="E617" s="320">
        <f>F154</f>
        <v>5499250</v>
      </c>
      <c r="F617" s="274"/>
      <c r="G617" s="274"/>
    </row>
    <row r="618" spans="2:7" x14ac:dyDescent="0.25">
      <c r="F618" s="274"/>
      <c r="G618" s="274"/>
    </row>
    <row r="619" spans="2:7" ht="18.75" customHeight="1" x14ac:dyDescent="0.25">
      <c r="C619" s="275"/>
      <c r="D619" s="276"/>
      <c r="F619" s="274"/>
      <c r="G619" s="274"/>
    </row>
    <row r="620" spans="2:7" x14ac:dyDescent="0.25">
      <c r="B620" s="214" t="s">
        <v>163</v>
      </c>
      <c r="E620" s="320">
        <f>F268</f>
        <v>7151880</v>
      </c>
      <c r="F620" s="274"/>
      <c r="G620" s="274"/>
    </row>
    <row r="621" spans="2:7" ht="17.25" customHeight="1" x14ac:dyDescent="0.25">
      <c r="C621" s="275"/>
      <c r="D621" s="276"/>
      <c r="F621" s="274"/>
      <c r="G621" s="274"/>
    </row>
    <row r="622" spans="2:7" x14ac:dyDescent="0.25">
      <c r="B622" s="214" t="s">
        <v>195</v>
      </c>
      <c r="E622" s="320">
        <f>F316</f>
        <v>3612450</v>
      </c>
      <c r="F622" s="274"/>
      <c r="G622" s="274"/>
    </row>
    <row r="623" spans="2:7" ht="17.25" customHeight="1" x14ac:dyDescent="0.25">
      <c r="F623" s="274"/>
      <c r="G623" s="274"/>
    </row>
    <row r="624" spans="2:7" x14ac:dyDescent="0.25">
      <c r="B624" s="214" t="s">
        <v>602</v>
      </c>
      <c r="E624" s="320">
        <f>F356</f>
        <v>2591175</v>
      </c>
      <c r="F624" s="274"/>
      <c r="G624" s="274"/>
    </row>
    <row r="625" spans="2:7" ht="17.25" customHeight="1" x14ac:dyDescent="0.25">
      <c r="F625" s="274"/>
      <c r="G625" s="274"/>
    </row>
    <row r="626" spans="2:7" ht="17.25" customHeight="1" x14ac:dyDescent="0.25">
      <c r="B626" s="214" t="s">
        <v>210</v>
      </c>
      <c r="E626" s="320">
        <f>F403</f>
        <v>2479450</v>
      </c>
      <c r="F626" s="274"/>
      <c r="G626" s="274"/>
    </row>
    <row r="627" spans="2:7" ht="17.25" customHeight="1" x14ac:dyDescent="0.25">
      <c r="F627" s="274"/>
      <c r="G627" s="274"/>
    </row>
    <row r="628" spans="2:7" ht="17.25" customHeight="1" x14ac:dyDescent="0.25">
      <c r="B628" s="214" t="s">
        <v>607</v>
      </c>
      <c r="E628" s="320">
        <f>F428</f>
        <v>1915200</v>
      </c>
      <c r="F628" s="274"/>
      <c r="G628" s="274"/>
    </row>
    <row r="629" spans="2:7" ht="17.25" customHeight="1" x14ac:dyDescent="0.25">
      <c r="C629" s="275"/>
      <c r="D629" s="276"/>
      <c r="F629" s="274"/>
      <c r="G629" s="274"/>
    </row>
    <row r="630" spans="2:7" ht="17.25" customHeight="1" x14ac:dyDescent="0.25">
      <c r="B630" s="214" t="s">
        <v>781</v>
      </c>
      <c r="E630" s="320">
        <f>F444</f>
        <v>90000</v>
      </c>
      <c r="F630" s="274"/>
      <c r="G630" s="274"/>
    </row>
    <row r="631" spans="2:7" ht="17.25" customHeight="1" x14ac:dyDescent="0.25">
      <c r="C631" s="275"/>
      <c r="D631" s="276"/>
      <c r="F631" s="274"/>
      <c r="G631" s="274"/>
    </row>
    <row r="632" spans="2:7" ht="17.25" customHeight="1" x14ac:dyDescent="0.25">
      <c r="B632" s="214" t="s">
        <v>236</v>
      </c>
      <c r="E632" s="320">
        <f>F511</f>
        <v>7947580</v>
      </c>
      <c r="F632" s="274"/>
      <c r="G632" s="274"/>
    </row>
    <row r="633" spans="2:7" ht="17.25" customHeight="1" x14ac:dyDescent="0.25">
      <c r="C633" s="275"/>
      <c r="D633" s="276"/>
      <c r="F633" s="274"/>
      <c r="G633" s="274"/>
    </row>
    <row r="634" spans="2:7" ht="17.25" customHeight="1" x14ac:dyDescent="0.25">
      <c r="B634" s="214" t="s">
        <v>265</v>
      </c>
      <c r="E634" s="320">
        <f>F535</f>
        <v>2182886.25</v>
      </c>
      <c r="F634" s="274"/>
      <c r="G634" s="274"/>
    </row>
    <row r="635" spans="2:7" ht="17.25" customHeight="1" x14ac:dyDescent="0.25">
      <c r="F635" s="274"/>
      <c r="G635" s="274"/>
    </row>
    <row r="636" spans="2:7" ht="17.25" customHeight="1" x14ac:dyDescent="0.25">
      <c r="B636" s="214" t="s">
        <v>281</v>
      </c>
      <c r="E636" s="320">
        <f>F576</f>
        <v>3024120</v>
      </c>
      <c r="F636" s="274"/>
      <c r="G636" s="274"/>
    </row>
    <row r="637" spans="2:7" ht="17.25" customHeight="1" x14ac:dyDescent="0.25">
      <c r="B637" s="208"/>
      <c r="F637" s="274"/>
      <c r="G637" s="274"/>
    </row>
    <row r="638" spans="2:7" ht="17.25" customHeight="1" x14ac:dyDescent="0.25">
      <c r="B638" s="214" t="s">
        <v>658</v>
      </c>
      <c r="E638" s="532">
        <f>F594</f>
        <v>1200000</v>
      </c>
      <c r="F638" s="274"/>
      <c r="G638" s="274"/>
    </row>
    <row r="639" spans="2:7" ht="17.25" customHeight="1" x14ac:dyDescent="0.25">
      <c r="C639" s="275"/>
      <c r="D639" s="276"/>
      <c r="F639" s="274"/>
      <c r="G639" s="274"/>
    </row>
    <row r="640" spans="2:7" ht="17.25" customHeight="1" x14ac:dyDescent="0.25">
      <c r="B640" s="214" t="s">
        <v>659</v>
      </c>
      <c r="C640" s="277"/>
      <c r="E640" s="320">
        <f>F611</f>
        <v>2341500</v>
      </c>
      <c r="F640" s="274"/>
      <c r="G640" s="274"/>
    </row>
    <row r="641" spans="1:20" ht="17.25" customHeight="1" x14ac:dyDescent="0.25">
      <c r="C641" s="277"/>
      <c r="F641" s="274"/>
      <c r="G641" s="274"/>
    </row>
    <row r="642" spans="1:20" ht="17.25" customHeight="1" x14ac:dyDescent="0.25">
      <c r="B642" s="278" t="s">
        <v>1048</v>
      </c>
      <c r="C642" s="279"/>
      <c r="D642" s="280"/>
      <c r="E642" s="604"/>
      <c r="F642" s="274"/>
      <c r="G642" s="274"/>
    </row>
    <row r="643" spans="1:20" ht="17.25" customHeight="1" x14ac:dyDescent="0.25">
      <c r="B643" s="220" t="s">
        <v>660</v>
      </c>
      <c r="D643" s="276" t="s">
        <v>20</v>
      </c>
      <c r="E643" s="605"/>
      <c r="F643" s="222">
        <f>SUM(E615:E642)</f>
        <v>51712366.25</v>
      </c>
      <c r="G643" s="222"/>
    </row>
    <row r="644" spans="1:20" ht="19.5" customHeight="1" x14ac:dyDescent="0.25">
      <c r="B644" s="220" t="s">
        <v>1049</v>
      </c>
      <c r="F644" s="281">
        <f>F643*2%</f>
        <v>1034247.3250000001</v>
      </c>
      <c r="G644" s="222"/>
      <c r="H644" s="606">
        <v>85269223.593598381</v>
      </c>
    </row>
    <row r="645" spans="1:20" ht="19.5" customHeight="1" x14ac:dyDescent="0.25">
      <c r="B645" s="220" t="s">
        <v>474</v>
      </c>
      <c r="F645" s="222">
        <f>SUM(F643:F644)</f>
        <v>52746613.575000003</v>
      </c>
      <c r="G645" s="222"/>
    </row>
    <row r="646" spans="1:20" x14ac:dyDescent="0.25">
      <c r="B646" s="220" t="s">
        <v>477</v>
      </c>
      <c r="F646" s="281">
        <f>F645*7.5%</f>
        <v>3955996.0181249999</v>
      </c>
      <c r="G646" s="222"/>
      <c r="I646" s="302"/>
    </row>
    <row r="647" spans="1:20" ht="17.25" customHeight="1" thickBot="1" x14ac:dyDescent="0.3">
      <c r="B647" s="210" t="s">
        <v>694</v>
      </c>
      <c r="E647" s="587" t="s">
        <v>15</v>
      </c>
      <c r="F647" s="283">
        <f>SUM(F645:F646)</f>
        <v>56702609.593125001</v>
      </c>
      <c r="G647" s="222"/>
      <c r="H647" s="606">
        <f>F647-H644</f>
        <v>-28566614.00047338</v>
      </c>
    </row>
    <row r="648" spans="1:20" ht="17.25" customHeight="1" thickTop="1" x14ac:dyDescent="0.25">
      <c r="B648" s="220" t="s">
        <v>695</v>
      </c>
    </row>
    <row r="649" spans="1:20" ht="17.25" customHeight="1" x14ac:dyDescent="0.25">
      <c r="B649" s="220"/>
    </row>
    <row r="650" spans="1:20" ht="17.25" customHeight="1" x14ac:dyDescent="0.25">
      <c r="B650" s="220"/>
      <c r="E650" s="588"/>
    </row>
    <row r="651" spans="1:20" ht="17.25" customHeight="1" x14ac:dyDescent="0.25">
      <c r="B651" s="220" t="s">
        <v>1050</v>
      </c>
      <c r="E651" s="588">
        <f>F647/20</f>
        <v>2835130.4796562502</v>
      </c>
    </row>
    <row r="652" spans="1:20" ht="17.25" hidden="1" customHeight="1" x14ac:dyDescent="0.25">
      <c r="B652" s="220" t="s">
        <v>1051</v>
      </c>
      <c r="E652" s="607">
        <f>E651*6</f>
        <v>17010782.877937503</v>
      </c>
    </row>
    <row r="653" spans="1:20" ht="17.25" hidden="1" customHeight="1" x14ac:dyDescent="0.25">
      <c r="B653" s="220" t="s">
        <v>1052</v>
      </c>
      <c r="E653" s="588">
        <f>E651+(H644/4)</f>
        <v>24152436.378055844</v>
      </c>
    </row>
    <row r="654" spans="1:20" s="207" customFormat="1" ht="17.25" hidden="1" customHeight="1" x14ac:dyDescent="0.25">
      <c r="A654" s="206"/>
      <c r="B654" s="220" t="s">
        <v>1053</v>
      </c>
      <c r="C654" s="205"/>
      <c r="D654" s="206"/>
      <c r="E654" s="607">
        <f>E653*4</f>
        <v>96609745.512223378</v>
      </c>
      <c r="H654" s="208"/>
      <c r="I654" s="208"/>
      <c r="J654" s="208"/>
      <c r="K654" s="208"/>
      <c r="L654" s="208"/>
      <c r="M654" s="208"/>
      <c r="N654" s="208"/>
      <c r="O654" s="208"/>
      <c r="P654" s="208"/>
      <c r="Q654" s="208"/>
      <c r="R654" s="208"/>
      <c r="S654" s="208"/>
      <c r="T654" s="208"/>
    </row>
    <row r="655" spans="1:20" s="207" customFormat="1" ht="17.25" customHeight="1" x14ac:dyDescent="0.25">
      <c r="A655" s="206"/>
      <c r="B655" s="214"/>
      <c r="C655" s="205"/>
      <c r="D655" s="206"/>
      <c r="E655" s="320"/>
      <c r="H655" s="208"/>
      <c r="I655" s="208"/>
      <c r="J655" s="208"/>
      <c r="K655" s="208"/>
      <c r="L655" s="208"/>
      <c r="M655" s="208"/>
      <c r="N655" s="208"/>
      <c r="O655" s="208"/>
      <c r="P655" s="208"/>
      <c r="Q655" s="208"/>
      <c r="R655" s="208"/>
      <c r="S655" s="208"/>
      <c r="T655" s="208"/>
    </row>
    <row r="656" spans="1:20" s="207" customFormat="1" ht="17.25" customHeight="1" x14ac:dyDescent="0.25">
      <c r="A656" s="206"/>
      <c r="B656" s="214"/>
      <c r="C656" s="205"/>
      <c r="D656" s="206"/>
      <c r="E656" s="320"/>
      <c r="H656" s="208"/>
      <c r="I656" s="208"/>
      <c r="J656" s="208"/>
      <c r="K656" s="208"/>
      <c r="L656" s="208"/>
      <c r="M656" s="208"/>
      <c r="N656" s="208"/>
      <c r="O656" s="208"/>
      <c r="P656" s="208"/>
      <c r="Q656" s="208"/>
      <c r="R656" s="208"/>
      <c r="S656" s="208"/>
      <c r="T656" s="208"/>
    </row>
    <row r="657" spans="1:20" s="207" customFormat="1" ht="17.25" customHeight="1" x14ac:dyDescent="0.25">
      <c r="A657" s="206"/>
      <c r="B657" s="214"/>
      <c r="C657" s="205"/>
      <c r="D657" s="206"/>
      <c r="E657" s="320"/>
      <c r="H657" s="208"/>
      <c r="I657" s="208"/>
      <c r="J657" s="208"/>
      <c r="K657" s="208"/>
      <c r="L657" s="208"/>
      <c r="M657" s="208"/>
      <c r="N657" s="208"/>
      <c r="O657" s="208"/>
      <c r="P657" s="208"/>
      <c r="Q657" s="208"/>
      <c r="R657" s="208"/>
      <c r="S657" s="208"/>
      <c r="T657" s="208"/>
    </row>
    <row r="658" spans="1:20" s="207" customFormat="1" ht="17.25" customHeight="1" x14ac:dyDescent="0.25">
      <c r="A658" s="206"/>
      <c r="B658" s="214"/>
      <c r="C658" s="205"/>
      <c r="D658" s="206"/>
      <c r="E658" s="320"/>
      <c r="H658" s="208"/>
      <c r="I658" s="208"/>
      <c r="J658" s="208"/>
      <c r="K658" s="208"/>
      <c r="L658" s="208"/>
      <c r="M658" s="208"/>
      <c r="N658" s="208"/>
      <c r="O658" s="208"/>
      <c r="P658" s="208"/>
      <c r="Q658" s="208"/>
      <c r="R658" s="208"/>
      <c r="S658" s="208"/>
      <c r="T658" s="208"/>
    </row>
    <row r="672" spans="1:20" s="223" customFormat="1" x14ac:dyDescent="0.25">
      <c r="A672" s="206"/>
      <c r="B672" s="214"/>
      <c r="C672" s="205"/>
      <c r="D672" s="206"/>
      <c r="E672" s="320"/>
      <c r="F672" s="207"/>
      <c r="G672" s="207"/>
    </row>
    <row r="673" spans="1:7" s="223" customFormat="1" x14ac:dyDescent="0.25">
      <c r="A673" s="206"/>
      <c r="B673" s="214"/>
      <c r="C673" s="205"/>
      <c r="D673" s="206"/>
      <c r="E673" s="320"/>
      <c r="F673" s="207"/>
      <c r="G673" s="207"/>
    </row>
    <row r="674" spans="1:7" s="223" customFormat="1" x14ac:dyDescent="0.25">
      <c r="A674" s="206"/>
      <c r="B674" s="214"/>
      <c r="C674" s="205"/>
      <c r="D674" s="206"/>
      <c r="E674" s="320"/>
      <c r="F674" s="207"/>
      <c r="G674" s="207"/>
    </row>
    <row r="675" spans="1:7" s="223" customFormat="1" x14ac:dyDescent="0.25">
      <c r="A675" s="206"/>
      <c r="B675" s="214"/>
      <c r="C675" s="205"/>
      <c r="D675" s="206"/>
      <c r="E675" s="320"/>
      <c r="F675" s="207"/>
      <c r="G675" s="207"/>
    </row>
    <row r="676" spans="1:7" s="223" customFormat="1" x14ac:dyDescent="0.25">
      <c r="A676" s="206"/>
      <c r="B676" s="214"/>
      <c r="C676" s="205"/>
      <c r="D676" s="206"/>
      <c r="E676" s="320"/>
      <c r="F676" s="207"/>
      <c r="G676" s="207"/>
    </row>
    <row r="677" spans="1:7" s="223" customFormat="1" x14ac:dyDescent="0.25">
      <c r="A677" s="206"/>
      <c r="B677" s="214"/>
      <c r="C677" s="205"/>
      <c r="D677" s="206"/>
      <c r="E677" s="320"/>
      <c r="F677" s="207"/>
      <c r="G677" s="207"/>
    </row>
    <row r="701" spans="1:20" s="223" customFormat="1" x14ac:dyDescent="0.25">
      <c r="A701" s="206"/>
      <c r="B701" s="214"/>
      <c r="C701" s="205"/>
      <c r="D701" s="206"/>
      <c r="E701" s="320"/>
      <c r="F701" s="207"/>
      <c r="G701" s="207"/>
    </row>
    <row r="702" spans="1:20" s="206" customFormat="1" ht="21" customHeight="1" x14ac:dyDescent="0.25">
      <c r="B702" s="214"/>
      <c r="C702" s="205"/>
      <c r="E702" s="320"/>
      <c r="F702" s="207"/>
      <c r="G702" s="207"/>
      <c r="H702" s="208"/>
      <c r="I702" s="208"/>
      <c r="J702" s="208"/>
      <c r="K702" s="208"/>
      <c r="L702" s="208"/>
      <c r="M702" s="208"/>
      <c r="N702" s="208"/>
      <c r="O702" s="208"/>
      <c r="P702" s="208"/>
      <c r="Q702" s="208"/>
      <c r="R702" s="208"/>
      <c r="S702" s="208"/>
      <c r="T702" s="208"/>
    </row>
    <row r="739" spans="1:7" s="223" customFormat="1" x14ac:dyDescent="0.25">
      <c r="A739" s="206"/>
      <c r="B739" s="214"/>
      <c r="C739" s="205"/>
      <c r="D739" s="206"/>
      <c r="E739" s="320"/>
      <c r="F739" s="207"/>
      <c r="G739" s="207"/>
    </row>
    <row r="740" spans="1:7" s="223" customFormat="1" x14ac:dyDescent="0.25">
      <c r="A740" s="206"/>
      <c r="B740" s="214"/>
      <c r="C740" s="205"/>
      <c r="D740" s="206"/>
      <c r="E740" s="320"/>
      <c r="F740" s="207"/>
      <c r="G740" s="207"/>
    </row>
    <row r="771" spans="1:7" s="223" customFormat="1" x14ac:dyDescent="0.25">
      <c r="A771" s="206"/>
      <c r="B771" s="214"/>
      <c r="C771" s="205"/>
      <c r="D771" s="206"/>
      <c r="E771" s="320"/>
      <c r="F771" s="207"/>
      <c r="G771" s="207"/>
    </row>
    <row r="772" spans="1:7" s="223" customFormat="1" x14ac:dyDescent="0.25">
      <c r="A772" s="206"/>
      <c r="B772" s="214"/>
      <c r="C772" s="205"/>
      <c r="D772" s="206"/>
      <c r="E772" s="320"/>
      <c r="F772" s="207"/>
      <c r="G772" s="207"/>
    </row>
  </sheetData>
  <printOptions gridLines="1"/>
  <pageMargins left="0.75" right="0.75" top="1" bottom="1" header="0.5" footer="0.5"/>
  <pageSetup paperSize="9" scale="89" orientation="portrait" horizontalDpi="300" verticalDpi="300" r:id="rId1"/>
  <headerFooter alignWithMargins="0">
    <oddHeader xml:space="preserve">&amp;C&amp;"Arial,Bold"PROPOSED FOUR 4BEDROOM TERRACE DUPLEX </oddHeader>
    <oddFooter>&amp;R&amp;"Comic Sans MS,Bold Italic"Page /&amp;P</oddFooter>
  </headerFooter>
  <rowBreaks count="18" manualBreakCount="18">
    <brk id="30" max="5" man="1"/>
    <brk id="67" max="5" man="1"/>
    <brk id="110" max="5" man="1"/>
    <brk id="154" max="5" man="1"/>
    <brk id="191" max="5" man="1"/>
    <brk id="238" max="5" man="1"/>
    <brk id="268" max="5" man="1"/>
    <brk id="316" max="5" man="1"/>
    <brk id="356" max="5" man="1"/>
    <brk id="403" max="5" man="1"/>
    <brk id="428" max="5" man="1"/>
    <brk id="444" max="5" man="1"/>
    <brk id="479" max="5" man="1"/>
    <brk id="511" max="5" man="1"/>
    <brk id="535" max="5" man="1"/>
    <brk id="576" max="5" man="1"/>
    <brk id="594" max="5" man="1"/>
    <brk id="611" max="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B876-7295-42B7-B0BB-2B6699356A4C}">
  <dimension ref="A1:J29"/>
  <sheetViews>
    <sheetView view="pageBreakPreview" zoomScaleNormal="96" zoomScaleSheetLayoutView="100" workbookViewId="0">
      <selection activeCell="F13" sqref="F13"/>
    </sheetView>
  </sheetViews>
  <sheetFormatPr defaultColWidth="11.42578125" defaultRowHeight="26.25" x14ac:dyDescent="0.4"/>
  <cols>
    <col min="1" max="1" width="8.5703125" style="388" customWidth="1"/>
    <col min="2" max="2" width="14.42578125" style="388" customWidth="1"/>
    <col min="3" max="7" width="11.42578125" style="388"/>
    <col min="8" max="8" width="14.85546875" style="388" customWidth="1"/>
    <col min="9" max="16384" width="11.42578125" style="388"/>
  </cols>
  <sheetData>
    <row r="1" spans="1:10" ht="31.5" x14ac:dyDescent="0.4">
      <c r="A1" s="582"/>
      <c r="B1" s="582"/>
      <c r="C1" s="582"/>
      <c r="D1" s="582"/>
      <c r="E1" s="582"/>
      <c r="F1" s="582"/>
      <c r="G1" s="582"/>
      <c r="H1" s="582"/>
      <c r="I1" s="582"/>
      <c r="J1" s="582"/>
    </row>
    <row r="2" spans="1:10" ht="17.25" customHeight="1" x14ac:dyDescent="0.5">
      <c r="A2" s="389"/>
      <c r="B2" s="389"/>
      <c r="C2" s="389"/>
      <c r="D2" s="389"/>
      <c r="E2" s="389"/>
      <c r="F2" s="389"/>
      <c r="G2" s="389"/>
      <c r="H2" s="389"/>
      <c r="I2" s="390"/>
      <c r="J2" s="390"/>
    </row>
    <row r="3" spans="1:10" ht="31.5" x14ac:dyDescent="0.4">
      <c r="A3" s="582"/>
      <c r="B3" s="582"/>
      <c r="C3" s="582"/>
      <c r="D3" s="582"/>
      <c r="E3" s="582"/>
      <c r="F3" s="582"/>
      <c r="G3" s="582"/>
      <c r="H3" s="582"/>
      <c r="I3" s="582"/>
      <c r="J3" s="582"/>
    </row>
    <row r="4" spans="1:10" ht="13.5" customHeight="1" x14ac:dyDescent="0.5">
      <c r="A4" s="389"/>
      <c r="B4" s="389"/>
      <c r="C4" s="389"/>
      <c r="D4" s="389"/>
      <c r="E4" s="389"/>
      <c r="F4" s="389"/>
      <c r="G4" s="389"/>
      <c r="H4" s="389"/>
      <c r="I4" s="390"/>
      <c r="J4" s="390"/>
    </row>
    <row r="5" spans="1:10" ht="21" customHeight="1" x14ac:dyDescent="0.4">
      <c r="A5" s="583" t="s">
        <v>1095</v>
      </c>
      <c r="B5" s="583"/>
      <c r="C5" s="583"/>
      <c r="D5" s="583"/>
      <c r="E5" s="583"/>
      <c r="F5" s="583"/>
      <c r="G5" s="583"/>
      <c r="H5" s="583"/>
      <c r="I5" s="583"/>
      <c r="J5" s="583"/>
    </row>
    <row r="6" spans="1:10" ht="17.25" customHeight="1" x14ac:dyDescent="0.4">
      <c r="A6" s="583"/>
      <c r="B6" s="583"/>
      <c r="C6" s="583"/>
      <c r="D6" s="583"/>
      <c r="E6" s="583"/>
      <c r="F6" s="583"/>
      <c r="G6" s="583"/>
      <c r="H6" s="583"/>
      <c r="I6" s="583"/>
      <c r="J6" s="583"/>
    </row>
    <row r="7" spans="1:10" x14ac:dyDescent="0.4">
      <c r="A7" s="583"/>
      <c r="B7" s="583"/>
      <c r="C7" s="583"/>
      <c r="D7" s="583"/>
      <c r="E7" s="583"/>
      <c r="F7" s="583"/>
      <c r="G7" s="583"/>
      <c r="H7" s="583"/>
      <c r="I7" s="583"/>
      <c r="J7" s="583"/>
    </row>
    <row r="8" spans="1:10" ht="8.25" customHeight="1" x14ac:dyDescent="0.4">
      <c r="A8" s="583"/>
      <c r="B8" s="583"/>
      <c r="C8" s="583"/>
      <c r="D8" s="583"/>
      <c r="E8" s="583"/>
      <c r="F8" s="583"/>
      <c r="G8" s="583"/>
      <c r="H8" s="583"/>
      <c r="I8" s="583"/>
      <c r="J8" s="583"/>
    </row>
    <row r="9" spans="1:10" hidden="1" x14ac:dyDescent="0.4">
      <c r="A9" s="583"/>
      <c r="B9" s="583"/>
      <c r="C9" s="583"/>
      <c r="D9" s="583"/>
      <c r="E9" s="583"/>
      <c r="F9" s="583"/>
      <c r="G9" s="583"/>
      <c r="H9" s="583"/>
      <c r="I9" s="583"/>
      <c r="J9" s="583"/>
    </row>
    <row r="10" spans="1:10" ht="5.25" hidden="1" customHeight="1" x14ac:dyDescent="0.4">
      <c r="A10" s="583"/>
      <c r="B10" s="583"/>
      <c r="C10" s="583"/>
      <c r="D10" s="583"/>
      <c r="E10" s="583"/>
      <c r="F10" s="583"/>
      <c r="G10" s="583"/>
      <c r="H10" s="583"/>
      <c r="I10" s="583"/>
      <c r="J10" s="583"/>
    </row>
    <row r="12" spans="1:10" ht="17.25" customHeight="1" x14ac:dyDescent="0.4"/>
    <row r="22" spans="1:10" x14ac:dyDescent="0.4">
      <c r="F22" s="388" t="s">
        <v>20</v>
      </c>
    </row>
    <row r="24" spans="1:10" s="392" customFormat="1" ht="18.75" x14ac:dyDescent="0.3">
      <c r="A24" s="391"/>
      <c r="G24" s="391"/>
    </row>
    <row r="25" spans="1:10" s="394" customFormat="1" ht="16.5" x14ac:dyDescent="0.3">
      <c r="A25" s="393"/>
      <c r="G25" s="395"/>
    </row>
    <row r="26" spans="1:10" s="394" customFormat="1" ht="15.75" x14ac:dyDescent="0.25"/>
    <row r="27" spans="1:10" s="394" customFormat="1" ht="15.75" x14ac:dyDescent="0.25"/>
    <row r="28" spans="1:10" s="392" customFormat="1" ht="15.75" x14ac:dyDescent="0.25"/>
    <row r="29" spans="1:10" s="392" customFormat="1" ht="15.75" x14ac:dyDescent="0.25">
      <c r="A29" s="584"/>
      <c r="B29" s="584"/>
      <c r="C29" s="584"/>
      <c r="D29" s="584"/>
      <c r="E29" s="584"/>
      <c r="F29" s="584"/>
      <c r="G29" s="584"/>
      <c r="H29" s="584"/>
      <c r="I29" s="584"/>
      <c r="J29" s="584"/>
    </row>
  </sheetData>
  <mergeCells count="4">
    <mergeCell ref="A1:J1"/>
    <mergeCell ref="A3:J3"/>
    <mergeCell ref="A5:J10"/>
    <mergeCell ref="A29:J29"/>
  </mergeCells>
  <pageMargins left="0.7" right="0.7" top="0.75" bottom="0.75" header="0.3" footer="0.3"/>
  <pageSetup paperSize="9" scale="7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B5BA4-B4D7-4B3C-9200-DB1B0FC5E8BE}">
  <dimension ref="A1:I571"/>
  <sheetViews>
    <sheetView view="pageBreakPreview" topLeftCell="A552" zoomScale="98" zoomScaleNormal="100" zoomScaleSheetLayoutView="98" workbookViewId="0">
      <selection activeCell="E435" sqref="E435"/>
    </sheetView>
  </sheetViews>
  <sheetFormatPr defaultColWidth="9.5703125" defaultRowHeight="15" x14ac:dyDescent="0.25"/>
  <cols>
    <col min="1" max="1" width="6.5703125" customWidth="1"/>
    <col min="2" max="2" width="45.42578125" customWidth="1"/>
    <col min="4" max="4" width="12.140625" customWidth="1"/>
    <col min="5" max="5" width="20.42578125" bestFit="1" customWidth="1"/>
    <col min="6" max="6" width="17.85546875" customWidth="1"/>
    <col min="8" max="8" width="16.140625" customWidth="1"/>
    <col min="9" max="9" width="15" customWidth="1"/>
    <col min="257" max="257" width="6.5703125" customWidth="1"/>
    <col min="258" max="258" width="38.5703125" customWidth="1"/>
    <col min="260" max="260" width="12.140625" customWidth="1"/>
    <col min="261" max="261" width="19.28515625" customWidth="1"/>
    <col min="262" max="262" width="17.85546875" customWidth="1"/>
    <col min="513" max="513" width="6.5703125" customWidth="1"/>
    <col min="514" max="514" width="38.5703125" customWidth="1"/>
    <col min="516" max="516" width="12.140625" customWidth="1"/>
    <col min="517" max="517" width="19.28515625" customWidth="1"/>
    <col min="518" max="518" width="17.85546875" customWidth="1"/>
    <col min="769" max="769" width="6.5703125" customWidth="1"/>
    <col min="770" max="770" width="38.5703125" customWidth="1"/>
    <col min="772" max="772" width="12.140625" customWidth="1"/>
    <col min="773" max="773" width="19.28515625" customWidth="1"/>
    <col min="774" max="774" width="17.85546875" customWidth="1"/>
    <col min="1025" max="1025" width="6.5703125" customWidth="1"/>
    <col min="1026" max="1026" width="38.5703125" customWidth="1"/>
    <col min="1028" max="1028" width="12.140625" customWidth="1"/>
    <col min="1029" max="1029" width="19.28515625" customWidth="1"/>
    <col min="1030" max="1030" width="17.85546875" customWidth="1"/>
    <col min="1281" max="1281" width="6.5703125" customWidth="1"/>
    <col min="1282" max="1282" width="38.5703125" customWidth="1"/>
    <col min="1284" max="1284" width="12.140625" customWidth="1"/>
    <col min="1285" max="1285" width="19.28515625" customWidth="1"/>
    <col min="1286" max="1286" width="17.85546875" customWidth="1"/>
    <col min="1537" max="1537" width="6.5703125" customWidth="1"/>
    <col min="1538" max="1538" width="38.5703125" customWidth="1"/>
    <col min="1540" max="1540" width="12.140625" customWidth="1"/>
    <col min="1541" max="1541" width="19.28515625" customWidth="1"/>
    <col min="1542" max="1542" width="17.85546875" customWidth="1"/>
    <col min="1793" max="1793" width="6.5703125" customWidth="1"/>
    <col min="1794" max="1794" width="38.5703125" customWidth="1"/>
    <col min="1796" max="1796" width="12.140625" customWidth="1"/>
    <col min="1797" max="1797" width="19.28515625" customWidth="1"/>
    <col min="1798" max="1798" width="17.85546875" customWidth="1"/>
    <col min="2049" max="2049" width="6.5703125" customWidth="1"/>
    <col min="2050" max="2050" width="38.5703125" customWidth="1"/>
    <col min="2052" max="2052" width="12.140625" customWidth="1"/>
    <col min="2053" max="2053" width="19.28515625" customWidth="1"/>
    <col min="2054" max="2054" width="17.85546875" customWidth="1"/>
    <col min="2305" max="2305" width="6.5703125" customWidth="1"/>
    <col min="2306" max="2306" width="38.5703125" customWidth="1"/>
    <col min="2308" max="2308" width="12.140625" customWidth="1"/>
    <col min="2309" max="2309" width="19.28515625" customWidth="1"/>
    <col min="2310" max="2310" width="17.85546875" customWidth="1"/>
    <col min="2561" max="2561" width="6.5703125" customWidth="1"/>
    <col min="2562" max="2562" width="38.5703125" customWidth="1"/>
    <col min="2564" max="2564" width="12.140625" customWidth="1"/>
    <col min="2565" max="2565" width="19.28515625" customWidth="1"/>
    <col min="2566" max="2566" width="17.85546875" customWidth="1"/>
    <col min="2817" max="2817" width="6.5703125" customWidth="1"/>
    <col min="2818" max="2818" width="38.5703125" customWidth="1"/>
    <col min="2820" max="2820" width="12.140625" customWidth="1"/>
    <col min="2821" max="2821" width="19.28515625" customWidth="1"/>
    <col min="2822" max="2822" width="17.85546875" customWidth="1"/>
    <col min="3073" max="3073" width="6.5703125" customWidth="1"/>
    <col min="3074" max="3074" width="38.5703125" customWidth="1"/>
    <col min="3076" max="3076" width="12.140625" customWidth="1"/>
    <col min="3077" max="3077" width="19.28515625" customWidth="1"/>
    <col min="3078" max="3078" width="17.85546875" customWidth="1"/>
    <col min="3329" max="3329" width="6.5703125" customWidth="1"/>
    <col min="3330" max="3330" width="38.5703125" customWidth="1"/>
    <col min="3332" max="3332" width="12.140625" customWidth="1"/>
    <col min="3333" max="3333" width="19.28515625" customWidth="1"/>
    <col min="3334" max="3334" width="17.85546875" customWidth="1"/>
    <col min="3585" max="3585" width="6.5703125" customWidth="1"/>
    <col min="3586" max="3586" width="38.5703125" customWidth="1"/>
    <col min="3588" max="3588" width="12.140625" customWidth="1"/>
    <col min="3589" max="3589" width="19.28515625" customWidth="1"/>
    <col min="3590" max="3590" width="17.85546875" customWidth="1"/>
    <col min="3841" max="3841" width="6.5703125" customWidth="1"/>
    <col min="3842" max="3842" width="38.5703125" customWidth="1"/>
    <col min="3844" max="3844" width="12.140625" customWidth="1"/>
    <col min="3845" max="3845" width="19.28515625" customWidth="1"/>
    <col min="3846" max="3846" width="17.85546875" customWidth="1"/>
    <col min="4097" max="4097" width="6.5703125" customWidth="1"/>
    <col min="4098" max="4098" width="38.5703125" customWidth="1"/>
    <col min="4100" max="4100" width="12.140625" customWidth="1"/>
    <col min="4101" max="4101" width="19.28515625" customWidth="1"/>
    <col min="4102" max="4102" width="17.85546875" customWidth="1"/>
    <col min="4353" max="4353" width="6.5703125" customWidth="1"/>
    <col min="4354" max="4354" width="38.5703125" customWidth="1"/>
    <col min="4356" max="4356" width="12.140625" customWidth="1"/>
    <col min="4357" max="4357" width="19.28515625" customWidth="1"/>
    <col min="4358" max="4358" width="17.85546875" customWidth="1"/>
    <col min="4609" max="4609" width="6.5703125" customWidth="1"/>
    <col min="4610" max="4610" width="38.5703125" customWidth="1"/>
    <col min="4612" max="4612" width="12.140625" customWidth="1"/>
    <col min="4613" max="4613" width="19.28515625" customWidth="1"/>
    <col min="4614" max="4614" width="17.85546875" customWidth="1"/>
    <col min="4865" max="4865" width="6.5703125" customWidth="1"/>
    <col min="4866" max="4866" width="38.5703125" customWidth="1"/>
    <col min="4868" max="4868" width="12.140625" customWidth="1"/>
    <col min="4869" max="4869" width="19.28515625" customWidth="1"/>
    <col min="4870" max="4870" width="17.85546875" customWidth="1"/>
    <col min="5121" max="5121" width="6.5703125" customWidth="1"/>
    <col min="5122" max="5122" width="38.5703125" customWidth="1"/>
    <col min="5124" max="5124" width="12.140625" customWidth="1"/>
    <col min="5125" max="5125" width="19.28515625" customWidth="1"/>
    <col min="5126" max="5126" width="17.85546875" customWidth="1"/>
    <col min="5377" max="5377" width="6.5703125" customWidth="1"/>
    <col min="5378" max="5378" width="38.5703125" customWidth="1"/>
    <col min="5380" max="5380" width="12.140625" customWidth="1"/>
    <col min="5381" max="5381" width="19.28515625" customWidth="1"/>
    <col min="5382" max="5382" width="17.85546875" customWidth="1"/>
    <col min="5633" max="5633" width="6.5703125" customWidth="1"/>
    <col min="5634" max="5634" width="38.5703125" customWidth="1"/>
    <col min="5636" max="5636" width="12.140625" customWidth="1"/>
    <col min="5637" max="5637" width="19.28515625" customWidth="1"/>
    <col min="5638" max="5638" width="17.85546875" customWidth="1"/>
    <col min="5889" max="5889" width="6.5703125" customWidth="1"/>
    <col min="5890" max="5890" width="38.5703125" customWidth="1"/>
    <col min="5892" max="5892" width="12.140625" customWidth="1"/>
    <col min="5893" max="5893" width="19.28515625" customWidth="1"/>
    <col min="5894" max="5894" width="17.85546875" customWidth="1"/>
    <col min="6145" max="6145" width="6.5703125" customWidth="1"/>
    <col min="6146" max="6146" width="38.5703125" customWidth="1"/>
    <col min="6148" max="6148" width="12.140625" customWidth="1"/>
    <col min="6149" max="6149" width="19.28515625" customWidth="1"/>
    <col min="6150" max="6150" width="17.85546875" customWidth="1"/>
    <col min="6401" max="6401" width="6.5703125" customWidth="1"/>
    <col min="6402" max="6402" width="38.5703125" customWidth="1"/>
    <col min="6404" max="6404" width="12.140625" customWidth="1"/>
    <col min="6405" max="6405" width="19.28515625" customWidth="1"/>
    <col min="6406" max="6406" width="17.85546875" customWidth="1"/>
    <col min="6657" max="6657" width="6.5703125" customWidth="1"/>
    <col min="6658" max="6658" width="38.5703125" customWidth="1"/>
    <col min="6660" max="6660" width="12.140625" customWidth="1"/>
    <col min="6661" max="6661" width="19.28515625" customWidth="1"/>
    <col min="6662" max="6662" width="17.85546875" customWidth="1"/>
    <col min="6913" max="6913" width="6.5703125" customWidth="1"/>
    <col min="6914" max="6914" width="38.5703125" customWidth="1"/>
    <col min="6916" max="6916" width="12.140625" customWidth="1"/>
    <col min="6917" max="6917" width="19.28515625" customWidth="1"/>
    <col min="6918" max="6918" width="17.85546875" customWidth="1"/>
    <col min="7169" max="7169" width="6.5703125" customWidth="1"/>
    <col min="7170" max="7170" width="38.5703125" customWidth="1"/>
    <col min="7172" max="7172" width="12.140625" customWidth="1"/>
    <col min="7173" max="7173" width="19.28515625" customWidth="1"/>
    <col min="7174" max="7174" width="17.85546875" customWidth="1"/>
    <col min="7425" max="7425" width="6.5703125" customWidth="1"/>
    <col min="7426" max="7426" width="38.5703125" customWidth="1"/>
    <col min="7428" max="7428" width="12.140625" customWidth="1"/>
    <col min="7429" max="7429" width="19.28515625" customWidth="1"/>
    <col min="7430" max="7430" width="17.85546875" customWidth="1"/>
    <col min="7681" max="7681" width="6.5703125" customWidth="1"/>
    <col min="7682" max="7682" width="38.5703125" customWidth="1"/>
    <col min="7684" max="7684" width="12.140625" customWidth="1"/>
    <col min="7685" max="7685" width="19.28515625" customWidth="1"/>
    <col min="7686" max="7686" width="17.85546875" customWidth="1"/>
    <col min="7937" max="7937" width="6.5703125" customWidth="1"/>
    <col min="7938" max="7938" width="38.5703125" customWidth="1"/>
    <col min="7940" max="7940" width="12.140625" customWidth="1"/>
    <col min="7941" max="7941" width="19.28515625" customWidth="1"/>
    <col min="7942" max="7942" width="17.85546875" customWidth="1"/>
    <col min="8193" max="8193" width="6.5703125" customWidth="1"/>
    <col min="8194" max="8194" width="38.5703125" customWidth="1"/>
    <col min="8196" max="8196" width="12.140625" customWidth="1"/>
    <col min="8197" max="8197" width="19.28515625" customWidth="1"/>
    <col min="8198" max="8198" width="17.85546875" customWidth="1"/>
    <col min="8449" max="8449" width="6.5703125" customWidth="1"/>
    <col min="8450" max="8450" width="38.5703125" customWidth="1"/>
    <col min="8452" max="8452" width="12.140625" customWidth="1"/>
    <col min="8453" max="8453" width="19.28515625" customWidth="1"/>
    <col min="8454" max="8454" width="17.85546875" customWidth="1"/>
    <col min="8705" max="8705" width="6.5703125" customWidth="1"/>
    <col min="8706" max="8706" width="38.5703125" customWidth="1"/>
    <col min="8708" max="8708" width="12.140625" customWidth="1"/>
    <col min="8709" max="8709" width="19.28515625" customWidth="1"/>
    <col min="8710" max="8710" width="17.85546875" customWidth="1"/>
    <col min="8961" max="8961" width="6.5703125" customWidth="1"/>
    <col min="8962" max="8962" width="38.5703125" customWidth="1"/>
    <col min="8964" max="8964" width="12.140625" customWidth="1"/>
    <col min="8965" max="8965" width="19.28515625" customWidth="1"/>
    <col min="8966" max="8966" width="17.85546875" customWidth="1"/>
    <col min="9217" max="9217" width="6.5703125" customWidth="1"/>
    <col min="9218" max="9218" width="38.5703125" customWidth="1"/>
    <col min="9220" max="9220" width="12.140625" customWidth="1"/>
    <col min="9221" max="9221" width="19.28515625" customWidth="1"/>
    <col min="9222" max="9222" width="17.85546875" customWidth="1"/>
    <col min="9473" max="9473" width="6.5703125" customWidth="1"/>
    <col min="9474" max="9474" width="38.5703125" customWidth="1"/>
    <col min="9476" max="9476" width="12.140625" customWidth="1"/>
    <col min="9477" max="9477" width="19.28515625" customWidth="1"/>
    <col min="9478" max="9478" width="17.85546875" customWidth="1"/>
    <col min="9729" max="9729" width="6.5703125" customWidth="1"/>
    <col min="9730" max="9730" width="38.5703125" customWidth="1"/>
    <col min="9732" max="9732" width="12.140625" customWidth="1"/>
    <col min="9733" max="9733" width="19.28515625" customWidth="1"/>
    <col min="9734" max="9734" width="17.85546875" customWidth="1"/>
    <col min="9985" max="9985" width="6.5703125" customWidth="1"/>
    <col min="9986" max="9986" width="38.5703125" customWidth="1"/>
    <col min="9988" max="9988" width="12.140625" customWidth="1"/>
    <col min="9989" max="9989" width="19.28515625" customWidth="1"/>
    <col min="9990" max="9990" width="17.85546875" customWidth="1"/>
    <col min="10241" max="10241" width="6.5703125" customWidth="1"/>
    <col min="10242" max="10242" width="38.5703125" customWidth="1"/>
    <col min="10244" max="10244" width="12.140625" customWidth="1"/>
    <col min="10245" max="10245" width="19.28515625" customWidth="1"/>
    <col min="10246" max="10246" width="17.85546875" customWidth="1"/>
    <col min="10497" max="10497" width="6.5703125" customWidth="1"/>
    <col min="10498" max="10498" width="38.5703125" customWidth="1"/>
    <col min="10500" max="10500" width="12.140625" customWidth="1"/>
    <col min="10501" max="10501" width="19.28515625" customWidth="1"/>
    <col min="10502" max="10502" width="17.85546875" customWidth="1"/>
    <col min="10753" max="10753" width="6.5703125" customWidth="1"/>
    <col min="10754" max="10754" width="38.5703125" customWidth="1"/>
    <col min="10756" max="10756" width="12.140625" customWidth="1"/>
    <col min="10757" max="10757" width="19.28515625" customWidth="1"/>
    <col min="10758" max="10758" width="17.85546875" customWidth="1"/>
    <col min="11009" max="11009" width="6.5703125" customWidth="1"/>
    <col min="11010" max="11010" width="38.5703125" customWidth="1"/>
    <col min="11012" max="11012" width="12.140625" customWidth="1"/>
    <col min="11013" max="11013" width="19.28515625" customWidth="1"/>
    <col min="11014" max="11014" width="17.85546875" customWidth="1"/>
    <col min="11265" max="11265" width="6.5703125" customWidth="1"/>
    <col min="11266" max="11266" width="38.5703125" customWidth="1"/>
    <col min="11268" max="11268" width="12.140625" customWidth="1"/>
    <col min="11269" max="11269" width="19.28515625" customWidth="1"/>
    <col min="11270" max="11270" width="17.85546875" customWidth="1"/>
    <col min="11521" max="11521" width="6.5703125" customWidth="1"/>
    <col min="11522" max="11522" width="38.5703125" customWidth="1"/>
    <col min="11524" max="11524" width="12.140625" customWidth="1"/>
    <col min="11525" max="11525" width="19.28515625" customWidth="1"/>
    <col min="11526" max="11526" width="17.85546875" customWidth="1"/>
    <col min="11777" max="11777" width="6.5703125" customWidth="1"/>
    <col min="11778" max="11778" width="38.5703125" customWidth="1"/>
    <col min="11780" max="11780" width="12.140625" customWidth="1"/>
    <col min="11781" max="11781" width="19.28515625" customWidth="1"/>
    <col min="11782" max="11782" width="17.85546875" customWidth="1"/>
    <col min="12033" max="12033" width="6.5703125" customWidth="1"/>
    <col min="12034" max="12034" width="38.5703125" customWidth="1"/>
    <col min="12036" max="12036" width="12.140625" customWidth="1"/>
    <col min="12037" max="12037" width="19.28515625" customWidth="1"/>
    <col min="12038" max="12038" width="17.85546875" customWidth="1"/>
    <col min="12289" max="12289" width="6.5703125" customWidth="1"/>
    <col min="12290" max="12290" width="38.5703125" customWidth="1"/>
    <col min="12292" max="12292" width="12.140625" customWidth="1"/>
    <col min="12293" max="12293" width="19.28515625" customWidth="1"/>
    <col min="12294" max="12294" width="17.85546875" customWidth="1"/>
    <col min="12545" max="12545" width="6.5703125" customWidth="1"/>
    <col min="12546" max="12546" width="38.5703125" customWidth="1"/>
    <col min="12548" max="12548" width="12.140625" customWidth="1"/>
    <col min="12549" max="12549" width="19.28515625" customWidth="1"/>
    <col min="12550" max="12550" width="17.85546875" customWidth="1"/>
    <col min="12801" max="12801" width="6.5703125" customWidth="1"/>
    <col min="12802" max="12802" width="38.5703125" customWidth="1"/>
    <col min="12804" max="12804" width="12.140625" customWidth="1"/>
    <col min="12805" max="12805" width="19.28515625" customWidth="1"/>
    <col min="12806" max="12806" width="17.85546875" customWidth="1"/>
    <col min="13057" max="13057" width="6.5703125" customWidth="1"/>
    <col min="13058" max="13058" width="38.5703125" customWidth="1"/>
    <col min="13060" max="13060" width="12.140625" customWidth="1"/>
    <col min="13061" max="13061" width="19.28515625" customWidth="1"/>
    <col min="13062" max="13062" width="17.85546875" customWidth="1"/>
    <col min="13313" max="13313" width="6.5703125" customWidth="1"/>
    <col min="13314" max="13314" width="38.5703125" customWidth="1"/>
    <col min="13316" max="13316" width="12.140625" customWidth="1"/>
    <col min="13317" max="13317" width="19.28515625" customWidth="1"/>
    <col min="13318" max="13318" width="17.85546875" customWidth="1"/>
    <col min="13569" max="13569" width="6.5703125" customWidth="1"/>
    <col min="13570" max="13570" width="38.5703125" customWidth="1"/>
    <col min="13572" max="13572" width="12.140625" customWidth="1"/>
    <col min="13573" max="13573" width="19.28515625" customWidth="1"/>
    <col min="13574" max="13574" width="17.85546875" customWidth="1"/>
    <col min="13825" max="13825" width="6.5703125" customWidth="1"/>
    <col min="13826" max="13826" width="38.5703125" customWidth="1"/>
    <col min="13828" max="13828" width="12.140625" customWidth="1"/>
    <col min="13829" max="13829" width="19.28515625" customWidth="1"/>
    <col min="13830" max="13830" width="17.85546875" customWidth="1"/>
    <col min="14081" max="14081" width="6.5703125" customWidth="1"/>
    <col min="14082" max="14082" width="38.5703125" customWidth="1"/>
    <col min="14084" max="14084" width="12.140625" customWidth="1"/>
    <col min="14085" max="14085" width="19.28515625" customWidth="1"/>
    <col min="14086" max="14086" width="17.85546875" customWidth="1"/>
    <col min="14337" max="14337" width="6.5703125" customWidth="1"/>
    <col min="14338" max="14338" width="38.5703125" customWidth="1"/>
    <col min="14340" max="14340" width="12.140625" customWidth="1"/>
    <col min="14341" max="14341" width="19.28515625" customWidth="1"/>
    <col min="14342" max="14342" width="17.85546875" customWidth="1"/>
    <col min="14593" max="14593" width="6.5703125" customWidth="1"/>
    <col min="14594" max="14594" width="38.5703125" customWidth="1"/>
    <col min="14596" max="14596" width="12.140625" customWidth="1"/>
    <col min="14597" max="14597" width="19.28515625" customWidth="1"/>
    <col min="14598" max="14598" width="17.85546875" customWidth="1"/>
    <col min="14849" max="14849" width="6.5703125" customWidth="1"/>
    <col min="14850" max="14850" width="38.5703125" customWidth="1"/>
    <col min="14852" max="14852" width="12.140625" customWidth="1"/>
    <col min="14853" max="14853" width="19.28515625" customWidth="1"/>
    <col min="14854" max="14854" width="17.85546875" customWidth="1"/>
    <col min="15105" max="15105" width="6.5703125" customWidth="1"/>
    <col min="15106" max="15106" width="38.5703125" customWidth="1"/>
    <col min="15108" max="15108" width="12.140625" customWidth="1"/>
    <col min="15109" max="15109" width="19.28515625" customWidth="1"/>
    <col min="15110" max="15110" width="17.85546875" customWidth="1"/>
    <col min="15361" max="15361" width="6.5703125" customWidth="1"/>
    <col min="15362" max="15362" width="38.5703125" customWidth="1"/>
    <col min="15364" max="15364" width="12.140625" customWidth="1"/>
    <col min="15365" max="15365" width="19.28515625" customWidth="1"/>
    <col min="15366" max="15366" width="17.85546875" customWidth="1"/>
    <col min="15617" max="15617" width="6.5703125" customWidth="1"/>
    <col min="15618" max="15618" width="38.5703125" customWidth="1"/>
    <col min="15620" max="15620" width="12.140625" customWidth="1"/>
    <col min="15621" max="15621" width="19.28515625" customWidth="1"/>
    <col min="15622" max="15622" width="17.85546875" customWidth="1"/>
    <col min="15873" max="15873" width="6.5703125" customWidth="1"/>
    <col min="15874" max="15874" width="38.5703125" customWidth="1"/>
    <col min="15876" max="15876" width="12.140625" customWidth="1"/>
    <col min="15877" max="15877" width="19.28515625" customWidth="1"/>
    <col min="15878" max="15878" width="17.85546875" customWidth="1"/>
    <col min="16129" max="16129" width="6.5703125" customWidth="1"/>
    <col min="16130" max="16130" width="38.5703125" customWidth="1"/>
    <col min="16132" max="16132" width="12.140625" customWidth="1"/>
    <col min="16133" max="16133" width="19.28515625" customWidth="1"/>
    <col min="16134" max="16134" width="17.85546875" customWidth="1"/>
  </cols>
  <sheetData>
    <row r="1" spans="1:6" ht="18.75" x14ac:dyDescent="0.25">
      <c r="A1" s="396"/>
      <c r="B1" s="397" t="s">
        <v>508</v>
      </c>
      <c r="C1" s="398"/>
      <c r="D1" s="399"/>
      <c r="E1" s="528"/>
      <c r="F1" s="400"/>
    </row>
    <row r="2" spans="1:6" ht="18.75" x14ac:dyDescent="0.25">
      <c r="A2" s="399"/>
      <c r="B2" s="402"/>
      <c r="C2" s="398"/>
      <c r="D2" s="399"/>
      <c r="E2" s="528"/>
      <c r="F2" s="400"/>
    </row>
    <row r="3" spans="1:6" ht="18.75" x14ac:dyDescent="0.25">
      <c r="A3" s="399"/>
      <c r="B3" s="403" t="s">
        <v>509</v>
      </c>
      <c r="C3" s="398"/>
      <c r="D3" s="399"/>
      <c r="E3" s="528"/>
      <c r="F3" s="400"/>
    </row>
    <row r="4" spans="1:6" ht="18.75" x14ac:dyDescent="0.25">
      <c r="A4" s="399"/>
      <c r="B4" s="403"/>
      <c r="C4" s="398"/>
      <c r="D4" s="399"/>
      <c r="E4" s="528"/>
      <c r="F4" s="400"/>
    </row>
    <row r="5" spans="1:6" ht="18" x14ac:dyDescent="0.25">
      <c r="A5" s="399"/>
      <c r="B5" s="404" t="s">
        <v>44</v>
      </c>
      <c r="C5" s="398"/>
      <c r="D5" s="399"/>
      <c r="E5" s="528"/>
      <c r="F5" s="405"/>
    </row>
    <row r="6" spans="1:6" ht="18" x14ac:dyDescent="0.25">
      <c r="A6" s="399"/>
      <c r="B6" s="404"/>
      <c r="C6" s="398"/>
      <c r="D6" s="399"/>
      <c r="E6" s="528"/>
      <c r="F6" s="405"/>
    </row>
    <row r="7" spans="1:6" ht="18" x14ac:dyDescent="0.25">
      <c r="A7" s="399"/>
      <c r="B7" s="404" t="s">
        <v>510</v>
      </c>
      <c r="C7" s="398"/>
      <c r="D7" s="399"/>
      <c r="E7" s="528"/>
      <c r="F7" s="405"/>
    </row>
    <row r="8" spans="1:6" ht="23.25" customHeight="1" x14ac:dyDescent="0.25">
      <c r="A8" s="399"/>
      <c r="B8" s="398"/>
      <c r="C8" s="402" t="s">
        <v>773</v>
      </c>
      <c r="D8" s="402" t="s">
        <v>765</v>
      </c>
      <c r="E8" s="537" t="s">
        <v>767</v>
      </c>
      <c r="F8" s="420" t="s">
        <v>768</v>
      </c>
    </row>
    <row r="9" spans="1:6" ht="33" x14ac:dyDescent="0.25">
      <c r="A9" s="399" t="s">
        <v>2</v>
      </c>
      <c r="B9" s="406" t="s">
        <v>45</v>
      </c>
      <c r="C9" s="614">
        <v>305</v>
      </c>
      <c r="D9" s="399" t="s">
        <v>922</v>
      </c>
      <c r="E9" s="528">
        <v>150</v>
      </c>
      <c r="F9" s="400">
        <f t="shared" ref="F9:F16" si="0">C9*E9</f>
        <v>45750</v>
      </c>
    </row>
    <row r="10" spans="1:6" ht="49.5" x14ac:dyDescent="0.25">
      <c r="A10" s="399" t="s">
        <v>4</v>
      </c>
      <c r="B10" s="406" t="s">
        <v>923</v>
      </c>
      <c r="C10" s="497">
        <v>55</v>
      </c>
      <c r="D10" s="399" t="s">
        <v>924</v>
      </c>
      <c r="E10" s="528">
        <v>1900</v>
      </c>
      <c r="F10" s="400">
        <f t="shared" si="0"/>
        <v>104500</v>
      </c>
    </row>
    <row r="11" spans="1:6" ht="49.5" x14ac:dyDescent="0.25">
      <c r="A11" s="399" t="s">
        <v>5</v>
      </c>
      <c r="B11" s="406" t="s">
        <v>49</v>
      </c>
      <c r="C11" s="484">
        <v>56</v>
      </c>
      <c r="D11" s="399" t="s">
        <v>924</v>
      </c>
      <c r="E11" s="528">
        <f>E10</f>
        <v>1900</v>
      </c>
      <c r="F11" s="400">
        <f t="shared" si="0"/>
        <v>106400</v>
      </c>
    </row>
    <row r="12" spans="1:6" ht="33" x14ac:dyDescent="0.25">
      <c r="A12" s="399" t="s">
        <v>7</v>
      </c>
      <c r="B12" s="406" t="s">
        <v>19</v>
      </c>
      <c r="C12" s="409">
        <v>115</v>
      </c>
      <c r="D12" s="399" t="s">
        <v>922</v>
      </c>
      <c r="E12" s="528">
        <v>350</v>
      </c>
      <c r="F12" s="400">
        <f t="shared" si="0"/>
        <v>40250</v>
      </c>
    </row>
    <row r="13" spans="1:6" ht="33" x14ac:dyDescent="0.25">
      <c r="A13" s="399" t="s">
        <v>8</v>
      </c>
      <c r="B13" s="406" t="s">
        <v>515</v>
      </c>
      <c r="C13" s="409">
        <f>C10+C11-C14</f>
        <v>30.799999999999997</v>
      </c>
      <c r="D13" s="399" t="s">
        <v>924</v>
      </c>
      <c r="E13" s="528">
        <v>600</v>
      </c>
      <c r="F13" s="400">
        <f t="shared" si="0"/>
        <v>18480</v>
      </c>
    </row>
    <row r="14" spans="1:6" ht="33" x14ac:dyDescent="0.25">
      <c r="A14" s="399" t="s">
        <v>9</v>
      </c>
      <c r="B14" s="406" t="s">
        <v>516</v>
      </c>
      <c r="C14" s="409">
        <f>C10+C11*0.45</f>
        <v>80.2</v>
      </c>
      <c r="D14" s="399" t="s">
        <v>924</v>
      </c>
      <c r="E14" s="528">
        <f>E13</f>
        <v>600</v>
      </c>
      <c r="F14" s="400">
        <f t="shared" si="0"/>
        <v>48120</v>
      </c>
    </row>
    <row r="15" spans="1:6" ht="49.5" x14ac:dyDescent="0.25">
      <c r="A15" s="399" t="s">
        <v>10</v>
      </c>
      <c r="B15" s="415" t="s">
        <v>941</v>
      </c>
      <c r="C15" s="614">
        <f>200*0.3</f>
        <v>60</v>
      </c>
      <c r="D15" s="399" t="s">
        <v>924</v>
      </c>
      <c r="E15" s="528">
        <v>6800</v>
      </c>
      <c r="F15" s="400">
        <f t="shared" si="0"/>
        <v>408000</v>
      </c>
    </row>
    <row r="16" spans="1:6" ht="33" x14ac:dyDescent="0.25">
      <c r="A16" s="399" t="s">
        <v>11</v>
      </c>
      <c r="B16" s="406" t="s">
        <v>663</v>
      </c>
      <c r="C16" s="614">
        <v>200</v>
      </c>
      <c r="D16" s="399" t="s">
        <v>922</v>
      </c>
      <c r="E16" s="528">
        <v>4500</v>
      </c>
      <c r="F16" s="400">
        <f t="shared" si="0"/>
        <v>900000</v>
      </c>
    </row>
    <row r="17" spans="1:8" ht="18.75" x14ac:dyDescent="0.25">
      <c r="A17" s="399"/>
      <c r="B17" s="406"/>
      <c r="C17" s="614"/>
      <c r="D17" s="399"/>
      <c r="E17" s="528"/>
      <c r="F17" s="400"/>
      <c r="G17" s="401"/>
      <c r="H17" s="401"/>
    </row>
    <row r="18" spans="1:8" ht="18.75" x14ac:dyDescent="0.25">
      <c r="A18" s="399"/>
      <c r="B18" s="404" t="s">
        <v>98</v>
      </c>
      <c r="C18" s="484"/>
      <c r="D18" s="399"/>
      <c r="E18" s="528"/>
      <c r="F18" s="400"/>
      <c r="G18" s="401"/>
      <c r="H18" s="401"/>
    </row>
    <row r="19" spans="1:8" s="535" customFormat="1" ht="17.25" customHeight="1" x14ac:dyDescent="0.25">
      <c r="A19" s="530"/>
      <c r="B19" s="531" t="s">
        <v>942</v>
      </c>
      <c r="C19" s="615"/>
      <c r="D19" s="530"/>
      <c r="E19" s="532"/>
      <c r="F19" s="533"/>
      <c r="G19" s="534"/>
    </row>
    <row r="20" spans="1:8" s="535" customFormat="1" ht="17.25" customHeight="1" x14ac:dyDescent="0.25">
      <c r="A20" s="530" t="s">
        <v>12</v>
      </c>
      <c r="B20" s="536" t="s">
        <v>943</v>
      </c>
      <c r="C20" s="616">
        <v>45</v>
      </c>
      <c r="D20" s="530" t="s">
        <v>511</v>
      </c>
      <c r="E20" s="632">
        <v>3000</v>
      </c>
      <c r="F20" s="533">
        <f>C20*E20</f>
        <v>135000</v>
      </c>
      <c r="G20" s="534"/>
      <c r="H20" s="284"/>
    </row>
    <row r="21" spans="1:8" ht="18.75" x14ac:dyDescent="0.25">
      <c r="A21" s="399"/>
      <c r="B21" s="410" t="s">
        <v>925</v>
      </c>
      <c r="C21" s="484"/>
      <c r="D21" s="399"/>
      <c r="E21" s="528"/>
      <c r="F21" s="400"/>
      <c r="G21" s="401"/>
      <c r="H21" s="401"/>
    </row>
    <row r="22" spans="1:8" ht="18.75" x14ac:dyDescent="0.25">
      <c r="A22" s="399" t="s">
        <v>13</v>
      </c>
      <c r="B22" s="398" t="s">
        <v>926</v>
      </c>
      <c r="C22" s="484">
        <v>17</v>
      </c>
      <c r="D22" s="399" t="s">
        <v>924</v>
      </c>
      <c r="E22" s="528">
        <v>8500</v>
      </c>
      <c r="F22" s="400">
        <f t="shared" ref="F22:F24" si="1">C22*E22</f>
        <v>144500</v>
      </c>
      <c r="G22" s="401"/>
      <c r="H22" s="401"/>
    </row>
    <row r="23" spans="1:8" ht="18.75" x14ac:dyDescent="0.25">
      <c r="A23" s="399" t="s">
        <v>14</v>
      </c>
      <c r="B23" s="398" t="s">
        <v>519</v>
      </c>
      <c r="C23" s="497">
        <v>34</v>
      </c>
      <c r="D23" s="399" t="s">
        <v>924</v>
      </c>
      <c r="E23" s="528">
        <f>E22</f>
        <v>8500</v>
      </c>
      <c r="F23" s="400">
        <f t="shared" si="1"/>
        <v>289000</v>
      </c>
      <c r="G23" s="401"/>
      <c r="H23" s="401"/>
    </row>
    <row r="24" spans="1:8" ht="18.75" x14ac:dyDescent="0.25">
      <c r="A24" s="399" t="s">
        <v>15</v>
      </c>
      <c r="B24" s="398" t="s">
        <v>668</v>
      </c>
      <c r="C24" s="484">
        <v>1</v>
      </c>
      <c r="D24" s="399" t="s">
        <v>924</v>
      </c>
      <c r="E24" s="528">
        <f>E23</f>
        <v>8500</v>
      </c>
      <c r="F24" s="400">
        <f t="shared" si="1"/>
        <v>8500</v>
      </c>
      <c r="G24" s="401"/>
      <c r="H24" s="401"/>
    </row>
    <row r="25" spans="1:8" ht="18.75" x14ac:dyDescent="0.25">
      <c r="A25" s="399"/>
      <c r="B25" s="398"/>
      <c r="C25" s="398"/>
      <c r="D25" s="399"/>
      <c r="E25" s="528"/>
      <c r="F25" s="400"/>
      <c r="G25" s="401"/>
      <c r="H25" s="401"/>
    </row>
    <row r="26" spans="1:8" ht="18.75" x14ac:dyDescent="0.25">
      <c r="A26" s="399"/>
      <c r="B26" s="411"/>
      <c r="C26" s="411"/>
      <c r="D26" s="402"/>
      <c r="E26" s="537"/>
      <c r="F26" s="296"/>
      <c r="G26" s="401"/>
      <c r="H26" s="401"/>
    </row>
    <row r="27" spans="1:8" ht="18.75" x14ac:dyDescent="0.25">
      <c r="A27" s="399"/>
      <c r="B27" s="411"/>
      <c r="C27" s="411"/>
      <c r="D27" s="402"/>
      <c r="E27" s="537"/>
      <c r="F27" s="296"/>
      <c r="G27" s="401"/>
      <c r="H27" s="401"/>
    </row>
    <row r="28" spans="1:8" ht="18.75" x14ac:dyDescent="0.25">
      <c r="A28" s="399"/>
      <c r="B28" s="411" t="s">
        <v>520</v>
      </c>
      <c r="C28" s="411"/>
      <c r="D28" s="402"/>
      <c r="E28" s="537" t="s">
        <v>15</v>
      </c>
      <c r="F28" s="296">
        <f>SUM(F5:F24)</f>
        <v>2248500</v>
      </c>
      <c r="G28" s="401"/>
      <c r="H28" s="401"/>
    </row>
    <row r="29" spans="1:8" ht="18.75" x14ac:dyDescent="0.25">
      <c r="A29" s="402"/>
      <c r="B29" s="403" t="s">
        <v>521</v>
      </c>
      <c r="C29" s="411"/>
      <c r="D29" s="402"/>
      <c r="E29" s="537"/>
      <c r="F29" s="429"/>
      <c r="G29" s="401"/>
      <c r="H29" s="401"/>
    </row>
    <row r="30" spans="1:8" ht="18.75" x14ac:dyDescent="0.25">
      <c r="A30" s="399"/>
      <c r="B30" s="398"/>
      <c r="C30" s="407"/>
      <c r="D30" s="399"/>
      <c r="E30" s="528"/>
      <c r="F30" s="400"/>
      <c r="G30" s="401"/>
      <c r="H30" s="401"/>
    </row>
    <row r="31" spans="1:8" s="535" customFormat="1" ht="17.25" customHeight="1" x14ac:dyDescent="0.25">
      <c r="A31" s="530"/>
      <c r="B31" s="531" t="s">
        <v>944</v>
      </c>
      <c r="C31" s="615"/>
      <c r="D31" s="530"/>
      <c r="E31" s="538"/>
      <c r="F31" s="533"/>
      <c r="G31" s="534"/>
    </row>
    <row r="32" spans="1:8" s="535" customFormat="1" ht="23.25" customHeight="1" x14ac:dyDescent="0.25">
      <c r="A32" s="530" t="s">
        <v>2</v>
      </c>
      <c r="B32" s="536" t="s">
        <v>945</v>
      </c>
      <c r="C32" s="616">
        <v>15</v>
      </c>
      <c r="D32" s="530" t="s">
        <v>513</v>
      </c>
      <c r="E32" s="532">
        <v>8500</v>
      </c>
      <c r="F32" s="533">
        <f>C32*E32</f>
        <v>127500</v>
      </c>
      <c r="G32" s="534"/>
      <c r="H32" s="284"/>
    </row>
    <row r="33" spans="1:8" s="535" customFormat="1" ht="21.75" customHeight="1" x14ac:dyDescent="0.25">
      <c r="A33" s="530" t="s">
        <v>4</v>
      </c>
      <c r="B33" s="536" t="s">
        <v>65</v>
      </c>
      <c r="C33" s="616">
        <v>3</v>
      </c>
      <c r="D33" s="530" t="s">
        <v>513</v>
      </c>
      <c r="E33" s="532">
        <f>E32</f>
        <v>8500</v>
      </c>
      <c r="F33" s="533">
        <f>C33*E33</f>
        <v>25500</v>
      </c>
      <c r="G33" s="534"/>
      <c r="H33" s="284"/>
    </row>
    <row r="34" spans="1:8" s="535" customFormat="1" ht="21" customHeight="1" x14ac:dyDescent="0.25">
      <c r="A34" s="530"/>
      <c r="B34" s="540" t="s">
        <v>102</v>
      </c>
      <c r="C34" s="615"/>
      <c r="D34" s="530"/>
      <c r="E34" s="538"/>
      <c r="F34" s="533"/>
      <c r="G34" s="534"/>
    </row>
    <row r="35" spans="1:8" s="535" customFormat="1" ht="38.25" customHeight="1" x14ac:dyDescent="0.25">
      <c r="A35" s="530"/>
      <c r="B35" s="541" t="s">
        <v>946</v>
      </c>
      <c r="C35" s="530"/>
      <c r="D35" s="530"/>
      <c r="E35" s="538"/>
      <c r="F35" s="533"/>
      <c r="G35" s="534"/>
    </row>
    <row r="36" spans="1:8" s="208" customFormat="1" ht="22.5" customHeight="1" x14ac:dyDescent="0.25">
      <c r="A36" s="206" t="s">
        <v>5</v>
      </c>
      <c r="B36" s="214" t="s">
        <v>1054</v>
      </c>
      <c r="C36" s="205">
        <v>443</v>
      </c>
      <c r="D36" s="206" t="s">
        <v>75</v>
      </c>
      <c r="E36" s="532">
        <v>1250</v>
      </c>
      <c r="F36" s="207">
        <f>C36*E36</f>
        <v>553750</v>
      </c>
      <c r="G36" s="216"/>
      <c r="H36" s="284"/>
    </row>
    <row r="37" spans="1:8" s="208" customFormat="1" ht="16.5" x14ac:dyDescent="0.25">
      <c r="A37" s="206"/>
      <c r="B37" s="214"/>
      <c r="C37" s="205"/>
      <c r="D37" s="206"/>
      <c r="E37" s="532"/>
      <c r="F37" s="207"/>
      <c r="G37" s="216"/>
      <c r="H37" s="284"/>
    </row>
    <row r="38" spans="1:8" s="208" customFormat="1" ht="21" customHeight="1" x14ac:dyDescent="0.25">
      <c r="A38" s="206" t="s">
        <v>6</v>
      </c>
      <c r="B38" s="214" t="s">
        <v>1027</v>
      </c>
      <c r="C38" s="205">
        <v>512</v>
      </c>
      <c r="D38" s="206" t="s">
        <v>75</v>
      </c>
      <c r="E38" s="532">
        <f>E36</f>
        <v>1250</v>
      </c>
      <c r="F38" s="207">
        <f>C38*E38</f>
        <v>640000</v>
      </c>
      <c r="G38" s="216"/>
      <c r="H38" s="284"/>
    </row>
    <row r="39" spans="1:8" s="208" customFormat="1" ht="16.5" x14ac:dyDescent="0.25">
      <c r="A39" s="206"/>
      <c r="B39" s="214"/>
      <c r="C39" s="205"/>
      <c r="D39" s="206"/>
      <c r="E39" s="532"/>
      <c r="F39" s="207"/>
      <c r="G39" s="216"/>
      <c r="H39" s="284"/>
    </row>
    <row r="40" spans="1:8" s="208" customFormat="1" ht="22.5" customHeight="1" x14ac:dyDescent="0.25">
      <c r="A40" s="206" t="s">
        <v>5</v>
      </c>
      <c r="B40" s="214" t="s">
        <v>1056</v>
      </c>
      <c r="C40" s="205">
        <v>32</v>
      </c>
      <c r="D40" s="206" t="s">
        <v>75</v>
      </c>
      <c r="E40" s="532">
        <f>E38</f>
        <v>1250</v>
      </c>
      <c r="F40" s="207">
        <f>C40*E40</f>
        <v>40000</v>
      </c>
      <c r="G40" s="216"/>
      <c r="H40" s="284"/>
    </row>
    <row r="41" spans="1:8" s="208" customFormat="1" ht="16.5" x14ac:dyDescent="0.25">
      <c r="A41" s="206"/>
      <c r="B41" s="214"/>
      <c r="C41" s="205"/>
      <c r="D41" s="206"/>
      <c r="E41" s="532"/>
      <c r="F41" s="207"/>
      <c r="G41" s="216"/>
      <c r="H41" s="284"/>
    </row>
    <row r="42" spans="1:8" s="208" customFormat="1" ht="18" customHeight="1" x14ac:dyDescent="0.25">
      <c r="A42" s="206" t="s">
        <v>7</v>
      </c>
      <c r="B42" s="214" t="s">
        <v>1028</v>
      </c>
      <c r="C42" s="205">
        <v>145</v>
      </c>
      <c r="D42" s="206" t="s">
        <v>75</v>
      </c>
      <c r="E42" s="532">
        <f>E38</f>
        <v>1250</v>
      </c>
      <c r="F42" s="207">
        <f>C42*E42</f>
        <v>181250</v>
      </c>
      <c r="G42" s="216"/>
      <c r="H42" s="284"/>
    </row>
    <row r="43" spans="1:8" s="535" customFormat="1" ht="21" customHeight="1" x14ac:dyDescent="0.25">
      <c r="A43" s="530"/>
      <c r="B43" s="540" t="s">
        <v>67</v>
      </c>
      <c r="C43" s="615"/>
      <c r="D43" s="530"/>
      <c r="E43" s="538"/>
      <c r="F43" s="533"/>
      <c r="G43" s="534"/>
    </row>
    <row r="44" spans="1:8" s="535" customFormat="1" ht="24.75" customHeight="1" x14ac:dyDescent="0.25">
      <c r="A44" s="530"/>
      <c r="B44" s="531" t="s">
        <v>120</v>
      </c>
      <c r="C44" s="530"/>
      <c r="D44" s="530"/>
      <c r="E44" s="538"/>
      <c r="F44" s="533"/>
      <c r="G44" s="534"/>
    </row>
    <row r="45" spans="1:8" s="208" customFormat="1" ht="21.75" customHeight="1" x14ac:dyDescent="0.25">
      <c r="A45" s="206" t="s">
        <v>10</v>
      </c>
      <c r="B45" s="214" t="s">
        <v>947</v>
      </c>
      <c r="C45" s="205">
        <v>40</v>
      </c>
      <c r="D45" s="206" t="s">
        <v>511</v>
      </c>
      <c r="E45" s="532">
        <v>6500</v>
      </c>
      <c r="F45" s="207">
        <f t="shared" ref="F45:F47" si="2">C45*E45</f>
        <v>260000</v>
      </c>
      <c r="G45" s="216"/>
      <c r="H45" s="284"/>
    </row>
    <row r="46" spans="1:8" s="208" customFormat="1" ht="16.5" x14ac:dyDescent="0.25">
      <c r="A46" s="206"/>
      <c r="B46" s="214"/>
      <c r="C46" s="205"/>
      <c r="D46" s="206"/>
      <c r="E46" s="532"/>
      <c r="F46" s="207"/>
      <c r="G46" s="216"/>
      <c r="H46" s="284"/>
    </row>
    <row r="47" spans="1:8" s="208" customFormat="1" ht="23.25" customHeight="1" x14ac:dyDescent="0.25">
      <c r="A47" s="206" t="s">
        <v>11</v>
      </c>
      <c r="B47" s="214" t="s">
        <v>1055</v>
      </c>
      <c r="C47" s="205">
        <v>43</v>
      </c>
      <c r="D47" s="206" t="s">
        <v>511</v>
      </c>
      <c r="E47" s="532">
        <f>E45</f>
        <v>6500</v>
      </c>
      <c r="F47" s="207">
        <f t="shared" si="2"/>
        <v>279500</v>
      </c>
      <c r="G47" s="216"/>
    </row>
    <row r="48" spans="1:8" s="208" customFormat="1" ht="16.5" x14ac:dyDescent="0.25">
      <c r="A48" s="206"/>
      <c r="B48" s="214"/>
      <c r="C48" s="205"/>
      <c r="D48" s="206"/>
      <c r="E48" s="532"/>
      <c r="F48" s="207"/>
      <c r="G48" s="216"/>
    </row>
    <row r="49" spans="1:9" s="401" customFormat="1" ht="18.75" x14ac:dyDescent="0.25">
      <c r="A49" s="399" t="s">
        <v>9</v>
      </c>
      <c r="B49" s="398" t="s">
        <v>1</v>
      </c>
      <c r="C49" s="484">
        <v>67</v>
      </c>
      <c r="D49" s="399" t="s">
        <v>22</v>
      </c>
      <c r="E49" s="528">
        <v>975</v>
      </c>
      <c r="F49" s="400">
        <f>C49*E49</f>
        <v>65325</v>
      </c>
      <c r="I49"/>
    </row>
    <row r="50" spans="1:9" s="401" customFormat="1" ht="18.75" x14ac:dyDescent="0.25">
      <c r="A50" s="399"/>
      <c r="B50" s="398"/>
      <c r="C50" s="484"/>
      <c r="D50" s="399"/>
      <c r="E50" s="528"/>
      <c r="F50" s="400"/>
      <c r="I50"/>
    </row>
    <row r="51" spans="1:9" s="401" customFormat="1" ht="49.5" x14ac:dyDescent="0.25">
      <c r="A51" s="399"/>
      <c r="B51" s="414" t="s">
        <v>524</v>
      </c>
      <c r="C51" s="484"/>
      <c r="D51" s="399"/>
      <c r="E51" s="528"/>
      <c r="F51" s="400"/>
      <c r="I51"/>
    </row>
    <row r="52" spans="1:9" s="401" customFormat="1" ht="18.75" x14ac:dyDescent="0.25">
      <c r="A52" s="399" t="s">
        <v>10</v>
      </c>
      <c r="B52" s="415" t="s">
        <v>39</v>
      </c>
      <c r="C52" s="484">
        <v>220</v>
      </c>
      <c r="D52" s="399" t="s">
        <v>922</v>
      </c>
      <c r="E52" s="528">
        <v>2000</v>
      </c>
      <c r="F52" s="400">
        <f t="shared" ref="F52" si="3">C52*E52</f>
        <v>440000</v>
      </c>
      <c r="I52"/>
    </row>
    <row r="53" spans="1:9" s="401" customFormat="1" ht="18.75" x14ac:dyDescent="0.25">
      <c r="A53" s="399"/>
      <c r="B53" s="398"/>
      <c r="C53" s="484"/>
      <c r="D53" s="399"/>
      <c r="E53" s="528"/>
      <c r="F53" s="400"/>
      <c r="I53"/>
    </row>
    <row r="54" spans="1:9" s="401" customFormat="1" ht="18.75" x14ac:dyDescent="0.25">
      <c r="A54" s="399"/>
      <c r="B54" s="404" t="s">
        <v>84</v>
      </c>
      <c r="C54" s="485"/>
      <c r="D54" s="402"/>
      <c r="E54" s="537"/>
      <c r="F54" s="412"/>
      <c r="I54"/>
    </row>
    <row r="55" spans="1:9" s="401" customFormat="1" ht="18.75" x14ac:dyDescent="0.25">
      <c r="A55" s="399"/>
      <c r="B55" s="413"/>
      <c r="C55" s="485"/>
      <c r="D55" s="402"/>
      <c r="E55" s="537"/>
      <c r="F55" s="412"/>
      <c r="G55"/>
      <c r="H55"/>
      <c r="I55"/>
    </row>
    <row r="56" spans="1:9" s="401" customFormat="1" ht="49.5" x14ac:dyDescent="0.25">
      <c r="A56" s="399"/>
      <c r="B56" s="414" t="s">
        <v>526</v>
      </c>
      <c r="C56" s="485"/>
      <c r="D56" s="402"/>
      <c r="E56" s="537"/>
      <c r="F56" s="412"/>
      <c r="G56"/>
      <c r="H56"/>
      <c r="I56"/>
    </row>
    <row r="57" spans="1:9" s="401" customFormat="1" ht="18.75" x14ac:dyDescent="0.25">
      <c r="A57" s="399"/>
      <c r="B57" s="414"/>
      <c r="C57" s="485"/>
      <c r="D57" s="402"/>
      <c r="E57" s="537"/>
      <c r="F57" s="412"/>
      <c r="G57"/>
      <c r="H57"/>
      <c r="I57"/>
    </row>
    <row r="58" spans="1:9" s="401" customFormat="1" ht="18.75" x14ac:dyDescent="0.25">
      <c r="A58" s="399" t="s">
        <v>11</v>
      </c>
      <c r="B58" s="415" t="s">
        <v>527</v>
      </c>
      <c r="C58" s="484">
        <v>128</v>
      </c>
      <c r="D58" s="399" t="s">
        <v>922</v>
      </c>
      <c r="E58" s="528">
        <v>11000</v>
      </c>
      <c r="F58" s="400">
        <f>C58*E58</f>
        <v>1408000</v>
      </c>
      <c r="G58"/>
      <c r="H58"/>
      <c r="I58"/>
    </row>
    <row r="59" spans="1:9" s="401" customFormat="1" ht="18.75" x14ac:dyDescent="0.25">
      <c r="A59" s="399"/>
      <c r="B59" s="398"/>
      <c r="C59" s="484"/>
      <c r="D59" s="399"/>
      <c r="E59" s="528"/>
      <c r="F59" s="400"/>
      <c r="G59"/>
      <c r="H59"/>
      <c r="I59"/>
    </row>
    <row r="60" spans="1:9" s="401" customFormat="1" ht="18.75" x14ac:dyDescent="0.25">
      <c r="A60" s="399"/>
      <c r="B60" s="398"/>
      <c r="C60" s="484"/>
      <c r="D60" s="399"/>
      <c r="E60" s="528"/>
      <c r="F60" s="400"/>
      <c r="G60"/>
      <c r="H60"/>
      <c r="I60"/>
    </row>
    <row r="61" spans="1:9" s="401" customFormat="1" ht="18.75" x14ac:dyDescent="0.25">
      <c r="A61" s="399"/>
      <c r="B61" s="410" t="s">
        <v>528</v>
      </c>
      <c r="C61" s="484"/>
      <c r="D61" s="399"/>
      <c r="E61" s="528"/>
      <c r="F61" s="416"/>
      <c r="G61"/>
      <c r="H61"/>
      <c r="I61"/>
    </row>
    <row r="62" spans="1:9" s="401" customFormat="1" ht="18.75" x14ac:dyDescent="0.25">
      <c r="A62" s="399"/>
      <c r="B62" s="398"/>
      <c r="C62" s="484"/>
      <c r="D62" s="399"/>
      <c r="E62" s="528"/>
      <c r="F62" s="416"/>
      <c r="G62"/>
      <c r="H62"/>
      <c r="I62"/>
    </row>
    <row r="63" spans="1:9" s="401" customFormat="1" ht="18.75" x14ac:dyDescent="0.25">
      <c r="A63" s="399"/>
      <c r="B63" s="410" t="s">
        <v>529</v>
      </c>
      <c r="C63" s="484"/>
      <c r="D63" s="399"/>
      <c r="E63" s="528"/>
      <c r="F63" s="416"/>
      <c r="G63"/>
      <c r="H63"/>
      <c r="I63"/>
    </row>
    <row r="64" spans="1:9" s="401" customFormat="1" ht="18.75" x14ac:dyDescent="0.25">
      <c r="A64" s="399"/>
      <c r="B64" s="398"/>
      <c r="C64" s="484"/>
      <c r="D64" s="399"/>
      <c r="E64" s="528"/>
      <c r="F64" s="416"/>
      <c r="G64"/>
      <c r="H64"/>
      <c r="I64"/>
    </row>
    <row r="65" spans="1:9" s="401" customFormat="1" ht="49.5" x14ac:dyDescent="0.25">
      <c r="A65" s="399" t="s">
        <v>12</v>
      </c>
      <c r="B65" s="406" t="s">
        <v>530</v>
      </c>
      <c r="C65" s="484">
        <v>227</v>
      </c>
      <c r="D65" s="399" t="s">
        <v>922</v>
      </c>
      <c r="E65" s="528">
        <v>650</v>
      </c>
      <c r="F65" s="400">
        <f>C65*E65</f>
        <v>147550</v>
      </c>
      <c r="G65"/>
      <c r="H65"/>
      <c r="I65"/>
    </row>
    <row r="66" spans="1:9" s="401" customFormat="1" ht="18.75" x14ac:dyDescent="0.25">
      <c r="A66" s="399"/>
      <c r="B66" s="406"/>
      <c r="C66" s="484"/>
      <c r="D66" s="399"/>
      <c r="E66" s="528"/>
      <c r="F66" s="416"/>
      <c r="G66"/>
      <c r="H66"/>
      <c r="I66"/>
    </row>
    <row r="67" spans="1:9" s="401" customFormat="1" ht="18.75" x14ac:dyDescent="0.25">
      <c r="A67" s="399"/>
      <c r="B67" s="406"/>
      <c r="C67" s="484"/>
      <c r="D67" s="399"/>
      <c r="E67" s="528"/>
      <c r="F67" s="416"/>
      <c r="G67"/>
      <c r="H67"/>
      <c r="I67"/>
    </row>
    <row r="68" spans="1:9" s="401" customFormat="1" ht="18.75" x14ac:dyDescent="0.25">
      <c r="A68" s="399"/>
      <c r="B68" s="483" t="s">
        <v>525</v>
      </c>
      <c r="C68" s="398"/>
      <c r="D68" s="399"/>
      <c r="E68" s="537" t="s">
        <v>15</v>
      </c>
      <c r="F68" s="429">
        <f>SUM(F30:F67)</f>
        <v>4168375</v>
      </c>
      <c r="G68"/>
      <c r="H68"/>
      <c r="I68"/>
    </row>
    <row r="69" spans="1:9" s="401" customFormat="1" ht="18.75" x14ac:dyDescent="0.25">
      <c r="A69" s="399"/>
      <c r="B69" s="406"/>
      <c r="C69" s="398"/>
      <c r="D69" s="399"/>
      <c r="E69" s="528"/>
      <c r="F69" s="416"/>
      <c r="G69"/>
      <c r="H69"/>
      <c r="I69"/>
    </row>
    <row r="70" spans="1:9" s="401" customFormat="1" ht="18.75" x14ac:dyDescent="0.25">
      <c r="A70" s="399"/>
      <c r="B70" s="483"/>
      <c r="C70" s="398"/>
      <c r="D70" s="399"/>
      <c r="E70" s="537"/>
      <c r="F70" s="296"/>
      <c r="G70"/>
      <c r="H70"/>
      <c r="I70"/>
    </row>
    <row r="71" spans="1:9" s="401" customFormat="1" ht="18.75" x14ac:dyDescent="0.25">
      <c r="A71" s="399"/>
      <c r="B71" s="404" t="s">
        <v>531</v>
      </c>
      <c r="C71" s="398"/>
      <c r="D71" s="399"/>
      <c r="E71" s="537"/>
      <c r="F71" s="296"/>
      <c r="G71"/>
      <c r="H71"/>
      <c r="I71"/>
    </row>
    <row r="72" spans="1:9" s="401" customFormat="1" ht="18.75" x14ac:dyDescent="0.25">
      <c r="A72" s="399"/>
      <c r="B72" s="398"/>
      <c r="C72" s="398"/>
      <c r="D72" s="399"/>
      <c r="E72" s="528"/>
      <c r="F72" s="418"/>
      <c r="G72"/>
      <c r="H72"/>
      <c r="I72"/>
    </row>
    <row r="73" spans="1:9" s="401" customFormat="1" ht="18.75" x14ac:dyDescent="0.25">
      <c r="A73" s="399"/>
      <c r="B73" s="484" t="s">
        <v>532</v>
      </c>
      <c r="C73" s="398"/>
      <c r="D73" s="399"/>
      <c r="E73" s="528">
        <f>F28</f>
        <v>2248500</v>
      </c>
      <c r="F73" s="418"/>
      <c r="G73"/>
      <c r="H73"/>
      <c r="I73"/>
    </row>
    <row r="74" spans="1:9" s="401" customFormat="1" ht="18.75" x14ac:dyDescent="0.25">
      <c r="A74" s="399"/>
      <c r="B74" s="485"/>
      <c r="C74" s="398"/>
      <c r="D74" s="399"/>
      <c r="E74" s="528"/>
      <c r="F74" s="418"/>
      <c r="G74"/>
      <c r="H74"/>
      <c r="I74"/>
    </row>
    <row r="75" spans="1:9" s="401" customFormat="1" ht="18.75" x14ac:dyDescent="0.25">
      <c r="A75" s="399"/>
      <c r="B75" s="484" t="s">
        <v>451</v>
      </c>
      <c r="C75" s="398"/>
      <c r="D75" s="399"/>
      <c r="E75" s="528">
        <f>F68</f>
        <v>4168375</v>
      </c>
      <c r="F75" s="418"/>
      <c r="G75"/>
      <c r="H75"/>
      <c r="I75"/>
    </row>
    <row r="76" spans="1:9" s="401" customFormat="1" ht="18.75" x14ac:dyDescent="0.25">
      <c r="A76" s="399"/>
      <c r="B76" s="417"/>
      <c r="C76" s="398"/>
      <c r="D76" s="399"/>
      <c r="E76" s="528"/>
      <c r="F76" s="418"/>
      <c r="G76"/>
      <c r="H76"/>
      <c r="I76"/>
    </row>
    <row r="77" spans="1:9" s="401" customFormat="1" ht="18.75" x14ac:dyDescent="0.25">
      <c r="A77" s="399"/>
      <c r="B77" s="419" t="s">
        <v>533</v>
      </c>
      <c r="C77" s="411"/>
      <c r="D77" s="402"/>
      <c r="E77" s="528"/>
      <c r="F77" s="420"/>
      <c r="G77"/>
      <c r="H77"/>
      <c r="I77"/>
    </row>
    <row r="78" spans="1:9" s="401" customFormat="1" ht="18.75" x14ac:dyDescent="0.25">
      <c r="A78" s="399"/>
      <c r="B78" s="411" t="s">
        <v>534</v>
      </c>
      <c r="C78" s="411"/>
      <c r="D78" s="402"/>
      <c r="E78" s="537" t="s">
        <v>15</v>
      </c>
      <c r="F78" s="412">
        <f>SUM(E73:E75)</f>
        <v>6416875</v>
      </c>
      <c r="G78"/>
      <c r="H78"/>
      <c r="I78"/>
    </row>
    <row r="79" spans="1:9" s="401" customFormat="1" ht="18.75" x14ac:dyDescent="0.25">
      <c r="A79" s="399"/>
      <c r="B79" s="397" t="s">
        <v>535</v>
      </c>
      <c r="C79" s="398"/>
      <c r="D79" s="399"/>
      <c r="E79" s="528"/>
      <c r="F79" s="400"/>
      <c r="G79"/>
      <c r="H79"/>
      <c r="I79"/>
    </row>
    <row r="80" spans="1:9" s="401" customFormat="1" ht="18.75" x14ac:dyDescent="0.25">
      <c r="A80" s="399"/>
      <c r="B80" s="398"/>
      <c r="C80" s="398"/>
      <c r="D80" s="399"/>
      <c r="E80" s="528"/>
      <c r="F80" s="400"/>
      <c r="G80"/>
      <c r="H80"/>
      <c r="I80"/>
    </row>
    <row r="81" spans="1:9" s="401" customFormat="1" ht="18.75" x14ac:dyDescent="0.25">
      <c r="A81" s="399"/>
      <c r="B81" s="403" t="s">
        <v>985</v>
      </c>
      <c r="C81" s="398"/>
      <c r="D81" s="399"/>
      <c r="E81" s="528"/>
      <c r="F81" s="418"/>
      <c r="G81"/>
      <c r="H81"/>
      <c r="I81"/>
    </row>
    <row r="82" spans="1:9" s="401" customFormat="1" ht="18.75" x14ac:dyDescent="0.25">
      <c r="A82" s="399"/>
      <c r="B82" s="403"/>
      <c r="C82" s="398"/>
      <c r="D82" s="399"/>
      <c r="E82" s="528"/>
      <c r="F82" s="418"/>
      <c r="G82"/>
      <c r="H82"/>
      <c r="I82"/>
    </row>
    <row r="83" spans="1:9" s="401" customFormat="1" ht="18.75" x14ac:dyDescent="0.25">
      <c r="A83" s="399"/>
      <c r="B83" s="404" t="s">
        <v>84</v>
      </c>
      <c r="C83" s="411"/>
      <c r="D83" s="402"/>
      <c r="E83" s="537"/>
      <c r="F83" s="412"/>
      <c r="G83"/>
      <c r="H83"/>
      <c r="I83"/>
    </row>
    <row r="84" spans="1:9" s="401" customFormat="1" ht="18.75" x14ac:dyDescent="0.25">
      <c r="A84" s="399"/>
      <c r="B84" s="413"/>
      <c r="C84" s="411"/>
      <c r="D84" s="402"/>
      <c r="E84" s="537"/>
      <c r="F84" s="412"/>
      <c r="G84"/>
      <c r="H84"/>
      <c r="I84"/>
    </row>
    <row r="85" spans="1:9" s="401" customFormat="1" ht="33" x14ac:dyDescent="0.25">
      <c r="A85" s="399"/>
      <c r="B85" s="414" t="s">
        <v>594</v>
      </c>
      <c r="C85" s="411"/>
      <c r="D85" s="402"/>
      <c r="E85" s="537"/>
      <c r="F85" s="412"/>
      <c r="G85"/>
      <c r="H85"/>
      <c r="I85"/>
    </row>
    <row r="86" spans="1:9" s="401" customFormat="1" ht="18.75" x14ac:dyDescent="0.25">
      <c r="A86" s="399"/>
      <c r="B86" s="414"/>
      <c r="C86" s="411"/>
      <c r="D86" s="402"/>
      <c r="E86" s="537"/>
      <c r="F86" s="412"/>
      <c r="G86"/>
      <c r="H86"/>
      <c r="I86"/>
    </row>
    <row r="87" spans="1:9" s="401" customFormat="1" ht="18.75" x14ac:dyDescent="0.25">
      <c r="A87" s="399" t="s">
        <v>2</v>
      </c>
      <c r="B87" s="398" t="s">
        <v>595</v>
      </c>
      <c r="C87" s="614">
        <v>173</v>
      </c>
      <c r="D87" s="399" t="s">
        <v>922</v>
      </c>
      <c r="E87" s="528">
        <v>10300</v>
      </c>
      <c r="F87" s="486">
        <f>C87*E87</f>
        <v>1781900</v>
      </c>
      <c r="I87"/>
    </row>
    <row r="88" spans="1:9" s="401" customFormat="1" ht="18.75" x14ac:dyDescent="0.25">
      <c r="A88" s="399"/>
      <c r="B88" s="403"/>
      <c r="C88" s="484"/>
      <c r="D88" s="399"/>
      <c r="E88" s="528"/>
      <c r="F88" s="487"/>
      <c r="I88"/>
    </row>
    <row r="89" spans="1:9" s="401" customFormat="1" ht="18.75" x14ac:dyDescent="0.25">
      <c r="A89" s="399"/>
      <c r="B89" s="398"/>
      <c r="C89" s="410"/>
      <c r="D89" s="399"/>
      <c r="E89" s="528"/>
      <c r="F89" s="421"/>
      <c r="I89"/>
    </row>
    <row r="90" spans="1:9" s="401" customFormat="1" ht="18.75" x14ac:dyDescent="0.25">
      <c r="A90" s="399"/>
      <c r="B90" s="404" t="s">
        <v>98</v>
      </c>
      <c r="C90" s="398"/>
      <c r="D90" s="399"/>
      <c r="E90" s="528"/>
      <c r="F90" s="418"/>
      <c r="I90"/>
    </row>
    <row r="91" spans="1:9" s="401" customFormat="1" ht="18.75" x14ac:dyDescent="0.25">
      <c r="A91" s="399"/>
      <c r="B91" s="398"/>
      <c r="C91" s="398"/>
      <c r="D91" s="399"/>
      <c r="E91" s="528"/>
      <c r="F91" s="418"/>
      <c r="I91"/>
    </row>
    <row r="92" spans="1:9" s="401" customFormat="1" ht="18.75" x14ac:dyDescent="0.25">
      <c r="A92" s="399"/>
      <c r="B92" s="410" t="s">
        <v>927</v>
      </c>
      <c r="C92" s="398"/>
      <c r="D92" s="399"/>
      <c r="E92" s="528"/>
      <c r="F92" s="418"/>
      <c r="I92"/>
    </row>
    <row r="93" spans="1:9" s="401" customFormat="1" ht="18.75" x14ac:dyDescent="0.25">
      <c r="A93" s="399"/>
      <c r="B93" s="410"/>
      <c r="C93" s="398"/>
      <c r="D93" s="399"/>
      <c r="E93" s="528"/>
      <c r="F93" s="418"/>
      <c r="I93"/>
    </row>
    <row r="94" spans="1:9" s="401" customFormat="1" ht="18.75" x14ac:dyDescent="0.25">
      <c r="A94" s="399" t="s">
        <v>4</v>
      </c>
      <c r="B94" s="398" t="s">
        <v>1077</v>
      </c>
      <c r="C94" s="484">
        <v>2</v>
      </c>
      <c r="D94" s="399" t="s">
        <v>939</v>
      </c>
      <c r="E94" s="528">
        <v>85000</v>
      </c>
      <c r="F94" s="418">
        <f>C94*E94</f>
        <v>170000</v>
      </c>
      <c r="I94"/>
    </row>
    <row r="95" spans="1:9" s="401" customFormat="1" ht="18.75" x14ac:dyDescent="0.25">
      <c r="A95" s="399"/>
      <c r="B95" s="398"/>
      <c r="C95" s="484"/>
      <c r="D95" s="399"/>
      <c r="E95" s="528"/>
      <c r="F95" s="418"/>
      <c r="I95"/>
    </row>
    <row r="96" spans="1:9" s="535" customFormat="1" ht="21.75" customHeight="1" x14ac:dyDescent="0.25">
      <c r="A96" s="530" t="s">
        <v>5</v>
      </c>
      <c r="B96" s="536" t="s">
        <v>65</v>
      </c>
      <c r="C96" s="616">
        <v>13</v>
      </c>
      <c r="D96" s="530" t="s">
        <v>513</v>
      </c>
      <c r="E96" s="532">
        <f>E94</f>
        <v>85000</v>
      </c>
      <c r="F96" s="533">
        <f>C96*E96</f>
        <v>1105000</v>
      </c>
      <c r="G96" s="534"/>
      <c r="H96" s="284"/>
    </row>
    <row r="97" spans="1:9" s="535" customFormat="1" ht="16.5" x14ac:dyDescent="0.25">
      <c r="A97" s="530"/>
      <c r="B97" s="536"/>
      <c r="C97" s="539"/>
      <c r="D97" s="530"/>
      <c r="E97" s="532"/>
      <c r="F97" s="533"/>
      <c r="G97" s="533"/>
      <c r="H97" s="284"/>
    </row>
    <row r="98" spans="1:9" s="401" customFormat="1" ht="18.75" x14ac:dyDescent="0.25">
      <c r="A98" s="399"/>
      <c r="B98" s="404" t="s">
        <v>102</v>
      </c>
      <c r="C98" s="398"/>
      <c r="D98" s="399"/>
      <c r="E98" s="528"/>
      <c r="F98" s="418"/>
      <c r="I98"/>
    </row>
    <row r="99" spans="1:9" s="401" customFormat="1" ht="18.75" x14ac:dyDescent="0.25">
      <c r="A99" s="399"/>
      <c r="B99" s="410"/>
      <c r="C99" s="398"/>
      <c r="D99" s="399"/>
      <c r="E99" s="528"/>
      <c r="F99" s="418"/>
      <c r="I99"/>
    </row>
    <row r="100" spans="1:9" s="401" customFormat="1" ht="33" x14ac:dyDescent="0.25">
      <c r="A100" s="399"/>
      <c r="B100" s="414" t="s">
        <v>1078</v>
      </c>
      <c r="C100" s="398"/>
      <c r="D100" s="399"/>
      <c r="E100" s="528"/>
      <c r="F100" s="418"/>
      <c r="G100"/>
      <c r="H100"/>
      <c r="I100"/>
    </row>
    <row r="101" spans="1:9" s="401" customFormat="1" ht="18.75" x14ac:dyDescent="0.25">
      <c r="A101" s="399"/>
      <c r="B101" s="398"/>
      <c r="C101" s="398"/>
      <c r="D101" s="399"/>
      <c r="E101" s="528"/>
      <c r="F101" s="418"/>
      <c r="G101"/>
      <c r="H101"/>
      <c r="I101"/>
    </row>
    <row r="102" spans="1:9" s="208" customFormat="1" ht="16.5" x14ac:dyDescent="0.25">
      <c r="A102" s="206" t="s">
        <v>6</v>
      </c>
      <c r="B102" s="214" t="s">
        <v>1031</v>
      </c>
      <c r="C102" s="205">
        <v>619</v>
      </c>
      <c r="D102" s="206" t="s">
        <v>75</v>
      </c>
      <c r="E102" s="532">
        <v>1250</v>
      </c>
      <c r="F102" s="207">
        <f>C102*E102</f>
        <v>773750</v>
      </c>
      <c r="G102" s="207"/>
      <c r="H102" s="284"/>
    </row>
    <row r="103" spans="1:9" s="208" customFormat="1" ht="16.5" x14ac:dyDescent="0.25">
      <c r="A103" s="206"/>
      <c r="B103" s="214"/>
      <c r="C103" s="205"/>
      <c r="D103" s="206"/>
      <c r="E103" s="532"/>
      <c r="F103" s="207"/>
      <c r="G103" s="207"/>
      <c r="H103" s="284"/>
    </row>
    <row r="104" spans="1:9" s="208" customFormat="1" ht="16.5" x14ac:dyDescent="0.25">
      <c r="A104" s="206" t="s">
        <v>7</v>
      </c>
      <c r="B104" s="214" t="s">
        <v>1097</v>
      </c>
      <c r="C104" s="205">
        <f>350+135</f>
        <v>485</v>
      </c>
      <c r="D104" s="206" t="s">
        <v>75</v>
      </c>
      <c r="E104" s="532">
        <f>E102</f>
        <v>1250</v>
      </c>
      <c r="F104" s="207">
        <f>C104*E104</f>
        <v>606250</v>
      </c>
      <c r="G104" s="207"/>
      <c r="H104" s="284"/>
    </row>
    <row r="105" spans="1:9" s="401" customFormat="1" ht="18.75" x14ac:dyDescent="0.25">
      <c r="A105" s="399"/>
      <c r="B105" s="398"/>
      <c r="C105" s="398"/>
      <c r="D105" s="399"/>
      <c r="E105" s="528"/>
      <c r="F105" s="418"/>
      <c r="G105"/>
      <c r="H105"/>
      <c r="I105"/>
    </row>
    <row r="106" spans="1:9" s="401" customFormat="1" ht="18.75" x14ac:dyDescent="0.25">
      <c r="A106" s="399" t="s">
        <v>8</v>
      </c>
      <c r="B106" s="398" t="s">
        <v>1098</v>
      </c>
      <c r="C106" s="398">
        <f>419+94</f>
        <v>513</v>
      </c>
      <c r="D106" s="399" t="s">
        <v>75</v>
      </c>
      <c r="E106" s="528">
        <f>E104</f>
        <v>1250</v>
      </c>
      <c r="F106" s="418">
        <f>C106*E106</f>
        <v>641250</v>
      </c>
      <c r="G106"/>
      <c r="H106"/>
      <c r="I106"/>
    </row>
    <row r="107" spans="1:9" s="401" customFormat="1" ht="18.75" x14ac:dyDescent="0.25">
      <c r="A107" s="399"/>
      <c r="B107" s="398"/>
      <c r="C107" s="398"/>
      <c r="D107" s="399"/>
      <c r="E107" s="528"/>
      <c r="F107" s="418"/>
      <c r="G107"/>
      <c r="H107"/>
      <c r="I107"/>
    </row>
    <row r="108" spans="1:9" s="401" customFormat="1" ht="18.75" x14ac:dyDescent="0.25">
      <c r="A108" s="399"/>
      <c r="B108" s="404" t="s">
        <v>67</v>
      </c>
      <c r="C108" s="398"/>
      <c r="D108" s="399"/>
      <c r="E108" s="528"/>
      <c r="F108" s="418"/>
      <c r="G108"/>
      <c r="H108"/>
      <c r="I108"/>
    </row>
    <row r="109" spans="1:9" s="401" customFormat="1" ht="18.75" x14ac:dyDescent="0.25">
      <c r="A109" s="399"/>
      <c r="B109" s="398"/>
      <c r="C109" s="398"/>
      <c r="D109" s="399"/>
      <c r="E109" s="528"/>
      <c r="F109" s="418"/>
      <c r="G109"/>
      <c r="H109"/>
      <c r="I109"/>
    </row>
    <row r="110" spans="1:9" s="401" customFormat="1" ht="18.75" x14ac:dyDescent="0.25">
      <c r="A110" s="399"/>
      <c r="B110" s="410" t="s">
        <v>120</v>
      </c>
      <c r="C110" s="398"/>
      <c r="D110" s="399"/>
      <c r="E110" s="528"/>
      <c r="F110" s="418"/>
      <c r="G110"/>
      <c r="H110"/>
      <c r="I110"/>
    </row>
    <row r="111" spans="1:9" s="401" customFormat="1" ht="18.75" x14ac:dyDescent="0.25">
      <c r="A111" s="399"/>
      <c r="B111" s="398"/>
      <c r="C111" s="398"/>
      <c r="D111" s="399"/>
      <c r="E111" s="528"/>
      <c r="F111" s="418"/>
      <c r="G111"/>
      <c r="H111"/>
      <c r="I111"/>
    </row>
    <row r="112" spans="1:9" s="401" customFormat="1" ht="18.75" x14ac:dyDescent="0.25">
      <c r="A112" s="399" t="s">
        <v>9</v>
      </c>
      <c r="B112" s="398" t="s">
        <v>949</v>
      </c>
      <c r="C112" s="398">
        <v>197</v>
      </c>
      <c r="D112" s="399" t="s">
        <v>922</v>
      </c>
      <c r="E112" s="528">
        <v>6500</v>
      </c>
      <c r="F112" s="418">
        <f>C112*E112</f>
        <v>1280500</v>
      </c>
      <c r="G112"/>
      <c r="H112"/>
      <c r="I112"/>
    </row>
    <row r="113" spans="1:9" s="401" customFormat="1" ht="18.75" x14ac:dyDescent="0.25">
      <c r="A113" s="399"/>
      <c r="B113" s="410"/>
      <c r="C113" s="398"/>
      <c r="D113" s="399"/>
      <c r="E113" s="528"/>
      <c r="F113" s="416"/>
      <c r="G113"/>
      <c r="H113"/>
      <c r="I113"/>
    </row>
    <row r="114" spans="1:9" s="401" customFormat="1" ht="18.75" x14ac:dyDescent="0.25">
      <c r="A114" s="399"/>
      <c r="B114" s="398"/>
      <c r="C114" s="398"/>
      <c r="D114" s="399"/>
      <c r="E114" s="528"/>
      <c r="F114" s="416"/>
      <c r="G114"/>
      <c r="H114"/>
      <c r="I114"/>
    </row>
    <row r="115" spans="1:9" s="401" customFormat="1" ht="18.75" x14ac:dyDescent="0.25">
      <c r="A115" s="399"/>
      <c r="B115" s="398"/>
      <c r="C115" s="410"/>
      <c r="D115" s="399"/>
      <c r="E115" s="528"/>
      <c r="F115" s="421"/>
      <c r="G115"/>
      <c r="H115"/>
      <c r="I115"/>
    </row>
    <row r="116" spans="1:9" s="401" customFormat="1" ht="18.75" x14ac:dyDescent="0.25">
      <c r="A116" s="399"/>
      <c r="B116" s="398"/>
      <c r="C116" s="410"/>
      <c r="D116" s="399"/>
      <c r="E116" s="528"/>
      <c r="F116" s="421"/>
      <c r="G116"/>
      <c r="H116"/>
      <c r="I116"/>
    </row>
    <row r="117" spans="1:9" s="401" customFormat="1" ht="18.75" x14ac:dyDescent="0.25">
      <c r="A117" s="399"/>
      <c r="B117" s="398"/>
      <c r="C117" s="410"/>
      <c r="D117" s="399"/>
      <c r="E117" s="528"/>
      <c r="F117" s="421"/>
      <c r="G117"/>
      <c r="H117"/>
      <c r="I117"/>
    </row>
    <row r="118" spans="1:9" s="401" customFormat="1" ht="18.75" x14ac:dyDescent="0.25">
      <c r="A118" s="399"/>
      <c r="B118" s="398"/>
      <c r="C118" s="411"/>
      <c r="D118" s="402"/>
      <c r="E118" s="537"/>
      <c r="F118" s="420"/>
      <c r="G118"/>
      <c r="H118"/>
      <c r="I118"/>
    </row>
    <row r="119" spans="1:9" s="401" customFormat="1" ht="18.75" x14ac:dyDescent="0.25">
      <c r="A119" s="399"/>
      <c r="B119" s="398"/>
      <c r="C119" s="398"/>
      <c r="D119" s="399"/>
      <c r="E119" s="528"/>
      <c r="F119" s="400"/>
      <c r="G119"/>
      <c r="H119"/>
      <c r="I119"/>
    </row>
    <row r="120" spans="1:9" s="401" customFormat="1" ht="18.75" x14ac:dyDescent="0.25">
      <c r="A120" s="399"/>
      <c r="B120" s="403" t="s">
        <v>1079</v>
      </c>
      <c r="C120" s="398"/>
      <c r="D120" s="399"/>
      <c r="E120" s="528"/>
      <c r="F120" s="400"/>
      <c r="G120"/>
      <c r="H120"/>
      <c r="I120"/>
    </row>
    <row r="121" spans="1:9" s="401" customFormat="1" ht="18.75" x14ac:dyDescent="0.25">
      <c r="A121" s="399"/>
      <c r="B121" s="411" t="s">
        <v>534</v>
      </c>
      <c r="C121" s="398"/>
      <c r="D121" s="399"/>
      <c r="E121" s="537" t="s">
        <v>15</v>
      </c>
      <c r="F121" s="296">
        <f>SUM(F84:F117)</f>
        <v>6358650</v>
      </c>
      <c r="G121"/>
      <c r="H121"/>
      <c r="I121"/>
    </row>
    <row r="122" spans="1:9" s="401" customFormat="1" ht="18.75" x14ac:dyDescent="0.25">
      <c r="A122" s="399"/>
      <c r="B122" s="397" t="s">
        <v>543</v>
      </c>
      <c r="C122" s="398"/>
      <c r="D122" s="399"/>
      <c r="E122" s="528"/>
      <c r="F122" s="400"/>
      <c r="G122"/>
      <c r="H122"/>
      <c r="I122"/>
    </row>
    <row r="123" spans="1:9" s="401" customFormat="1" ht="18.75" x14ac:dyDescent="0.25">
      <c r="A123" s="399"/>
      <c r="B123" s="398"/>
      <c r="C123" s="398"/>
      <c r="D123" s="399"/>
      <c r="E123" s="528"/>
      <c r="F123" s="400"/>
      <c r="G123"/>
      <c r="H123"/>
      <c r="I123"/>
    </row>
    <row r="124" spans="1:9" s="401" customFormat="1" ht="18.75" x14ac:dyDescent="0.25">
      <c r="A124" s="399"/>
      <c r="B124" s="403" t="s">
        <v>1080</v>
      </c>
      <c r="C124" s="398"/>
      <c r="D124" s="399"/>
      <c r="E124" s="528"/>
      <c r="F124" s="418"/>
      <c r="G124"/>
      <c r="H124"/>
      <c r="I124"/>
    </row>
    <row r="125" spans="1:9" s="401" customFormat="1" ht="36" x14ac:dyDescent="0.25">
      <c r="A125" s="399"/>
      <c r="B125" s="490" t="s">
        <v>1081</v>
      </c>
      <c r="C125" s="411"/>
      <c r="D125" s="402"/>
      <c r="E125" s="537"/>
      <c r="F125" s="412"/>
      <c r="G125"/>
      <c r="H125"/>
      <c r="I125"/>
    </row>
    <row r="126" spans="1:9" s="401" customFormat="1" ht="18.75" x14ac:dyDescent="0.25">
      <c r="A126" s="399"/>
      <c r="B126" s="411"/>
      <c r="C126" s="411"/>
      <c r="D126" s="402"/>
      <c r="E126" s="537"/>
      <c r="F126" s="412"/>
      <c r="G126"/>
      <c r="H126"/>
      <c r="I126"/>
    </row>
    <row r="127" spans="1:9" s="401" customFormat="1" ht="33" x14ac:dyDescent="0.25">
      <c r="A127" s="399"/>
      <c r="B127" s="415" t="s">
        <v>603</v>
      </c>
      <c r="C127" s="398"/>
      <c r="D127" s="399"/>
      <c r="E127" s="528"/>
      <c r="F127" s="418"/>
      <c r="G127"/>
      <c r="H127"/>
      <c r="I127"/>
    </row>
    <row r="128" spans="1:9" s="401" customFormat="1" ht="60" x14ac:dyDescent="0.25">
      <c r="A128" s="399"/>
      <c r="B128" s="218" t="s">
        <v>1010</v>
      </c>
      <c r="C128" s="398"/>
      <c r="D128" s="399"/>
      <c r="E128" s="528"/>
      <c r="F128" s="400"/>
      <c r="G128"/>
      <c r="H128"/>
      <c r="I128"/>
    </row>
    <row r="129" spans="1:9" s="401" customFormat="1" ht="18.75" x14ac:dyDescent="0.25">
      <c r="A129" s="399"/>
      <c r="B129" s="415"/>
      <c r="C129" s="398"/>
      <c r="D129" s="399"/>
      <c r="E129" s="528"/>
      <c r="F129" s="400"/>
      <c r="G129"/>
      <c r="H129"/>
      <c r="I129"/>
    </row>
    <row r="130" spans="1:9" s="401" customFormat="1" ht="18.75" x14ac:dyDescent="0.25">
      <c r="A130" s="399" t="s">
        <v>2</v>
      </c>
      <c r="B130" s="398" t="s">
        <v>886</v>
      </c>
      <c r="C130" s="398">
        <v>4</v>
      </c>
      <c r="D130" s="399" t="s">
        <v>3</v>
      </c>
      <c r="E130" s="528">
        <f>1.8*1.5*65000</f>
        <v>175500</v>
      </c>
      <c r="F130" s="418">
        <f t="shared" ref="F130" si="4">C130*E130</f>
        <v>702000</v>
      </c>
      <c r="G130"/>
      <c r="H130"/>
      <c r="I130"/>
    </row>
    <row r="131" spans="1:9" s="401" customFormat="1" ht="18.75" x14ac:dyDescent="0.25">
      <c r="A131" s="399"/>
      <c r="B131" s="398"/>
      <c r="C131" s="398"/>
      <c r="D131" s="399"/>
      <c r="E131" s="528"/>
      <c r="F131" s="418"/>
      <c r="G131"/>
      <c r="H131"/>
      <c r="I131"/>
    </row>
    <row r="132" spans="1:9" s="401" customFormat="1" ht="18.75" x14ac:dyDescent="0.25">
      <c r="A132" s="399" t="s">
        <v>4</v>
      </c>
      <c r="B132" s="398" t="s">
        <v>1099</v>
      </c>
      <c r="C132" s="398">
        <v>4</v>
      </c>
      <c r="D132" s="399" t="s">
        <v>3</v>
      </c>
      <c r="E132" s="528">
        <f>1.5*1.5*65000</f>
        <v>146250</v>
      </c>
      <c r="F132" s="418">
        <f t="shared" ref="F132" si="5">C132*E132</f>
        <v>585000</v>
      </c>
      <c r="G132"/>
      <c r="H132"/>
      <c r="I132"/>
    </row>
    <row r="133" spans="1:9" s="401" customFormat="1" ht="18.75" x14ac:dyDescent="0.25">
      <c r="A133" s="399"/>
      <c r="B133" s="398"/>
      <c r="C133" s="398"/>
      <c r="D133" s="399"/>
      <c r="E133" s="528"/>
      <c r="F133" s="418"/>
      <c r="G133"/>
      <c r="H133"/>
      <c r="I133"/>
    </row>
    <row r="134" spans="1:9" s="401" customFormat="1" ht="18.75" x14ac:dyDescent="0.25">
      <c r="A134" s="399" t="s">
        <v>5</v>
      </c>
      <c r="B134" s="398" t="s">
        <v>1100</v>
      </c>
      <c r="C134" s="398">
        <v>4</v>
      </c>
      <c r="D134" s="399" t="s">
        <v>3</v>
      </c>
      <c r="E134" s="528">
        <f>1.2*1.5*65000</f>
        <v>116999.99999999999</v>
      </c>
      <c r="F134" s="418">
        <f t="shared" ref="F134" si="6">C134*E134</f>
        <v>467999.99999999994</v>
      </c>
      <c r="G134"/>
      <c r="H134"/>
      <c r="I134"/>
    </row>
    <row r="135" spans="1:9" s="401" customFormat="1" ht="18.75" x14ac:dyDescent="0.25">
      <c r="A135" s="399"/>
      <c r="B135" s="398"/>
      <c r="C135" s="398"/>
      <c r="D135" s="399"/>
      <c r="E135" s="528"/>
      <c r="F135" s="418"/>
      <c r="G135"/>
      <c r="H135"/>
      <c r="I135"/>
    </row>
    <row r="136" spans="1:9" s="401" customFormat="1" ht="18.75" x14ac:dyDescent="0.25">
      <c r="A136" s="399" t="s">
        <v>6</v>
      </c>
      <c r="B136" s="398" t="s">
        <v>1082</v>
      </c>
      <c r="C136" s="398">
        <v>1</v>
      </c>
      <c r="D136" s="399" t="s">
        <v>3</v>
      </c>
      <c r="E136" s="528">
        <f>0.9*1.5*65000</f>
        <v>87750</v>
      </c>
      <c r="F136" s="418">
        <f t="shared" ref="F136" si="7">C136*E136</f>
        <v>87750</v>
      </c>
      <c r="G136"/>
      <c r="H136"/>
      <c r="I136"/>
    </row>
    <row r="137" spans="1:9" s="401" customFormat="1" ht="18.75" x14ac:dyDescent="0.25">
      <c r="A137" s="399"/>
      <c r="B137" s="410"/>
      <c r="C137" s="398"/>
      <c r="D137" s="399"/>
      <c r="E137" s="528"/>
      <c r="F137" s="400"/>
      <c r="G137"/>
      <c r="H137"/>
      <c r="I137"/>
    </row>
    <row r="138" spans="1:9" s="401" customFormat="1" ht="18.75" x14ac:dyDescent="0.25">
      <c r="A138" s="399" t="s">
        <v>7</v>
      </c>
      <c r="B138" s="398" t="s">
        <v>1101</v>
      </c>
      <c r="C138" s="398">
        <v>2</v>
      </c>
      <c r="D138" s="399" t="s">
        <v>3</v>
      </c>
      <c r="E138" s="528">
        <f>0.6*1.5*65000</f>
        <v>58499.999999999993</v>
      </c>
      <c r="F138" s="418">
        <f t="shared" ref="F138" si="8">C138*E138</f>
        <v>116999.99999999999</v>
      </c>
      <c r="G138"/>
      <c r="H138"/>
      <c r="I138"/>
    </row>
    <row r="139" spans="1:9" s="401" customFormat="1" ht="18.75" x14ac:dyDescent="0.25">
      <c r="A139" s="399"/>
      <c r="B139" s="410"/>
      <c r="C139" s="398"/>
      <c r="D139" s="399"/>
      <c r="E139" s="528"/>
      <c r="F139" s="400"/>
      <c r="G139"/>
      <c r="H139"/>
      <c r="I139"/>
    </row>
    <row r="140" spans="1:9" s="401" customFormat="1" ht="18.75" x14ac:dyDescent="0.25">
      <c r="A140" s="399"/>
      <c r="B140" s="410"/>
      <c r="C140" s="398"/>
      <c r="D140" s="399"/>
      <c r="E140" s="528"/>
      <c r="F140" s="400"/>
      <c r="G140"/>
      <c r="H140"/>
      <c r="I140"/>
    </row>
    <row r="141" spans="1:9" s="208" customFormat="1" ht="82.5" x14ac:dyDescent="0.25">
      <c r="A141" s="206"/>
      <c r="B141" s="234" t="s">
        <v>1004</v>
      </c>
      <c r="C141" s="205"/>
      <c r="D141" s="206"/>
      <c r="E141" s="304"/>
      <c r="F141" s="230"/>
      <c r="H141" s="223"/>
    </row>
    <row r="142" spans="1:9" s="208" customFormat="1" ht="16.5" x14ac:dyDescent="0.25">
      <c r="A142" s="206"/>
      <c r="B142" s="224"/>
      <c r="C142" s="205"/>
      <c r="D142" s="206"/>
      <c r="E142" s="304"/>
      <c r="F142" s="230"/>
      <c r="H142" s="223"/>
    </row>
    <row r="143" spans="1:9" s="208" customFormat="1" ht="16.5" x14ac:dyDescent="0.25">
      <c r="A143" s="206" t="s">
        <v>8</v>
      </c>
      <c r="B143" s="214" t="s">
        <v>1102</v>
      </c>
      <c r="C143" s="205">
        <v>1</v>
      </c>
      <c r="D143" s="206" t="s">
        <v>3</v>
      </c>
      <c r="E143" s="304">
        <f>1.2*2.1*95000</f>
        <v>239400</v>
      </c>
      <c r="F143" s="207">
        <f>E143*C143</f>
        <v>239400</v>
      </c>
    </row>
    <row r="144" spans="1:9" s="401" customFormat="1" ht="18.75" x14ac:dyDescent="0.25">
      <c r="A144" s="399"/>
      <c r="B144" s="398"/>
      <c r="C144" s="398"/>
      <c r="D144" s="399"/>
      <c r="E144" s="528"/>
      <c r="F144" s="400"/>
      <c r="G144"/>
      <c r="H144"/>
      <c r="I144"/>
    </row>
    <row r="145" spans="1:9" s="401" customFormat="1" ht="18.75" x14ac:dyDescent="0.25">
      <c r="A145" s="399"/>
      <c r="B145" s="398"/>
      <c r="C145" s="398"/>
      <c r="D145" s="399"/>
      <c r="E145" s="528"/>
      <c r="F145" s="400"/>
      <c r="G145"/>
      <c r="H145"/>
      <c r="I145"/>
    </row>
    <row r="146" spans="1:9" s="401" customFormat="1" ht="18.75" x14ac:dyDescent="0.25">
      <c r="A146" s="399"/>
      <c r="B146" s="398"/>
      <c r="C146" s="398"/>
      <c r="D146" s="399"/>
      <c r="E146" s="528"/>
      <c r="F146" s="400"/>
      <c r="G146"/>
      <c r="H146"/>
      <c r="I146"/>
    </row>
    <row r="147" spans="1:9" s="401" customFormat="1" ht="18.75" x14ac:dyDescent="0.25">
      <c r="A147" s="399"/>
      <c r="B147" s="398"/>
      <c r="C147" s="398"/>
      <c r="D147" s="399"/>
      <c r="E147" s="528"/>
      <c r="F147" s="400"/>
      <c r="G147"/>
      <c r="H147"/>
      <c r="I147"/>
    </row>
    <row r="148" spans="1:9" s="401" customFormat="1" ht="18.75" x14ac:dyDescent="0.25">
      <c r="A148" s="399"/>
      <c r="B148" s="398"/>
      <c r="C148" s="398"/>
      <c r="D148" s="399"/>
      <c r="E148" s="528"/>
      <c r="F148" s="400"/>
      <c r="G148"/>
      <c r="H148"/>
      <c r="I148"/>
    </row>
    <row r="149" spans="1:9" s="401" customFormat="1" ht="18.75" x14ac:dyDescent="0.25">
      <c r="A149" s="399"/>
      <c r="B149" s="403" t="s">
        <v>1080</v>
      </c>
      <c r="C149" s="398"/>
      <c r="D149" s="399"/>
      <c r="E149" s="528"/>
      <c r="F149" s="400"/>
      <c r="G149"/>
      <c r="H149"/>
      <c r="I149"/>
    </row>
    <row r="150" spans="1:9" s="401" customFormat="1" ht="18.75" x14ac:dyDescent="0.25">
      <c r="A150" s="399"/>
      <c r="B150" s="411" t="s">
        <v>534</v>
      </c>
      <c r="C150" s="398"/>
      <c r="D150" s="399"/>
      <c r="E150" s="537" t="s">
        <v>15</v>
      </c>
      <c r="F150" s="296">
        <f>SUM(F130:F135)</f>
        <v>1755000</v>
      </c>
      <c r="G150"/>
      <c r="H150"/>
      <c r="I150"/>
    </row>
    <row r="151" spans="1:9" s="401" customFormat="1" ht="18.75" x14ac:dyDescent="0.25">
      <c r="A151" s="399"/>
      <c r="B151" s="397" t="s">
        <v>548</v>
      </c>
      <c r="C151" s="398"/>
      <c r="D151" s="399"/>
      <c r="E151" s="528"/>
      <c r="F151" s="400"/>
      <c r="G151"/>
      <c r="H151"/>
      <c r="I151"/>
    </row>
    <row r="152" spans="1:9" s="401" customFormat="1" ht="18.75" x14ac:dyDescent="0.25">
      <c r="A152" s="399"/>
      <c r="B152" s="398"/>
      <c r="C152" s="398"/>
      <c r="D152" s="399"/>
      <c r="E152" s="528"/>
      <c r="F152" s="400"/>
      <c r="G152"/>
      <c r="H152"/>
      <c r="I152"/>
    </row>
    <row r="153" spans="1:9" s="401" customFormat="1" ht="18.75" x14ac:dyDescent="0.25">
      <c r="A153" s="399"/>
      <c r="B153" s="403" t="s">
        <v>1083</v>
      </c>
      <c r="C153" s="398"/>
      <c r="D153" s="399"/>
      <c r="E153" s="528"/>
      <c r="F153" s="418"/>
      <c r="G153"/>
      <c r="H153"/>
      <c r="I153"/>
    </row>
    <row r="154" spans="1:9" s="401" customFormat="1" ht="18.75" x14ac:dyDescent="0.25">
      <c r="A154" s="399"/>
      <c r="B154" s="403"/>
      <c r="C154" s="398"/>
      <c r="D154" s="399"/>
      <c r="E154" s="528"/>
      <c r="F154" s="418"/>
      <c r="I154"/>
    </row>
    <row r="155" spans="1:9" s="401" customFormat="1" ht="18.75" x14ac:dyDescent="0.25">
      <c r="A155" s="399"/>
      <c r="B155" s="404" t="s">
        <v>84</v>
      </c>
      <c r="C155" s="411"/>
      <c r="D155" s="402"/>
      <c r="E155" s="537"/>
      <c r="F155" s="412"/>
      <c r="I155"/>
    </row>
    <row r="156" spans="1:9" s="401" customFormat="1" ht="18.75" x14ac:dyDescent="0.25">
      <c r="A156" s="399"/>
      <c r="B156" s="413"/>
      <c r="C156" s="411"/>
      <c r="D156" s="402"/>
      <c r="E156" s="537"/>
      <c r="F156" s="412"/>
      <c r="I156"/>
    </row>
    <row r="157" spans="1:9" s="401" customFormat="1" ht="33" x14ac:dyDescent="0.25">
      <c r="A157" s="399"/>
      <c r="B157" s="414" t="s">
        <v>594</v>
      </c>
      <c r="C157" s="411"/>
      <c r="D157" s="402"/>
      <c r="E157" s="537"/>
      <c r="F157" s="412"/>
      <c r="I157"/>
    </row>
    <row r="158" spans="1:9" s="401" customFormat="1" ht="18.75" x14ac:dyDescent="0.25">
      <c r="A158" s="399"/>
      <c r="B158" s="414"/>
      <c r="C158" s="411"/>
      <c r="D158" s="402"/>
      <c r="E158" s="537"/>
      <c r="F158" s="412"/>
      <c r="I158"/>
    </row>
    <row r="159" spans="1:9" s="401" customFormat="1" ht="18.75" x14ac:dyDescent="0.25">
      <c r="A159" s="399" t="s">
        <v>2</v>
      </c>
      <c r="B159" s="398" t="s">
        <v>595</v>
      </c>
      <c r="C159" s="407">
        <v>78</v>
      </c>
      <c r="D159" s="399" t="s">
        <v>922</v>
      </c>
      <c r="E159" s="528">
        <v>10300</v>
      </c>
      <c r="F159" s="486">
        <f>C159*E159</f>
        <v>803400</v>
      </c>
      <c r="I159"/>
    </row>
    <row r="160" spans="1:9" s="401" customFormat="1" ht="18.75" x14ac:dyDescent="0.25">
      <c r="A160" s="399"/>
      <c r="B160" s="403"/>
      <c r="C160" s="398"/>
      <c r="D160" s="399"/>
      <c r="E160" s="528"/>
      <c r="F160" s="487"/>
      <c r="I160"/>
    </row>
    <row r="161" spans="1:9" s="401" customFormat="1" ht="18.75" x14ac:dyDescent="0.25">
      <c r="A161" s="399" t="s">
        <v>4</v>
      </c>
      <c r="B161" s="398" t="s">
        <v>596</v>
      </c>
      <c r="C161" s="407"/>
      <c r="D161" s="399" t="s">
        <v>922</v>
      </c>
      <c r="E161" s="528">
        <v>9500</v>
      </c>
      <c r="F161" s="486">
        <f>C161*E161</f>
        <v>0</v>
      </c>
      <c r="I161"/>
    </row>
    <row r="162" spans="1:9" s="401" customFormat="1" ht="18.75" x14ac:dyDescent="0.25">
      <c r="A162" s="399"/>
      <c r="B162" s="398"/>
      <c r="C162" s="410"/>
      <c r="D162" s="399"/>
      <c r="E162" s="528"/>
      <c r="F162" s="421"/>
      <c r="I162"/>
    </row>
    <row r="163" spans="1:9" s="401" customFormat="1" ht="18.75" x14ac:dyDescent="0.25">
      <c r="A163" s="399"/>
      <c r="B163" s="404" t="s">
        <v>98</v>
      </c>
      <c r="C163" s="398"/>
      <c r="D163" s="399"/>
      <c r="E163" s="528"/>
      <c r="F163" s="418"/>
      <c r="I163"/>
    </row>
    <row r="164" spans="1:9" s="401" customFormat="1" ht="18.75" x14ac:dyDescent="0.25">
      <c r="A164" s="399"/>
      <c r="B164" s="398"/>
      <c r="C164" s="398"/>
      <c r="D164" s="399"/>
      <c r="E164" s="528"/>
      <c r="F164" s="418"/>
      <c r="I164"/>
    </row>
    <row r="165" spans="1:9" s="401" customFormat="1" ht="18.75" x14ac:dyDescent="0.25">
      <c r="A165" s="399"/>
      <c r="B165" s="410" t="s">
        <v>927</v>
      </c>
      <c r="C165" s="398"/>
      <c r="D165" s="399"/>
      <c r="E165" s="528"/>
      <c r="F165" s="418"/>
      <c r="I165"/>
    </row>
    <row r="166" spans="1:9" s="401" customFormat="1" ht="18.75" x14ac:dyDescent="0.25">
      <c r="A166" s="399"/>
      <c r="B166" s="410"/>
      <c r="C166" s="398"/>
      <c r="D166" s="399"/>
      <c r="E166" s="528"/>
      <c r="F166" s="418"/>
      <c r="I166"/>
    </row>
    <row r="167" spans="1:9" s="401" customFormat="1" ht="18.75" x14ac:dyDescent="0.25">
      <c r="A167" s="399" t="s">
        <v>5</v>
      </c>
      <c r="B167" s="398" t="s">
        <v>214</v>
      </c>
      <c r="C167" s="398">
        <v>1</v>
      </c>
      <c r="D167" s="399" t="s">
        <v>939</v>
      </c>
      <c r="E167" s="528">
        <v>85000</v>
      </c>
      <c r="F167" s="418">
        <f>C167*E167</f>
        <v>85000</v>
      </c>
      <c r="I167"/>
    </row>
    <row r="168" spans="1:9" s="535" customFormat="1" ht="16.5" x14ac:dyDescent="0.25">
      <c r="A168" s="530"/>
      <c r="B168" s="536"/>
      <c r="C168" s="539"/>
      <c r="D168" s="530"/>
      <c r="E168" s="532"/>
      <c r="F168" s="533"/>
      <c r="G168" s="533"/>
      <c r="H168" s="284"/>
    </row>
    <row r="169" spans="1:9" s="401" customFormat="1" ht="18.75" x14ac:dyDescent="0.25">
      <c r="A169" s="399"/>
      <c r="B169" s="404" t="s">
        <v>102</v>
      </c>
      <c r="C169" s="398"/>
      <c r="D169" s="399"/>
      <c r="E169" s="528"/>
      <c r="F169" s="418"/>
      <c r="I169"/>
    </row>
    <row r="170" spans="1:9" s="401" customFormat="1" ht="18.75" x14ac:dyDescent="0.25">
      <c r="A170" s="399"/>
      <c r="B170" s="410"/>
      <c r="C170" s="398"/>
      <c r="D170" s="399"/>
      <c r="E170" s="528"/>
      <c r="F170" s="418"/>
      <c r="I170"/>
    </row>
    <row r="171" spans="1:9" s="401" customFormat="1" ht="33" x14ac:dyDescent="0.25">
      <c r="A171" s="399"/>
      <c r="B171" s="414" t="s">
        <v>598</v>
      </c>
      <c r="C171" s="398"/>
      <c r="D171" s="399"/>
      <c r="E171" s="528"/>
      <c r="F171" s="418"/>
      <c r="I171"/>
    </row>
    <row r="172" spans="1:9" s="401" customFormat="1" ht="18.75" x14ac:dyDescent="0.25">
      <c r="A172" s="399"/>
      <c r="B172" s="398"/>
      <c r="C172" s="398"/>
      <c r="D172" s="399"/>
      <c r="E172" s="528"/>
      <c r="F172" s="418"/>
      <c r="I172"/>
    </row>
    <row r="173" spans="1:9" s="401" customFormat="1" ht="18.75" x14ac:dyDescent="0.25">
      <c r="A173" s="399" t="s">
        <v>7</v>
      </c>
      <c r="B173" s="398" t="s">
        <v>805</v>
      </c>
      <c r="C173" s="398"/>
      <c r="D173" s="399" t="s">
        <v>75</v>
      </c>
      <c r="E173" s="528">
        <v>1250</v>
      </c>
      <c r="F173" s="418">
        <f>C173*E173</f>
        <v>0</v>
      </c>
      <c r="I173"/>
    </row>
    <row r="174" spans="1:9" s="401" customFormat="1" ht="18.75" x14ac:dyDescent="0.25">
      <c r="A174" s="399"/>
      <c r="B174" s="398"/>
      <c r="C174" s="398"/>
      <c r="D174" s="399"/>
      <c r="E174" s="528"/>
      <c r="F174" s="418"/>
      <c r="I174"/>
    </row>
    <row r="175" spans="1:9" s="401" customFormat="1" ht="18.75" x14ac:dyDescent="0.25">
      <c r="A175" s="399" t="s">
        <v>8</v>
      </c>
      <c r="B175" s="398" t="s">
        <v>571</v>
      </c>
      <c r="C175" s="398">
        <v>15</v>
      </c>
      <c r="D175" s="399" t="s">
        <v>75</v>
      </c>
      <c r="E175" s="528">
        <f>E173</f>
        <v>1250</v>
      </c>
      <c r="F175" s="418">
        <f>C175*E175</f>
        <v>18750</v>
      </c>
      <c r="I175"/>
    </row>
    <row r="176" spans="1:9" s="401" customFormat="1" ht="18.75" x14ac:dyDescent="0.25">
      <c r="A176" s="399"/>
      <c r="B176" s="398"/>
      <c r="C176" s="398"/>
      <c r="D176" s="399"/>
      <c r="E176" s="528"/>
      <c r="F176" s="418"/>
      <c r="I176"/>
    </row>
    <row r="177" spans="1:9" s="401" customFormat="1" ht="18.75" x14ac:dyDescent="0.25">
      <c r="A177" s="399" t="s">
        <v>9</v>
      </c>
      <c r="B177" s="398" t="s">
        <v>803</v>
      </c>
      <c r="C177" s="398">
        <v>8</v>
      </c>
      <c r="D177" s="399" t="s">
        <v>75</v>
      </c>
      <c r="E177" s="528">
        <f>E175</f>
        <v>1250</v>
      </c>
      <c r="F177" s="418">
        <f>C177*E177</f>
        <v>10000</v>
      </c>
      <c r="I177"/>
    </row>
    <row r="178" spans="1:9" s="401" customFormat="1" ht="18.75" x14ac:dyDescent="0.25">
      <c r="A178" s="399"/>
      <c r="B178" s="398"/>
      <c r="C178" s="398"/>
      <c r="D178" s="399"/>
      <c r="E178" s="528"/>
      <c r="F178" s="418"/>
      <c r="I178"/>
    </row>
    <row r="179" spans="1:9" s="401" customFormat="1" ht="18.75" x14ac:dyDescent="0.25">
      <c r="A179" s="399"/>
      <c r="B179" s="404" t="s">
        <v>67</v>
      </c>
      <c r="C179" s="398"/>
      <c r="D179" s="399"/>
      <c r="E179" s="528"/>
      <c r="F179" s="418"/>
      <c r="I179"/>
    </row>
    <row r="180" spans="1:9" s="401" customFormat="1" ht="18.75" x14ac:dyDescent="0.25">
      <c r="A180" s="399"/>
      <c r="B180" s="398"/>
      <c r="C180" s="398"/>
      <c r="D180" s="399"/>
      <c r="E180" s="528"/>
      <c r="F180" s="418"/>
      <c r="I180"/>
    </row>
    <row r="181" spans="1:9" s="401" customFormat="1" ht="18.75" x14ac:dyDescent="0.25">
      <c r="A181" s="399"/>
      <c r="B181" s="410" t="s">
        <v>120</v>
      </c>
      <c r="C181" s="398"/>
      <c r="D181" s="399"/>
      <c r="E181" s="528"/>
      <c r="F181" s="418"/>
      <c r="I181"/>
    </row>
    <row r="182" spans="1:9" s="401" customFormat="1" ht="18.75" x14ac:dyDescent="0.25">
      <c r="A182" s="399"/>
      <c r="B182" s="398"/>
      <c r="C182" s="398"/>
      <c r="D182" s="399"/>
      <c r="E182" s="528"/>
      <c r="F182" s="418"/>
      <c r="G182"/>
      <c r="H182"/>
      <c r="I182"/>
    </row>
    <row r="183" spans="1:9" s="401" customFormat="1" ht="18.75" x14ac:dyDescent="0.25">
      <c r="A183" s="399" t="s">
        <v>10</v>
      </c>
      <c r="B183" s="398" t="s">
        <v>600</v>
      </c>
      <c r="C183" s="398">
        <v>3</v>
      </c>
      <c r="D183" s="399" t="s">
        <v>922</v>
      </c>
      <c r="E183" s="528">
        <v>6500</v>
      </c>
      <c r="F183" s="418">
        <f>C183*E183</f>
        <v>19500</v>
      </c>
      <c r="G183"/>
      <c r="H183"/>
      <c r="I183"/>
    </row>
    <row r="184" spans="1:9" s="401" customFormat="1" ht="18.75" x14ac:dyDescent="0.25">
      <c r="A184" s="399"/>
      <c r="B184" s="410"/>
      <c r="C184" s="398"/>
      <c r="D184" s="399"/>
      <c r="E184" s="528"/>
      <c r="F184" s="416"/>
      <c r="G184"/>
      <c r="H184"/>
      <c r="I184"/>
    </row>
    <row r="185" spans="1:9" s="401" customFormat="1" ht="18.75" x14ac:dyDescent="0.25">
      <c r="A185" s="399"/>
      <c r="B185" s="398"/>
      <c r="C185" s="398"/>
      <c r="D185" s="399"/>
      <c r="E185" s="528"/>
      <c r="F185" s="416"/>
      <c r="G185"/>
      <c r="H185"/>
      <c r="I185"/>
    </row>
    <row r="186" spans="1:9" s="401" customFormat="1" ht="18.75" x14ac:dyDescent="0.25">
      <c r="A186" s="399"/>
      <c r="B186" s="398"/>
      <c r="C186" s="410"/>
      <c r="D186" s="399"/>
      <c r="E186" s="528"/>
      <c r="F186" s="421"/>
      <c r="G186"/>
      <c r="H186"/>
      <c r="I186"/>
    </row>
    <row r="187" spans="1:9" s="401" customFormat="1" ht="18.75" x14ac:dyDescent="0.25">
      <c r="A187" s="399"/>
      <c r="B187" s="398"/>
      <c r="C187" s="410"/>
      <c r="D187" s="399"/>
      <c r="E187" s="528"/>
      <c r="F187" s="421"/>
      <c r="G187"/>
      <c r="H187"/>
      <c r="I187"/>
    </row>
    <row r="188" spans="1:9" s="401" customFormat="1" ht="18.75" x14ac:dyDescent="0.25">
      <c r="A188" s="399"/>
      <c r="B188" s="398"/>
      <c r="C188" s="410"/>
      <c r="D188" s="399"/>
      <c r="E188" s="528"/>
      <c r="F188" s="421"/>
      <c r="G188"/>
      <c r="H188"/>
      <c r="I188"/>
    </row>
    <row r="189" spans="1:9" s="401" customFormat="1" ht="18.75" x14ac:dyDescent="0.25">
      <c r="A189" s="399"/>
      <c r="B189" s="398"/>
      <c r="C189" s="411"/>
      <c r="D189" s="402"/>
      <c r="E189" s="537"/>
      <c r="F189" s="420"/>
      <c r="G189"/>
      <c r="H189"/>
      <c r="I189"/>
    </row>
    <row r="190" spans="1:9" s="401" customFormat="1" ht="18.75" x14ac:dyDescent="0.25">
      <c r="A190" s="399"/>
      <c r="B190" s="398"/>
      <c r="C190" s="398"/>
      <c r="D190" s="399"/>
      <c r="E190" s="528"/>
      <c r="F190" s="400"/>
      <c r="G190"/>
      <c r="H190"/>
      <c r="I190"/>
    </row>
    <row r="191" spans="1:9" s="401" customFormat="1" ht="18.75" x14ac:dyDescent="0.25">
      <c r="A191" s="399"/>
      <c r="B191" s="403" t="s">
        <v>1083</v>
      </c>
      <c r="C191" s="398"/>
      <c r="D191" s="399"/>
      <c r="E191" s="528"/>
      <c r="F191" s="400"/>
      <c r="G191"/>
      <c r="H191"/>
      <c r="I191"/>
    </row>
    <row r="192" spans="1:9" s="401" customFormat="1" ht="18.75" x14ac:dyDescent="0.25">
      <c r="A192" s="399"/>
      <c r="B192" s="411" t="s">
        <v>534</v>
      </c>
      <c r="C192" s="398"/>
      <c r="D192" s="399"/>
      <c r="E192" s="537" t="s">
        <v>15</v>
      </c>
      <c r="F192" s="296">
        <f>F159+F161+F167+F175+F183+F177</f>
        <v>936650</v>
      </c>
      <c r="G192"/>
      <c r="H192"/>
      <c r="I192"/>
    </row>
    <row r="193" spans="1:9" s="401" customFormat="1" ht="18.75" x14ac:dyDescent="0.25">
      <c r="A193" s="399"/>
      <c r="B193" s="403" t="s">
        <v>569</v>
      </c>
      <c r="C193" s="398"/>
      <c r="D193" s="399"/>
      <c r="E193" s="528"/>
      <c r="F193" s="418"/>
      <c r="G193"/>
      <c r="H193"/>
      <c r="I193"/>
    </row>
    <row r="194" spans="1:9" s="401" customFormat="1" ht="18.75" x14ac:dyDescent="0.25">
      <c r="A194" s="399"/>
      <c r="B194" s="411"/>
      <c r="C194" s="398"/>
      <c r="D194" s="399"/>
      <c r="E194" s="528"/>
      <c r="F194" s="418"/>
      <c r="G194"/>
      <c r="H194"/>
      <c r="I194"/>
    </row>
    <row r="195" spans="1:9" s="401" customFormat="1" ht="18.75" x14ac:dyDescent="0.25">
      <c r="A195" s="399"/>
      <c r="B195" s="403" t="s">
        <v>213</v>
      </c>
      <c r="C195" s="398"/>
      <c r="D195" s="399"/>
      <c r="E195" s="528"/>
      <c r="F195" s="418"/>
      <c r="G195"/>
      <c r="H195"/>
      <c r="I195"/>
    </row>
    <row r="196" spans="1:9" s="401" customFormat="1" ht="18.75" x14ac:dyDescent="0.25">
      <c r="A196" s="399"/>
      <c r="B196" s="398"/>
      <c r="C196" s="398"/>
      <c r="D196" s="399"/>
      <c r="E196" s="528"/>
      <c r="F196" s="418"/>
      <c r="G196"/>
      <c r="H196"/>
      <c r="I196"/>
    </row>
    <row r="197" spans="1:9" s="401" customFormat="1" ht="18.75" x14ac:dyDescent="0.25">
      <c r="A197" s="399"/>
      <c r="B197" s="403" t="s">
        <v>606</v>
      </c>
      <c r="C197" s="398"/>
      <c r="D197" s="399"/>
      <c r="E197" s="528"/>
      <c r="F197" s="418"/>
      <c r="G197"/>
      <c r="H197"/>
      <c r="I197"/>
    </row>
    <row r="198" spans="1:9" s="401" customFormat="1" ht="18.75" x14ac:dyDescent="0.25">
      <c r="A198" s="399"/>
      <c r="B198" s="398"/>
      <c r="C198" s="398"/>
      <c r="D198" s="399"/>
      <c r="E198" s="528"/>
      <c r="F198" s="418"/>
      <c r="G198"/>
      <c r="H198"/>
      <c r="I198"/>
    </row>
    <row r="199" spans="1:9" s="208" customFormat="1" ht="45" x14ac:dyDescent="0.25">
      <c r="A199" s="206"/>
      <c r="B199" s="224" t="s">
        <v>1012</v>
      </c>
      <c r="C199" s="205"/>
      <c r="D199" s="206"/>
      <c r="E199" s="320"/>
      <c r="F199" s="230"/>
      <c r="G199" s="230"/>
    </row>
    <row r="200" spans="1:9" s="208" customFormat="1" ht="22.5" customHeight="1" x14ac:dyDescent="0.25">
      <c r="A200" s="206" t="s">
        <v>2</v>
      </c>
      <c r="B200" s="214" t="s">
        <v>1103</v>
      </c>
      <c r="C200" s="205">
        <v>2</v>
      </c>
      <c r="D200" s="206" t="s">
        <v>3</v>
      </c>
      <c r="E200" s="592">
        <f>1.8*2.1*95000</f>
        <v>359100</v>
      </c>
      <c r="F200" s="207">
        <f>E200*C200</f>
        <v>718200</v>
      </c>
      <c r="G200" s="207"/>
    </row>
    <row r="201" spans="1:9" s="208" customFormat="1" ht="16.5" x14ac:dyDescent="0.25">
      <c r="A201" s="206"/>
      <c r="B201" s="210"/>
      <c r="C201" s="205"/>
      <c r="D201" s="206"/>
      <c r="E201" s="320"/>
      <c r="F201" s="230"/>
      <c r="G201" s="230"/>
    </row>
    <row r="202" spans="1:9" s="208" customFormat="1" ht="22.5" customHeight="1" x14ac:dyDescent="0.25">
      <c r="A202" s="206" t="s">
        <v>4</v>
      </c>
      <c r="B202" s="214" t="s">
        <v>1037</v>
      </c>
      <c r="C202" s="205">
        <v>1</v>
      </c>
      <c r="D202" s="206" t="s">
        <v>3</v>
      </c>
      <c r="E202" s="592">
        <f>0.9*2.1*95000</f>
        <v>179550</v>
      </c>
      <c r="F202" s="207">
        <f>E202*C202</f>
        <v>179550</v>
      </c>
      <c r="G202" s="207"/>
    </row>
    <row r="203" spans="1:9" s="401" customFormat="1" ht="18.75" x14ac:dyDescent="0.25">
      <c r="A203" s="399"/>
      <c r="B203" s="410"/>
      <c r="C203" s="399"/>
      <c r="E203" s="528"/>
      <c r="F203" s="486"/>
      <c r="G203"/>
      <c r="H203"/>
      <c r="I203"/>
    </row>
    <row r="204" spans="1:9" s="401" customFormat="1" ht="18.75" x14ac:dyDescent="0.25">
      <c r="A204" s="399"/>
      <c r="B204" s="410"/>
      <c r="C204" s="398"/>
      <c r="D204" s="399"/>
      <c r="E204" s="528"/>
      <c r="F204" s="418"/>
      <c r="G204"/>
      <c r="H204"/>
      <c r="I204"/>
    </row>
    <row r="205" spans="1:9" s="401" customFormat="1" ht="18.75" x14ac:dyDescent="0.25">
      <c r="A205" s="399"/>
      <c r="B205" s="410"/>
      <c r="C205" s="398"/>
      <c r="D205" s="399"/>
      <c r="E205" s="528"/>
      <c r="F205" s="418"/>
      <c r="G205"/>
      <c r="H205"/>
      <c r="I205"/>
    </row>
    <row r="206" spans="1:9" s="401" customFormat="1" ht="18.75" x14ac:dyDescent="0.25">
      <c r="A206" s="399"/>
      <c r="B206" s="410"/>
      <c r="C206" s="398"/>
      <c r="D206" s="399"/>
      <c r="E206" s="528"/>
      <c r="F206" s="418"/>
      <c r="G206"/>
      <c r="H206"/>
      <c r="I206"/>
    </row>
    <row r="207" spans="1:9" s="401" customFormat="1" ht="18.75" x14ac:dyDescent="0.25">
      <c r="A207" s="399"/>
      <c r="B207" s="410"/>
      <c r="C207" s="398"/>
      <c r="D207" s="399"/>
      <c r="E207" s="528"/>
      <c r="F207" s="418"/>
      <c r="G207"/>
      <c r="H207"/>
      <c r="I207"/>
    </row>
    <row r="208" spans="1:9" s="401" customFormat="1" ht="18.75" x14ac:dyDescent="0.25">
      <c r="A208" s="399"/>
      <c r="B208" s="410"/>
      <c r="C208" s="398"/>
      <c r="D208" s="399"/>
      <c r="E208" s="528"/>
      <c r="F208" s="418"/>
      <c r="G208"/>
      <c r="H208"/>
      <c r="I208"/>
    </row>
    <row r="209" spans="1:9" s="401" customFormat="1" ht="18.75" x14ac:dyDescent="0.25">
      <c r="A209" s="399"/>
      <c r="B209" s="410"/>
      <c r="C209" s="398"/>
      <c r="D209" s="399"/>
      <c r="E209" s="528"/>
      <c r="F209" s="418"/>
      <c r="G209"/>
      <c r="H209"/>
      <c r="I209"/>
    </row>
    <row r="210" spans="1:9" s="401" customFormat="1" ht="18.75" x14ac:dyDescent="0.25">
      <c r="A210" s="399"/>
      <c r="B210" s="403" t="s">
        <v>607</v>
      </c>
      <c r="C210" s="411"/>
      <c r="D210" s="402"/>
      <c r="E210" s="537"/>
      <c r="F210" s="420"/>
      <c r="G210"/>
      <c r="H210"/>
      <c r="I210"/>
    </row>
    <row r="211" spans="1:9" s="401" customFormat="1" ht="18.75" x14ac:dyDescent="0.25">
      <c r="A211" s="399"/>
      <c r="B211" s="411" t="s">
        <v>534</v>
      </c>
      <c r="C211" s="411"/>
      <c r="D211" s="402"/>
      <c r="E211" s="537" t="s">
        <v>15</v>
      </c>
      <c r="F211" s="412">
        <f>SUM(F197:F210)</f>
        <v>897750</v>
      </c>
      <c r="G211"/>
      <c r="H211"/>
      <c r="I211"/>
    </row>
    <row r="212" spans="1:9" s="401" customFormat="1" ht="18.75" x14ac:dyDescent="0.25">
      <c r="A212" s="488"/>
      <c r="B212" s="397" t="s">
        <v>593</v>
      </c>
      <c r="C212" s="398"/>
      <c r="D212" s="399"/>
      <c r="E212" s="528"/>
      <c r="F212" s="418"/>
      <c r="G212"/>
      <c r="H212"/>
      <c r="I212"/>
    </row>
    <row r="213" spans="1:9" s="401" customFormat="1" ht="18.75" x14ac:dyDescent="0.25">
      <c r="A213" s="399"/>
      <c r="B213" s="398"/>
      <c r="C213" s="398"/>
      <c r="D213" s="399"/>
      <c r="E213" s="528"/>
      <c r="F213" s="418"/>
      <c r="G213"/>
      <c r="H213"/>
      <c r="I213"/>
    </row>
    <row r="214" spans="1:9" s="401" customFormat="1" ht="18.75" x14ac:dyDescent="0.25">
      <c r="A214" s="399"/>
      <c r="B214" s="403" t="s">
        <v>163</v>
      </c>
      <c r="C214" s="398"/>
      <c r="D214" s="399"/>
      <c r="E214" s="528"/>
      <c r="F214" s="418"/>
      <c r="G214"/>
      <c r="H214"/>
      <c r="I214"/>
    </row>
    <row r="215" spans="1:9" s="401" customFormat="1" ht="18.75" x14ac:dyDescent="0.25">
      <c r="A215" s="399"/>
      <c r="B215" s="398"/>
      <c r="C215" s="398"/>
      <c r="D215" s="399"/>
      <c r="E215" s="528"/>
      <c r="F215" s="418"/>
      <c r="G215"/>
      <c r="H215"/>
      <c r="I215"/>
    </row>
    <row r="216" spans="1:9" s="401" customFormat="1" ht="18.75" x14ac:dyDescent="0.25">
      <c r="A216" s="399"/>
      <c r="B216" s="404" t="s">
        <v>98</v>
      </c>
      <c r="C216" s="398"/>
      <c r="D216" s="399"/>
      <c r="E216" s="528"/>
      <c r="F216" s="418"/>
      <c r="G216"/>
      <c r="H216"/>
      <c r="I216"/>
    </row>
    <row r="217" spans="1:9" s="401" customFormat="1" ht="18.75" x14ac:dyDescent="0.25">
      <c r="A217" s="399"/>
      <c r="B217" s="398"/>
      <c r="C217" s="398"/>
      <c r="D217" s="399"/>
      <c r="E217" s="528"/>
      <c r="F217" s="418"/>
      <c r="G217"/>
      <c r="H217"/>
      <c r="I217"/>
    </row>
    <row r="218" spans="1:9" s="401" customFormat="1" ht="18.75" x14ac:dyDescent="0.25">
      <c r="A218" s="399"/>
      <c r="B218" s="410" t="s">
        <v>536</v>
      </c>
      <c r="C218" s="398"/>
      <c r="D218" s="399"/>
      <c r="E218" s="528"/>
      <c r="F218" s="418"/>
      <c r="G218"/>
      <c r="H218"/>
      <c r="I218"/>
    </row>
    <row r="219" spans="1:9" s="401" customFormat="1" ht="18.75" x14ac:dyDescent="0.25">
      <c r="A219" s="399"/>
      <c r="B219" s="410"/>
      <c r="C219" s="398"/>
      <c r="D219" s="399"/>
      <c r="E219" s="528"/>
      <c r="F219" s="418"/>
      <c r="G219"/>
      <c r="H219"/>
      <c r="I219"/>
    </row>
    <row r="220" spans="1:9" s="401" customFormat="1" ht="18.75" x14ac:dyDescent="0.25">
      <c r="A220" s="399"/>
      <c r="B220" s="410" t="s">
        <v>927</v>
      </c>
      <c r="C220" s="398"/>
      <c r="D220" s="399"/>
      <c r="E220" s="528"/>
      <c r="F220" s="418"/>
      <c r="G220"/>
      <c r="H220"/>
      <c r="I220"/>
    </row>
    <row r="221" spans="1:9" s="401" customFormat="1" ht="18.75" x14ac:dyDescent="0.25">
      <c r="A221" s="399"/>
      <c r="B221" s="398"/>
      <c r="C221" s="398"/>
      <c r="D221" s="399"/>
      <c r="E221" s="528"/>
      <c r="F221" s="418"/>
      <c r="G221"/>
      <c r="H221"/>
      <c r="I221"/>
    </row>
    <row r="222" spans="1:9" s="401" customFormat="1" ht="18.75" x14ac:dyDescent="0.25">
      <c r="A222" s="399" t="s">
        <v>2</v>
      </c>
      <c r="B222" s="415" t="s">
        <v>34</v>
      </c>
      <c r="C222" s="398">
        <v>11</v>
      </c>
      <c r="D222" s="399" t="s">
        <v>924</v>
      </c>
      <c r="E222" s="528">
        <v>85000</v>
      </c>
      <c r="F222" s="418">
        <f>C222*E222</f>
        <v>935000</v>
      </c>
      <c r="G222"/>
      <c r="H222"/>
      <c r="I222"/>
    </row>
    <row r="223" spans="1:9" s="401" customFormat="1" ht="18.75" x14ac:dyDescent="0.25">
      <c r="A223" s="399"/>
      <c r="B223" s="398"/>
      <c r="C223" s="398"/>
      <c r="D223" s="399"/>
      <c r="E223" s="528"/>
      <c r="F223" s="418"/>
      <c r="G223"/>
      <c r="H223"/>
      <c r="I223"/>
    </row>
    <row r="224" spans="1:9" s="401" customFormat="1" ht="18.75" x14ac:dyDescent="0.25">
      <c r="A224" s="399" t="s">
        <v>4</v>
      </c>
      <c r="B224" s="415" t="s">
        <v>1084</v>
      </c>
      <c r="C224" s="398">
        <v>31</v>
      </c>
      <c r="D224" s="399" t="s">
        <v>924</v>
      </c>
      <c r="E224" s="528">
        <f>E222</f>
        <v>85000</v>
      </c>
      <c r="F224" s="418">
        <f>C224*E224</f>
        <v>2635000</v>
      </c>
      <c r="G224"/>
      <c r="H224"/>
      <c r="I224"/>
    </row>
    <row r="225" spans="1:9" s="401" customFormat="1" ht="18.75" x14ac:dyDescent="0.25">
      <c r="A225" s="399"/>
      <c r="B225" s="415"/>
      <c r="C225" s="398"/>
      <c r="D225" s="399"/>
      <c r="E225" s="528"/>
      <c r="F225" s="418"/>
      <c r="G225"/>
      <c r="H225"/>
      <c r="I225"/>
    </row>
    <row r="226" spans="1:9" s="401" customFormat="1" ht="18.75" x14ac:dyDescent="0.25">
      <c r="A226" s="399" t="s">
        <v>4</v>
      </c>
      <c r="B226" s="415" t="s">
        <v>1085</v>
      </c>
      <c r="C226" s="398">
        <v>4</v>
      </c>
      <c r="D226" s="399" t="s">
        <v>924</v>
      </c>
      <c r="E226" s="528">
        <f>E224</f>
        <v>85000</v>
      </c>
      <c r="F226" s="418">
        <f>C226*E226</f>
        <v>340000</v>
      </c>
      <c r="G226"/>
      <c r="H226"/>
      <c r="I226"/>
    </row>
    <row r="227" spans="1:9" s="401" customFormat="1" ht="18.75" x14ac:dyDescent="0.25">
      <c r="A227" s="399"/>
      <c r="B227" s="415"/>
      <c r="C227" s="398"/>
      <c r="D227" s="399"/>
      <c r="E227" s="528"/>
      <c r="F227" s="418"/>
      <c r="G227"/>
      <c r="H227"/>
      <c r="I227"/>
    </row>
    <row r="228" spans="1:9" s="401" customFormat="1" ht="18.75" x14ac:dyDescent="0.25">
      <c r="A228" s="399" t="s">
        <v>4</v>
      </c>
      <c r="B228" s="415" t="s">
        <v>1104</v>
      </c>
      <c r="C228" s="398">
        <v>3</v>
      </c>
      <c r="D228" s="399" t="s">
        <v>924</v>
      </c>
      <c r="E228" s="528">
        <f>E226</f>
        <v>85000</v>
      </c>
      <c r="F228" s="418">
        <f>C228*E228</f>
        <v>255000</v>
      </c>
      <c r="G228"/>
      <c r="H228"/>
      <c r="I228"/>
    </row>
    <row r="229" spans="1:9" s="401" customFormat="1" ht="18.75" x14ac:dyDescent="0.25">
      <c r="A229" s="399"/>
      <c r="B229" s="415"/>
      <c r="C229" s="398"/>
      <c r="D229" s="399"/>
      <c r="E229" s="528"/>
      <c r="F229" s="418"/>
      <c r="G229"/>
      <c r="H229"/>
      <c r="I229"/>
    </row>
    <row r="230" spans="1:9" s="401" customFormat="1" ht="18.75" x14ac:dyDescent="0.25">
      <c r="A230" s="488"/>
      <c r="B230" s="404" t="s">
        <v>102</v>
      </c>
      <c r="C230" s="398"/>
      <c r="D230" s="399"/>
      <c r="E230" s="528"/>
      <c r="F230" s="418"/>
      <c r="G230"/>
      <c r="H230"/>
      <c r="I230"/>
    </row>
    <row r="231" spans="1:9" s="401" customFormat="1" ht="18.75" x14ac:dyDescent="0.25">
      <c r="A231" s="399"/>
      <c r="B231" s="410"/>
      <c r="C231" s="398"/>
      <c r="D231" s="399"/>
      <c r="E231" s="528"/>
      <c r="F231" s="418"/>
      <c r="G231"/>
      <c r="H231"/>
      <c r="I231"/>
    </row>
    <row r="232" spans="1:9" s="401" customFormat="1" ht="33" x14ac:dyDescent="0.25">
      <c r="A232" s="399"/>
      <c r="B232" s="414" t="s">
        <v>570</v>
      </c>
      <c r="C232" s="398"/>
      <c r="D232" s="399"/>
      <c r="E232" s="528"/>
      <c r="F232" s="418"/>
      <c r="G232"/>
      <c r="H232"/>
      <c r="I232"/>
    </row>
    <row r="233" spans="1:9" s="401" customFormat="1" ht="18.75" x14ac:dyDescent="0.25">
      <c r="A233" s="399"/>
      <c r="B233" s="415"/>
      <c r="C233" s="415"/>
      <c r="D233" s="545"/>
      <c r="E233" s="546"/>
      <c r="F233" s="547"/>
      <c r="G233"/>
      <c r="H233"/>
      <c r="I233"/>
    </row>
    <row r="234" spans="1:9" s="401" customFormat="1" ht="18.75" x14ac:dyDescent="0.25">
      <c r="A234" s="399" t="s">
        <v>5</v>
      </c>
      <c r="B234" s="398" t="s">
        <v>805</v>
      </c>
      <c r="C234" s="407">
        <v>1495</v>
      </c>
      <c r="D234" s="399" t="s">
        <v>75</v>
      </c>
      <c r="E234" s="528">
        <v>1250</v>
      </c>
      <c r="F234" s="489">
        <f t="shared" ref="F234" si="9">C234*E234</f>
        <v>1868750</v>
      </c>
      <c r="G234"/>
      <c r="H234"/>
      <c r="I234"/>
    </row>
    <row r="235" spans="1:9" s="401" customFormat="1" ht="18.75" x14ac:dyDescent="0.25">
      <c r="A235" s="399"/>
      <c r="B235" s="398"/>
      <c r="C235" s="407"/>
      <c r="D235" s="399"/>
      <c r="E235" s="528"/>
      <c r="F235" s="489"/>
      <c r="G235"/>
      <c r="H235"/>
      <c r="I235"/>
    </row>
    <row r="236" spans="1:9" s="401" customFormat="1" ht="18.75" x14ac:dyDescent="0.25">
      <c r="A236" s="399" t="s">
        <v>6</v>
      </c>
      <c r="B236" s="398" t="s">
        <v>571</v>
      </c>
      <c r="C236" s="407">
        <f>3304+320</f>
        <v>3624</v>
      </c>
      <c r="D236" s="399" t="s">
        <v>75</v>
      </c>
      <c r="E236" s="528">
        <f>E234</f>
        <v>1250</v>
      </c>
      <c r="F236" s="489">
        <f t="shared" ref="F236" si="10">C236*E236</f>
        <v>4530000</v>
      </c>
      <c r="G236"/>
      <c r="H236"/>
      <c r="I236"/>
    </row>
    <row r="237" spans="1:9" s="401" customFormat="1" ht="18.75" x14ac:dyDescent="0.25">
      <c r="A237" s="399"/>
      <c r="B237" s="398"/>
      <c r="C237" s="407"/>
      <c r="D237" s="399"/>
      <c r="E237" s="528"/>
      <c r="F237" s="489"/>
      <c r="G237"/>
      <c r="H237"/>
      <c r="I237"/>
    </row>
    <row r="238" spans="1:9" s="401" customFormat="1" ht="18.75" x14ac:dyDescent="0.25">
      <c r="A238" s="399" t="s">
        <v>7</v>
      </c>
      <c r="B238" s="398" t="s">
        <v>803</v>
      </c>
      <c r="C238" s="407">
        <v>657</v>
      </c>
      <c r="D238" s="399" t="s">
        <v>75</v>
      </c>
      <c r="E238" s="528">
        <f>E236</f>
        <v>1250</v>
      </c>
      <c r="F238" s="489">
        <f t="shared" ref="F238" si="11">C238*E238</f>
        <v>821250</v>
      </c>
      <c r="G238"/>
      <c r="H238"/>
      <c r="I238"/>
    </row>
    <row r="239" spans="1:9" s="401" customFormat="1" ht="18.75" x14ac:dyDescent="0.25">
      <c r="A239" s="399"/>
      <c r="B239" s="398"/>
      <c r="C239" s="407"/>
      <c r="D239" s="399"/>
      <c r="E239" s="528"/>
      <c r="F239" s="489"/>
      <c r="G239"/>
      <c r="H239"/>
      <c r="I239"/>
    </row>
    <row r="240" spans="1:9" s="401" customFormat="1" ht="18.75" x14ac:dyDescent="0.25">
      <c r="A240" s="399"/>
      <c r="B240" s="404" t="s">
        <v>67</v>
      </c>
      <c r="C240" s="398"/>
      <c r="D240" s="399"/>
      <c r="E240" s="528"/>
      <c r="F240" s="418"/>
      <c r="G240"/>
      <c r="H240"/>
      <c r="I240"/>
    </row>
    <row r="241" spans="1:9" s="401" customFormat="1" ht="18.75" x14ac:dyDescent="0.25">
      <c r="A241" s="399"/>
      <c r="B241" s="398"/>
      <c r="C241" s="398"/>
      <c r="D241" s="399"/>
      <c r="E241" s="528"/>
      <c r="F241" s="418"/>
      <c r="G241"/>
      <c r="H241"/>
      <c r="I241"/>
    </row>
    <row r="242" spans="1:9" s="401" customFormat="1" ht="18.75" x14ac:dyDescent="0.25">
      <c r="A242" s="399"/>
      <c r="B242" s="410" t="s">
        <v>120</v>
      </c>
      <c r="C242" s="398"/>
      <c r="D242" s="399"/>
      <c r="E242" s="528"/>
      <c r="F242" s="418"/>
      <c r="G242"/>
      <c r="H242"/>
      <c r="I242"/>
    </row>
    <row r="243" spans="1:9" s="401" customFormat="1" ht="18.75" x14ac:dyDescent="0.25">
      <c r="A243" s="399"/>
      <c r="B243" s="398"/>
      <c r="C243" s="398"/>
      <c r="D243" s="399"/>
      <c r="E243" s="528"/>
      <c r="F243" s="418"/>
      <c r="G243"/>
      <c r="H243"/>
      <c r="I243"/>
    </row>
    <row r="244" spans="1:9" s="401" customFormat="1" ht="18.75" x14ac:dyDescent="0.25">
      <c r="A244" s="399" t="s">
        <v>8</v>
      </c>
      <c r="B244" s="415" t="s">
        <v>1086</v>
      </c>
      <c r="C244" s="398">
        <f>96+256+94+20</f>
        <v>466</v>
      </c>
      <c r="D244" s="399" t="s">
        <v>922</v>
      </c>
      <c r="E244" s="528">
        <v>6500</v>
      </c>
      <c r="F244" s="418">
        <f>C244*E244</f>
        <v>3029000</v>
      </c>
      <c r="G244"/>
      <c r="H244"/>
      <c r="I244"/>
    </row>
    <row r="245" spans="1:9" s="401" customFormat="1" ht="18.75" x14ac:dyDescent="0.25">
      <c r="A245" s="399"/>
      <c r="B245" s="398"/>
      <c r="C245" s="398"/>
      <c r="D245" s="399"/>
      <c r="E245" s="528"/>
      <c r="F245" s="418"/>
      <c r="G245"/>
      <c r="H245"/>
      <c r="I245"/>
    </row>
    <row r="246" spans="1:9" s="401" customFormat="1" ht="18.75" x14ac:dyDescent="0.25">
      <c r="A246" s="399"/>
      <c r="B246" s="398"/>
      <c r="C246" s="398"/>
      <c r="D246" s="399"/>
      <c r="E246" s="528"/>
      <c r="F246" s="418"/>
      <c r="G246"/>
      <c r="H246"/>
      <c r="I246"/>
    </row>
    <row r="247" spans="1:9" s="401" customFormat="1" ht="18.75" x14ac:dyDescent="0.25">
      <c r="A247" s="399"/>
      <c r="B247" s="398"/>
      <c r="C247" s="398"/>
      <c r="D247" s="399"/>
      <c r="E247" s="528"/>
      <c r="F247" s="418"/>
      <c r="G247"/>
      <c r="H247"/>
      <c r="I247"/>
    </row>
    <row r="248" spans="1:9" s="401" customFormat="1" ht="18.75" x14ac:dyDescent="0.25">
      <c r="A248" s="399"/>
      <c r="B248" s="398"/>
      <c r="C248" s="398"/>
      <c r="D248" s="399"/>
      <c r="E248" s="528"/>
      <c r="F248" s="418"/>
      <c r="G248"/>
      <c r="H248"/>
      <c r="I248"/>
    </row>
    <row r="249" spans="1:9" s="401" customFormat="1" ht="18.75" x14ac:dyDescent="0.25">
      <c r="A249" s="399"/>
      <c r="B249" s="398"/>
      <c r="C249" s="398"/>
      <c r="D249" s="399"/>
      <c r="E249" s="528"/>
      <c r="F249" s="418"/>
      <c r="G249"/>
      <c r="H249"/>
      <c r="I249"/>
    </row>
    <row r="250" spans="1:9" s="401" customFormat="1" ht="18.75" x14ac:dyDescent="0.25">
      <c r="A250" s="399"/>
      <c r="B250" s="398"/>
      <c r="C250" s="398"/>
      <c r="D250" s="399"/>
      <c r="E250" s="528"/>
      <c r="F250" s="418"/>
      <c r="G250"/>
      <c r="H250"/>
      <c r="I250"/>
    </row>
    <row r="251" spans="1:9" s="401" customFormat="1" ht="18.75" x14ac:dyDescent="0.25">
      <c r="A251" s="399"/>
      <c r="B251" s="398"/>
      <c r="C251" s="398"/>
      <c r="D251" s="399"/>
      <c r="E251" s="528"/>
      <c r="F251" s="418"/>
      <c r="G251"/>
      <c r="H251"/>
      <c r="I251"/>
    </row>
    <row r="252" spans="1:9" s="401" customFormat="1" ht="18.75" x14ac:dyDescent="0.25">
      <c r="A252" s="399"/>
      <c r="B252" s="398"/>
      <c r="C252" s="398"/>
      <c r="D252" s="399"/>
      <c r="E252" s="528"/>
      <c r="F252" s="418"/>
      <c r="G252"/>
      <c r="H252"/>
      <c r="I252"/>
    </row>
    <row r="253" spans="1:9" s="401" customFormat="1" ht="18.75" x14ac:dyDescent="0.25">
      <c r="A253" s="399"/>
      <c r="B253" s="398"/>
      <c r="C253" s="398"/>
      <c r="D253" s="399"/>
      <c r="E253" s="528"/>
      <c r="F253" s="418"/>
      <c r="G253"/>
      <c r="H253"/>
      <c r="I253"/>
    </row>
    <row r="254" spans="1:9" s="401" customFormat="1" ht="18.75" x14ac:dyDescent="0.25">
      <c r="A254" s="399"/>
      <c r="B254" s="398"/>
      <c r="C254" s="398"/>
      <c r="D254" s="399"/>
      <c r="E254" s="528"/>
      <c r="F254" s="418"/>
      <c r="G254"/>
      <c r="H254"/>
      <c r="I254"/>
    </row>
    <row r="255" spans="1:9" s="401" customFormat="1" ht="18.75" x14ac:dyDescent="0.25">
      <c r="A255" s="399"/>
      <c r="B255" s="411" t="s">
        <v>520</v>
      </c>
      <c r="C255" s="411"/>
      <c r="D255" s="402"/>
      <c r="E255" s="537" t="s">
        <v>15</v>
      </c>
      <c r="F255" s="420">
        <f>SUM(F215:F253)</f>
        <v>14414000</v>
      </c>
      <c r="G255"/>
      <c r="H255"/>
      <c r="I255"/>
    </row>
    <row r="256" spans="1:9" s="401" customFormat="1" ht="18.75" x14ac:dyDescent="0.25">
      <c r="A256" s="399"/>
      <c r="B256" s="411"/>
      <c r="C256" s="398"/>
      <c r="D256" s="399"/>
      <c r="E256" s="537"/>
      <c r="F256" s="296"/>
      <c r="G256"/>
      <c r="H256"/>
      <c r="I256"/>
    </row>
    <row r="257" spans="1:9" s="401" customFormat="1" ht="18.75" x14ac:dyDescent="0.25">
      <c r="A257" s="399"/>
      <c r="B257" s="403" t="s">
        <v>573</v>
      </c>
      <c r="C257" s="398"/>
      <c r="D257" s="399"/>
      <c r="E257" s="528"/>
      <c r="F257" s="418"/>
      <c r="G257"/>
      <c r="H257"/>
      <c r="I257"/>
    </row>
    <row r="258" spans="1:9" s="401" customFormat="1" ht="18.75" x14ac:dyDescent="0.25">
      <c r="A258" s="399"/>
      <c r="B258" s="398"/>
      <c r="C258" s="398"/>
      <c r="D258" s="399"/>
      <c r="E258" s="528"/>
      <c r="F258" s="418"/>
      <c r="G258"/>
      <c r="H258"/>
      <c r="I258"/>
    </row>
    <row r="259" spans="1:9" s="401" customFormat="1" ht="49.5" x14ac:dyDescent="0.25">
      <c r="A259" s="399"/>
      <c r="B259" s="549" t="s">
        <v>574</v>
      </c>
      <c r="C259" s="398"/>
      <c r="D259" s="399"/>
      <c r="E259" s="528"/>
      <c r="F259" s="400"/>
      <c r="G259"/>
      <c r="H259"/>
      <c r="I259"/>
    </row>
    <row r="260" spans="1:9" s="401" customFormat="1" ht="18.75" x14ac:dyDescent="0.25">
      <c r="A260" s="399"/>
      <c r="B260" s="417"/>
      <c r="C260" s="398"/>
      <c r="D260" s="399"/>
      <c r="E260" s="528"/>
      <c r="F260" s="400"/>
      <c r="G260"/>
      <c r="H260"/>
      <c r="I260"/>
    </row>
    <row r="261" spans="1:9" s="401" customFormat="1" ht="18.75" x14ac:dyDescent="0.25">
      <c r="A261" s="399" t="s">
        <v>2</v>
      </c>
      <c r="B261" s="422" t="s">
        <v>974</v>
      </c>
      <c r="C261" s="407">
        <v>52</v>
      </c>
      <c r="D261" s="399" t="s">
        <v>922</v>
      </c>
      <c r="E261" s="528">
        <v>10100</v>
      </c>
      <c r="F261" s="486">
        <f>C261*E261</f>
        <v>525200</v>
      </c>
      <c r="G261"/>
      <c r="H261"/>
      <c r="I261"/>
    </row>
    <row r="262" spans="1:9" s="401" customFormat="1" ht="18.75" x14ac:dyDescent="0.25">
      <c r="A262" s="399"/>
      <c r="B262" s="406"/>
      <c r="C262" s="398"/>
      <c r="D262" s="399"/>
      <c r="E262" s="528"/>
      <c r="F262" s="486"/>
      <c r="G262"/>
      <c r="H262"/>
      <c r="I262"/>
    </row>
    <row r="263" spans="1:9" s="401" customFormat="1" ht="18.75" x14ac:dyDescent="0.25">
      <c r="A263" s="399" t="s">
        <v>4</v>
      </c>
      <c r="B263" s="398" t="s">
        <v>1105</v>
      </c>
      <c r="C263" s="484">
        <v>9</v>
      </c>
      <c r="D263" s="399" t="s">
        <v>22</v>
      </c>
      <c r="E263" s="528">
        <f>E261*0.15</f>
        <v>1515</v>
      </c>
      <c r="F263" s="486">
        <f>C263*E263</f>
        <v>13635</v>
      </c>
      <c r="G263"/>
      <c r="H263"/>
      <c r="I263"/>
    </row>
    <row r="264" spans="1:9" s="401" customFormat="1" ht="18.75" x14ac:dyDescent="0.25">
      <c r="A264" s="399"/>
      <c r="B264" s="398"/>
      <c r="C264" s="398"/>
      <c r="D264" s="399"/>
      <c r="E264" s="528"/>
      <c r="F264" s="486"/>
      <c r="G264"/>
      <c r="H264"/>
      <c r="I264"/>
    </row>
    <row r="265" spans="1:9" s="401" customFormat="1" ht="18.75" x14ac:dyDescent="0.25">
      <c r="A265" s="399"/>
      <c r="B265" s="398"/>
      <c r="C265" s="398"/>
      <c r="D265" s="399"/>
      <c r="E265" s="528"/>
      <c r="F265" s="486"/>
      <c r="G265"/>
      <c r="H265"/>
      <c r="I265"/>
    </row>
    <row r="266" spans="1:9" s="401" customFormat="1" ht="36" x14ac:dyDescent="0.25">
      <c r="A266" s="399"/>
      <c r="B266" s="490" t="s">
        <v>577</v>
      </c>
      <c r="C266" s="398"/>
      <c r="D266" s="399"/>
      <c r="E266" s="528"/>
      <c r="F266" s="486"/>
      <c r="G266"/>
      <c r="H266"/>
      <c r="I266"/>
    </row>
    <row r="267" spans="1:9" s="401" customFormat="1" ht="18.75" x14ac:dyDescent="0.25">
      <c r="A267" s="399"/>
      <c r="B267" s="398"/>
      <c r="C267" s="398"/>
      <c r="D267" s="399"/>
      <c r="E267" s="528"/>
      <c r="F267" s="400"/>
      <c r="G267"/>
      <c r="H267"/>
      <c r="I267"/>
    </row>
    <row r="268" spans="1:9" s="208" customFormat="1" ht="16.5" x14ac:dyDescent="0.25">
      <c r="A268" s="206" t="s">
        <v>6</v>
      </c>
      <c r="B268" s="214" t="s">
        <v>678</v>
      </c>
      <c r="C268" s="205">
        <v>35</v>
      </c>
      <c r="D268" s="206" t="s">
        <v>22</v>
      </c>
      <c r="E268" s="532">
        <v>800</v>
      </c>
      <c r="F268" s="289">
        <f>C268*E268</f>
        <v>28000</v>
      </c>
      <c r="G268" s="289"/>
      <c r="H268" s="284"/>
    </row>
    <row r="269" spans="1:9" s="208" customFormat="1" ht="16.5" x14ac:dyDescent="0.25">
      <c r="A269" s="206"/>
      <c r="B269" s="214"/>
      <c r="C269" s="205"/>
      <c r="D269" s="206"/>
      <c r="E269" s="320"/>
      <c r="F269" s="207"/>
      <c r="G269" s="207"/>
    </row>
    <row r="270" spans="1:9" s="208" customFormat="1" ht="16.5" x14ac:dyDescent="0.25">
      <c r="A270" s="206" t="s">
        <v>7</v>
      </c>
      <c r="B270" s="214" t="s">
        <v>580</v>
      </c>
      <c r="C270" s="205">
        <v>50</v>
      </c>
      <c r="D270" s="206" t="s">
        <v>22</v>
      </c>
      <c r="E270" s="532">
        <f>E268</f>
        <v>800</v>
      </c>
      <c r="F270" s="289">
        <f>C270*E270</f>
        <v>40000</v>
      </c>
      <c r="G270" s="289"/>
      <c r="H270" s="284"/>
    </row>
    <row r="271" spans="1:9" s="208" customFormat="1" ht="12.75" customHeight="1" x14ac:dyDescent="0.25">
      <c r="A271" s="206"/>
      <c r="B271" s="214"/>
      <c r="C271" s="205"/>
      <c r="D271" s="206"/>
      <c r="E271" s="532"/>
      <c r="F271" s="289"/>
      <c r="G271" s="289"/>
    </row>
    <row r="272" spans="1:9" s="208" customFormat="1" ht="16.5" x14ac:dyDescent="0.25">
      <c r="A272" s="206" t="s">
        <v>8</v>
      </c>
      <c r="B272" s="214" t="s">
        <v>188</v>
      </c>
      <c r="C272" s="205">
        <v>49</v>
      </c>
      <c r="D272" s="206" t="s">
        <v>22</v>
      </c>
      <c r="E272" s="532">
        <f>E270</f>
        <v>800</v>
      </c>
      <c r="F272" s="289">
        <f>C272*E272</f>
        <v>39200</v>
      </c>
      <c r="G272" s="289"/>
      <c r="H272" s="284"/>
    </row>
    <row r="273" spans="1:9" s="208" customFormat="1" ht="12.75" customHeight="1" x14ac:dyDescent="0.25">
      <c r="A273" s="206"/>
      <c r="B273" s="214"/>
      <c r="C273" s="205"/>
      <c r="D273" s="206"/>
      <c r="E273" s="320"/>
      <c r="F273" s="207"/>
      <c r="G273" s="207"/>
    </row>
    <row r="274" spans="1:9" s="208" customFormat="1" ht="16.5" x14ac:dyDescent="0.25">
      <c r="A274" s="206" t="s">
        <v>9</v>
      </c>
      <c r="B274" s="214" t="s">
        <v>1034</v>
      </c>
      <c r="C274" s="205">
        <v>62</v>
      </c>
      <c r="D274" s="206" t="s">
        <v>22</v>
      </c>
      <c r="E274" s="532">
        <f>E272</f>
        <v>800</v>
      </c>
      <c r="F274" s="289">
        <f>C274*E274</f>
        <v>49600</v>
      </c>
      <c r="G274" s="289"/>
      <c r="H274" s="284"/>
    </row>
    <row r="275" spans="1:9" s="208" customFormat="1" ht="12.75" customHeight="1" x14ac:dyDescent="0.25">
      <c r="A275" s="206"/>
      <c r="B275" s="214"/>
      <c r="C275" s="205"/>
      <c r="D275" s="206"/>
      <c r="E275" s="532"/>
      <c r="F275" s="289"/>
      <c r="G275" s="289"/>
    </row>
    <row r="276" spans="1:9" s="208" customFormat="1" ht="16.5" x14ac:dyDescent="0.25">
      <c r="A276" s="206" t="s">
        <v>10</v>
      </c>
      <c r="B276" s="214" t="s">
        <v>191</v>
      </c>
      <c r="C276" s="205">
        <v>66</v>
      </c>
      <c r="D276" s="206" t="s">
        <v>22</v>
      </c>
      <c r="E276" s="532">
        <v>750</v>
      </c>
      <c r="F276" s="289">
        <f>C276*E276</f>
        <v>49500</v>
      </c>
      <c r="G276" s="289"/>
      <c r="H276" s="284"/>
    </row>
    <row r="277" spans="1:9" s="401" customFormat="1" ht="18.75" x14ac:dyDescent="0.25">
      <c r="A277" s="399"/>
      <c r="B277" s="398"/>
      <c r="C277" s="407"/>
      <c r="D277" s="399"/>
      <c r="E277" s="528"/>
      <c r="F277" s="486"/>
      <c r="I277"/>
    </row>
    <row r="278" spans="1:9" s="401" customFormat="1" ht="18.75" x14ac:dyDescent="0.25">
      <c r="A278" s="399"/>
      <c r="B278" s="398"/>
      <c r="C278" s="407"/>
      <c r="D278" s="399"/>
      <c r="E278" s="528"/>
      <c r="F278" s="486"/>
      <c r="I278"/>
    </row>
    <row r="279" spans="1:9" s="401" customFormat="1" ht="18.75" x14ac:dyDescent="0.25">
      <c r="A279" s="399"/>
      <c r="B279" s="404" t="s">
        <v>84</v>
      </c>
      <c r="C279" s="411"/>
      <c r="D279" s="402"/>
      <c r="E279" s="537"/>
      <c r="F279" s="412"/>
      <c r="I279"/>
    </row>
    <row r="280" spans="1:9" s="401" customFormat="1" ht="18.75" x14ac:dyDescent="0.25">
      <c r="A280" s="399"/>
      <c r="B280" s="413"/>
      <c r="C280" s="411"/>
      <c r="D280" s="402"/>
      <c r="E280" s="537"/>
      <c r="F280" s="412"/>
      <c r="I280"/>
    </row>
    <row r="281" spans="1:9" s="401" customFormat="1" ht="33" x14ac:dyDescent="0.25">
      <c r="A281" s="399"/>
      <c r="B281" s="414" t="s">
        <v>582</v>
      </c>
      <c r="C281" s="411"/>
      <c r="D281" s="402"/>
      <c r="E281" s="537"/>
      <c r="F281" s="412"/>
      <c r="I281"/>
    </row>
    <row r="282" spans="1:9" s="401" customFormat="1" ht="18.75" x14ac:dyDescent="0.25">
      <c r="A282" s="399"/>
      <c r="B282" s="414"/>
      <c r="C282" s="411"/>
      <c r="D282" s="402"/>
      <c r="E282" s="537"/>
      <c r="F282" s="412"/>
      <c r="I282"/>
    </row>
    <row r="283" spans="1:9" s="401" customFormat="1" ht="18.75" x14ac:dyDescent="0.25">
      <c r="A283" s="399" t="s">
        <v>9</v>
      </c>
      <c r="B283" s="415" t="s">
        <v>680</v>
      </c>
      <c r="C283" s="398">
        <v>152</v>
      </c>
      <c r="D283" s="399" t="s">
        <v>922</v>
      </c>
      <c r="E283" s="528">
        <v>10300</v>
      </c>
      <c r="F283" s="400">
        <f>C283*E283</f>
        <v>1565600</v>
      </c>
      <c r="I283"/>
    </row>
    <row r="284" spans="1:9" s="401" customFormat="1" ht="18.75" x14ac:dyDescent="0.25">
      <c r="A284" s="399"/>
      <c r="B284" s="398"/>
      <c r="C284" s="398"/>
      <c r="D284" s="399"/>
      <c r="E284" s="528"/>
      <c r="F284" s="400"/>
      <c r="I284"/>
    </row>
    <row r="285" spans="1:9" s="401" customFormat="1" ht="18.75" x14ac:dyDescent="0.25">
      <c r="A285" s="399"/>
      <c r="B285" s="404" t="s">
        <v>147</v>
      </c>
      <c r="C285" s="398"/>
      <c r="D285" s="399"/>
      <c r="E285" s="528"/>
      <c r="F285" s="418"/>
      <c r="I285"/>
    </row>
    <row r="286" spans="1:9" s="401" customFormat="1" ht="18.75" x14ac:dyDescent="0.25">
      <c r="A286" s="399"/>
      <c r="B286" s="398"/>
      <c r="C286" s="398"/>
      <c r="D286" s="399"/>
      <c r="E286" s="528"/>
      <c r="F286" s="418"/>
      <c r="I286"/>
    </row>
    <row r="287" spans="1:9" s="401" customFormat="1" ht="33" x14ac:dyDescent="0.25">
      <c r="A287" s="399"/>
      <c r="B287" s="414" t="s">
        <v>583</v>
      </c>
      <c r="C287" s="398"/>
      <c r="D287" s="399"/>
      <c r="E287" s="528"/>
      <c r="F287" s="418"/>
      <c r="I287"/>
    </row>
    <row r="288" spans="1:9" s="401" customFormat="1" ht="18.75" x14ac:dyDescent="0.25">
      <c r="A288" s="399"/>
      <c r="B288" s="414"/>
      <c r="C288" s="398"/>
      <c r="D288" s="399"/>
      <c r="E288" s="528"/>
      <c r="F288" s="418"/>
      <c r="H288" s="617">
        <f>F289/2</f>
        <v>532000</v>
      </c>
      <c r="I288"/>
    </row>
    <row r="289" spans="1:9" s="401" customFormat="1" ht="18.75" x14ac:dyDescent="0.2">
      <c r="A289" s="399" t="s">
        <v>10</v>
      </c>
      <c r="B289" s="417" t="s">
        <v>1087</v>
      </c>
      <c r="C289" s="398">
        <f>C283*2</f>
        <v>304</v>
      </c>
      <c r="D289" s="399" t="s">
        <v>922</v>
      </c>
      <c r="E289" s="528">
        <v>3500</v>
      </c>
      <c r="F289" s="400">
        <f>C289*E289</f>
        <v>1064000</v>
      </c>
    </row>
    <row r="290" spans="1:9" s="401" customFormat="1" ht="18.75" x14ac:dyDescent="0.2">
      <c r="A290" s="399"/>
      <c r="B290" s="398"/>
      <c r="C290" s="398"/>
      <c r="D290" s="399"/>
      <c r="E290" s="528"/>
      <c r="F290" s="400"/>
    </row>
    <row r="291" spans="1:9" s="401" customFormat="1" ht="18.75" x14ac:dyDescent="0.25">
      <c r="A291" s="399"/>
      <c r="B291" s="404" t="s">
        <v>585</v>
      </c>
      <c r="C291" s="398"/>
      <c r="D291" s="399"/>
      <c r="E291" s="528"/>
      <c r="F291" s="400"/>
    </row>
    <row r="292" spans="1:9" s="401" customFormat="1" ht="18.75" x14ac:dyDescent="0.25">
      <c r="A292" s="399"/>
      <c r="B292" s="398"/>
      <c r="C292" s="398"/>
      <c r="D292" s="399"/>
      <c r="E292" s="528"/>
      <c r="F292" s="400"/>
    </row>
    <row r="293" spans="1:9" s="401" customFormat="1" ht="18.75" x14ac:dyDescent="0.25">
      <c r="A293" s="399"/>
      <c r="B293" s="410" t="s">
        <v>560</v>
      </c>
      <c r="C293" s="398"/>
      <c r="D293" s="399"/>
      <c r="E293" s="528"/>
      <c r="F293" s="418"/>
    </row>
    <row r="294" spans="1:9" s="401" customFormat="1" ht="18.75" x14ac:dyDescent="0.25">
      <c r="A294" s="399"/>
      <c r="B294" s="410"/>
      <c r="C294" s="398"/>
      <c r="D294" s="399"/>
      <c r="E294" s="528"/>
      <c r="F294" s="418"/>
    </row>
    <row r="295" spans="1:9" s="401" customFormat="1" ht="18.75" x14ac:dyDescent="0.25">
      <c r="A295" s="399" t="s">
        <v>12</v>
      </c>
      <c r="B295" s="417" t="s">
        <v>979</v>
      </c>
      <c r="C295" s="398">
        <v>130</v>
      </c>
      <c r="D295" s="399" t="s">
        <v>922</v>
      </c>
      <c r="E295" s="528">
        <v>4200</v>
      </c>
      <c r="F295" s="400">
        <f>C295*E295</f>
        <v>546000</v>
      </c>
    </row>
    <row r="296" spans="1:9" s="401" customFormat="1" ht="18.75" x14ac:dyDescent="0.25">
      <c r="A296" s="399"/>
      <c r="B296" s="417"/>
      <c r="C296" s="398"/>
      <c r="D296" s="399"/>
      <c r="E296" s="528"/>
      <c r="F296" s="400"/>
    </row>
    <row r="297" spans="1:9" s="401" customFormat="1" ht="18.75" x14ac:dyDescent="0.25">
      <c r="A297" s="399"/>
      <c r="B297" s="398"/>
      <c r="C297" s="398"/>
      <c r="D297" s="399"/>
      <c r="E297" s="528"/>
      <c r="F297" s="400"/>
    </row>
    <row r="298" spans="1:9" s="401" customFormat="1" ht="18.75" x14ac:dyDescent="0.25">
      <c r="A298" s="399"/>
      <c r="B298" s="411"/>
      <c r="C298" s="411"/>
      <c r="D298" s="402"/>
      <c r="E298" s="537"/>
      <c r="F298" s="429"/>
    </row>
    <row r="299" spans="1:9" s="401" customFormat="1" ht="18.75" x14ac:dyDescent="0.25">
      <c r="A299" s="399"/>
      <c r="B299" s="411"/>
      <c r="C299" s="411"/>
      <c r="D299" s="402"/>
      <c r="E299" s="537"/>
      <c r="F299" s="429"/>
    </row>
    <row r="300" spans="1:9" s="401" customFormat="1" ht="18.75" x14ac:dyDescent="0.25">
      <c r="A300" s="399"/>
      <c r="B300" s="411"/>
      <c r="C300" s="411"/>
      <c r="D300" s="402"/>
      <c r="E300" s="537"/>
      <c r="F300" s="429"/>
    </row>
    <row r="301" spans="1:9" s="401" customFormat="1" ht="18.75" x14ac:dyDescent="0.25">
      <c r="A301" s="399"/>
      <c r="B301" s="411"/>
      <c r="C301" s="411"/>
      <c r="D301" s="402"/>
      <c r="E301" s="537"/>
      <c r="F301" s="429"/>
    </row>
    <row r="302" spans="1:9" s="401" customFormat="1" ht="18.75" x14ac:dyDescent="0.25">
      <c r="A302" s="399"/>
      <c r="B302" s="411" t="s">
        <v>520</v>
      </c>
      <c r="C302" s="411"/>
      <c r="D302" s="402"/>
      <c r="E302" s="537" t="s">
        <v>15</v>
      </c>
      <c r="F302" s="429">
        <f>SUM(F260:F295)</f>
        <v>3920735</v>
      </c>
    </row>
    <row r="303" spans="1:9" s="401" customFormat="1" ht="18.75" x14ac:dyDescent="0.25">
      <c r="A303" s="399"/>
      <c r="B303" s="403" t="s">
        <v>573</v>
      </c>
      <c r="C303" s="398"/>
      <c r="D303" s="399"/>
      <c r="E303" s="528"/>
      <c r="F303" s="400"/>
      <c r="I303"/>
    </row>
    <row r="304" spans="1:9" s="401" customFormat="1" ht="18.75" x14ac:dyDescent="0.25">
      <c r="A304" s="399"/>
      <c r="B304" s="417"/>
      <c r="C304" s="398"/>
      <c r="D304" s="399"/>
      <c r="E304" s="528"/>
      <c r="F304" s="400"/>
      <c r="I304"/>
    </row>
    <row r="305" spans="1:9" s="535" customFormat="1" ht="16.5" x14ac:dyDescent="0.25">
      <c r="A305" s="530"/>
      <c r="B305" s="550" t="s">
        <v>587</v>
      </c>
      <c r="C305" s="618"/>
      <c r="D305" s="530"/>
      <c r="E305" s="532"/>
      <c r="F305" s="533"/>
      <c r="G305" s="533"/>
      <c r="H305" s="284"/>
    </row>
    <row r="306" spans="1:9" s="535" customFormat="1" ht="16.5" x14ac:dyDescent="0.25">
      <c r="A306" s="530"/>
      <c r="B306" s="531"/>
      <c r="C306" s="618"/>
      <c r="D306" s="530"/>
      <c r="E306" s="532"/>
      <c r="F306" s="533"/>
      <c r="G306" s="533"/>
      <c r="H306" s="284"/>
    </row>
    <row r="307" spans="1:9" s="535" customFormat="1" ht="16.5" x14ac:dyDescent="0.25">
      <c r="A307" s="530"/>
      <c r="B307" s="619" t="s">
        <v>588</v>
      </c>
      <c r="C307" s="618"/>
      <c r="D307" s="530"/>
      <c r="E307" s="532"/>
      <c r="F307" s="533"/>
      <c r="G307" s="533"/>
      <c r="H307" s="284"/>
    </row>
    <row r="308" spans="1:9" s="535" customFormat="1" ht="16.5" x14ac:dyDescent="0.25">
      <c r="A308" s="530"/>
      <c r="B308" s="620"/>
      <c r="C308" s="618"/>
      <c r="D308" s="530"/>
      <c r="E308" s="532"/>
      <c r="F308" s="533"/>
      <c r="G308" s="533"/>
      <c r="H308" s="284"/>
    </row>
    <row r="309" spans="1:9" s="535" customFormat="1" ht="16.5" x14ac:dyDescent="0.25">
      <c r="A309" s="530" t="s">
        <v>2</v>
      </c>
      <c r="B309" s="621" t="s">
        <v>589</v>
      </c>
      <c r="C309" s="551">
        <f>C295</f>
        <v>130</v>
      </c>
      <c r="D309" s="530" t="s">
        <v>511</v>
      </c>
      <c r="E309" s="532">
        <v>12000</v>
      </c>
      <c r="F309" s="533">
        <f>C309*E309</f>
        <v>1560000</v>
      </c>
      <c r="G309" s="533"/>
      <c r="H309" s="284"/>
    </row>
    <row r="310" spans="1:9" s="535" customFormat="1" ht="14.25" customHeight="1" x14ac:dyDescent="0.25">
      <c r="A310" s="530"/>
      <c r="B310" s="622"/>
      <c r="C310" s="551"/>
      <c r="D310" s="530"/>
      <c r="E310" s="532"/>
      <c r="F310" s="533"/>
      <c r="G310" s="533"/>
      <c r="H310" s="284"/>
    </row>
    <row r="311" spans="1:9" s="535" customFormat="1" ht="16.5" x14ac:dyDescent="0.25">
      <c r="A311" s="530" t="s">
        <v>4</v>
      </c>
      <c r="B311" s="623" t="s">
        <v>1088</v>
      </c>
      <c r="C311" s="551"/>
      <c r="D311" s="530" t="s">
        <v>511</v>
      </c>
      <c r="E311" s="532">
        <v>10000</v>
      </c>
      <c r="F311" s="533">
        <f>C311*E311</f>
        <v>0</v>
      </c>
      <c r="G311" s="533"/>
      <c r="H311" s="284"/>
    </row>
    <row r="312" spans="1:9" s="535" customFormat="1" ht="12" customHeight="1" x14ac:dyDescent="0.25">
      <c r="A312" s="530"/>
      <c r="B312" s="623"/>
      <c r="C312" s="551"/>
      <c r="D312" s="530"/>
      <c r="E312" s="532"/>
      <c r="F312" s="533"/>
      <c r="G312" s="533"/>
      <c r="H312" s="284"/>
    </row>
    <row r="313" spans="1:9" s="535" customFormat="1" ht="16.5" x14ac:dyDescent="0.25">
      <c r="A313" s="530" t="s">
        <v>5</v>
      </c>
      <c r="B313" s="623" t="s">
        <v>591</v>
      </c>
      <c r="C313" s="551">
        <v>4</v>
      </c>
      <c r="D313" s="530" t="s">
        <v>3</v>
      </c>
      <c r="E313" s="532">
        <v>6500</v>
      </c>
      <c r="F313" s="533">
        <f>C313*E313</f>
        <v>26000</v>
      </c>
      <c r="G313" s="533"/>
      <c r="H313" s="284"/>
    </row>
    <row r="314" spans="1:9" s="535" customFormat="1" ht="16.5" x14ac:dyDescent="0.25">
      <c r="A314" s="530"/>
      <c r="B314" s="623"/>
      <c r="C314" s="551"/>
      <c r="D314" s="530"/>
      <c r="E314" s="532"/>
      <c r="F314" s="533"/>
      <c r="G314" s="533"/>
      <c r="H314" s="284"/>
    </row>
    <row r="315" spans="1:9" s="401" customFormat="1" ht="18.75" x14ac:dyDescent="0.25">
      <c r="A315" s="399"/>
      <c r="B315" s="404" t="s">
        <v>592</v>
      </c>
      <c r="C315" s="398"/>
      <c r="D315" s="399"/>
      <c r="E315" s="528"/>
      <c r="F315" s="400"/>
      <c r="I315"/>
    </row>
    <row r="316" spans="1:9" s="401" customFormat="1" ht="18.75" x14ac:dyDescent="0.25">
      <c r="A316" s="399"/>
      <c r="B316" s="398"/>
      <c r="C316" s="398"/>
      <c r="D316" s="399"/>
      <c r="E316" s="528"/>
      <c r="F316" s="400"/>
      <c r="I316"/>
    </row>
    <row r="317" spans="1:9" s="401" customFormat="1" ht="33" x14ac:dyDescent="0.25">
      <c r="A317" s="399"/>
      <c r="B317" s="414" t="s">
        <v>950</v>
      </c>
      <c r="C317" s="398"/>
      <c r="D317" s="399"/>
      <c r="E317" s="528"/>
      <c r="F317" s="400"/>
      <c r="I317"/>
    </row>
    <row r="318" spans="1:9" s="401" customFormat="1" ht="18.75" x14ac:dyDescent="0.25">
      <c r="A318" s="399"/>
      <c r="B318" s="398"/>
      <c r="C318" s="398"/>
      <c r="D318" s="399"/>
      <c r="E318" s="528"/>
      <c r="F318" s="400"/>
      <c r="I318"/>
    </row>
    <row r="319" spans="1:9" s="401" customFormat="1" ht="18.75" x14ac:dyDescent="0.25">
      <c r="A319" s="399" t="s">
        <v>7</v>
      </c>
      <c r="B319" s="417" t="s">
        <v>24</v>
      </c>
      <c r="C319" s="398">
        <f>C283</f>
        <v>152</v>
      </c>
      <c r="D319" s="399" t="s">
        <v>35</v>
      </c>
      <c r="E319" s="528">
        <v>2200</v>
      </c>
      <c r="F319" s="486">
        <f>C319*E319</f>
        <v>334400</v>
      </c>
      <c r="G319"/>
      <c r="H319"/>
      <c r="I319"/>
    </row>
    <row r="320" spans="1:9" s="401" customFormat="1" ht="18.75" x14ac:dyDescent="0.25">
      <c r="A320" s="399"/>
      <c r="B320" s="398"/>
      <c r="C320" s="398"/>
      <c r="D320" s="399"/>
      <c r="E320" s="528"/>
      <c r="F320" s="486"/>
      <c r="G320"/>
      <c r="H320"/>
      <c r="I320"/>
    </row>
    <row r="321" spans="1:9" s="401" customFormat="1" ht="18.75" x14ac:dyDescent="0.25">
      <c r="A321" s="399"/>
      <c r="B321" s="398"/>
      <c r="C321" s="398"/>
      <c r="D321" s="399"/>
      <c r="E321" s="528"/>
      <c r="F321" s="486"/>
      <c r="G321"/>
      <c r="H321"/>
      <c r="I321"/>
    </row>
    <row r="322" spans="1:9" s="401" customFormat="1" ht="18.75" x14ac:dyDescent="0.25">
      <c r="A322" s="399"/>
      <c r="B322" s="411" t="s">
        <v>520</v>
      </c>
      <c r="C322" s="411"/>
      <c r="D322" s="402"/>
      <c r="E322" s="537" t="s">
        <v>15</v>
      </c>
      <c r="F322" s="412">
        <f>SUM(F304:F320)</f>
        <v>1920400</v>
      </c>
      <c r="G322"/>
      <c r="H322"/>
      <c r="I322"/>
    </row>
    <row r="323" spans="1:9" s="401" customFormat="1" ht="18.75" x14ac:dyDescent="0.25">
      <c r="A323" s="399"/>
      <c r="B323" s="411"/>
      <c r="C323" s="411"/>
      <c r="D323" s="402"/>
      <c r="E323" s="537"/>
      <c r="F323" s="412"/>
      <c r="G323"/>
      <c r="H323"/>
      <c r="I323"/>
    </row>
    <row r="324" spans="1:9" s="401" customFormat="1" ht="18.75" x14ac:dyDescent="0.25">
      <c r="A324" s="399"/>
      <c r="B324" s="411"/>
      <c r="C324" s="411"/>
      <c r="D324" s="402"/>
      <c r="E324" s="537"/>
      <c r="F324" s="412"/>
      <c r="G324"/>
      <c r="H324"/>
      <c r="I324"/>
    </row>
    <row r="325" spans="1:9" s="401" customFormat="1" ht="18.75" x14ac:dyDescent="0.25">
      <c r="A325" s="399"/>
      <c r="B325" s="403" t="s">
        <v>531</v>
      </c>
      <c r="C325" s="398"/>
      <c r="D325" s="399"/>
      <c r="E325" s="528"/>
      <c r="F325" s="418"/>
      <c r="G325"/>
      <c r="H325"/>
      <c r="I325"/>
    </row>
    <row r="326" spans="1:9" s="401" customFormat="1" ht="18.75" x14ac:dyDescent="0.25">
      <c r="A326" s="399"/>
      <c r="B326" s="410"/>
      <c r="C326" s="398"/>
      <c r="D326" s="399"/>
      <c r="E326" s="528"/>
      <c r="F326" s="418"/>
      <c r="G326"/>
      <c r="H326"/>
      <c r="I326"/>
    </row>
    <row r="327" spans="1:9" s="401" customFormat="1" ht="18.75" x14ac:dyDescent="0.25">
      <c r="A327" s="399"/>
      <c r="B327" s="484" t="s">
        <v>980</v>
      </c>
      <c r="C327" s="398"/>
      <c r="D327" s="399"/>
      <c r="E327" s="528">
        <f>F255</f>
        <v>14414000</v>
      </c>
      <c r="F327" s="418"/>
      <c r="G327"/>
      <c r="H327"/>
      <c r="I327"/>
    </row>
    <row r="328" spans="1:9" s="401" customFormat="1" ht="18.75" x14ac:dyDescent="0.25">
      <c r="A328" s="399"/>
      <c r="B328" s="484"/>
      <c r="C328" s="398"/>
      <c r="D328" s="399"/>
      <c r="E328" s="528"/>
      <c r="F328" s="418"/>
      <c r="G328"/>
      <c r="H328"/>
      <c r="I328"/>
    </row>
    <row r="329" spans="1:9" s="401" customFormat="1" ht="18.75" x14ac:dyDescent="0.25">
      <c r="A329" s="399"/>
      <c r="B329" s="484" t="s">
        <v>566</v>
      </c>
      <c r="C329" s="398"/>
      <c r="D329" s="399"/>
      <c r="E329" s="528">
        <f>F302</f>
        <v>3920735</v>
      </c>
      <c r="F329" s="418"/>
      <c r="G329"/>
      <c r="H329"/>
      <c r="I329"/>
    </row>
    <row r="330" spans="1:9" s="401" customFormat="1" ht="18.75" x14ac:dyDescent="0.25">
      <c r="A330" s="399"/>
      <c r="B330" s="484"/>
      <c r="C330" s="398"/>
      <c r="D330" s="399"/>
      <c r="E330" s="528"/>
      <c r="F330" s="400"/>
      <c r="G330"/>
      <c r="H330"/>
      <c r="I330"/>
    </row>
    <row r="331" spans="1:9" s="401" customFormat="1" ht="18.75" x14ac:dyDescent="0.25">
      <c r="A331" s="399"/>
      <c r="B331" s="484" t="s">
        <v>567</v>
      </c>
      <c r="C331" s="398"/>
      <c r="D331" s="399"/>
      <c r="E331" s="528">
        <f>F322</f>
        <v>1920400</v>
      </c>
      <c r="F331" s="418"/>
      <c r="G331"/>
      <c r="H331"/>
      <c r="I331"/>
    </row>
    <row r="332" spans="1:9" s="401" customFormat="1" ht="18.75" x14ac:dyDescent="0.25">
      <c r="A332" s="399"/>
      <c r="B332" s="417"/>
      <c r="C332" s="398"/>
      <c r="D332" s="399"/>
      <c r="E332" s="528"/>
      <c r="F332" s="400"/>
      <c r="G332"/>
      <c r="H332"/>
      <c r="I332"/>
    </row>
    <row r="333" spans="1:9" s="401" customFormat="1" ht="18.75" x14ac:dyDescent="0.25">
      <c r="A333" s="399"/>
      <c r="B333" s="417"/>
      <c r="C333" s="398"/>
      <c r="D333" s="399"/>
      <c r="E333" s="528"/>
      <c r="F333" s="400"/>
      <c r="G333"/>
      <c r="H333"/>
      <c r="I333"/>
    </row>
    <row r="334" spans="1:9" s="401" customFormat="1" ht="18.75" x14ac:dyDescent="0.25">
      <c r="A334" s="399"/>
      <c r="B334" s="417"/>
      <c r="C334" s="398"/>
      <c r="D334" s="399"/>
      <c r="E334" s="528"/>
      <c r="F334" s="400"/>
      <c r="G334"/>
      <c r="H334"/>
      <c r="I334"/>
    </row>
    <row r="335" spans="1:9" s="401" customFormat="1" ht="18.75" x14ac:dyDescent="0.25">
      <c r="A335" s="399"/>
      <c r="B335" s="403" t="s">
        <v>163</v>
      </c>
      <c r="C335" s="398"/>
      <c r="D335" s="399"/>
      <c r="E335" s="528"/>
      <c r="F335" s="418"/>
      <c r="G335"/>
      <c r="H335"/>
      <c r="I335"/>
    </row>
    <row r="336" spans="1:9" s="401" customFormat="1" ht="18.75" x14ac:dyDescent="0.25">
      <c r="A336" s="399"/>
      <c r="B336" s="411" t="s">
        <v>534</v>
      </c>
      <c r="C336" s="411"/>
      <c r="D336" s="402"/>
      <c r="E336" s="537" t="s">
        <v>15</v>
      </c>
      <c r="F336" s="412">
        <f>SUM(E325:E332)</f>
        <v>20255135</v>
      </c>
      <c r="G336"/>
      <c r="H336"/>
      <c r="I336"/>
    </row>
    <row r="337" spans="1:9" s="401" customFormat="1" ht="18.75" x14ac:dyDescent="0.25">
      <c r="A337" s="399"/>
      <c r="B337" s="403" t="s">
        <v>601</v>
      </c>
      <c r="C337" s="398"/>
      <c r="D337" s="399"/>
      <c r="E337" s="528"/>
      <c r="F337" s="400"/>
      <c r="G337"/>
      <c r="H337"/>
      <c r="I337"/>
    </row>
    <row r="338" spans="1:9" s="401" customFormat="1" ht="18.75" x14ac:dyDescent="0.25">
      <c r="A338" s="399"/>
      <c r="B338" s="403"/>
      <c r="C338" s="398"/>
      <c r="D338" s="399"/>
      <c r="E338" s="528"/>
      <c r="F338" s="400"/>
      <c r="G338"/>
      <c r="H338"/>
      <c r="I338"/>
    </row>
    <row r="339" spans="1:9" s="401" customFormat="1" ht="18.75" x14ac:dyDescent="0.25">
      <c r="A339" s="399"/>
      <c r="B339" s="403" t="s">
        <v>236</v>
      </c>
      <c r="C339" s="398"/>
      <c r="D339" s="399"/>
      <c r="E339" s="528"/>
      <c r="F339" s="400"/>
      <c r="G339"/>
      <c r="H339"/>
      <c r="I339"/>
    </row>
    <row r="340" spans="1:9" s="401" customFormat="1" ht="18.75" x14ac:dyDescent="0.25">
      <c r="A340" s="399"/>
      <c r="B340" s="410" t="s">
        <v>1089</v>
      </c>
      <c r="C340" s="398"/>
      <c r="D340" s="399"/>
      <c r="E340" s="528"/>
      <c r="F340" s="400"/>
      <c r="G340"/>
      <c r="H340"/>
      <c r="I340"/>
    </row>
    <row r="341" spans="1:9" s="401" customFormat="1" ht="18.75" x14ac:dyDescent="0.25">
      <c r="A341" s="399"/>
      <c r="B341" s="398"/>
      <c r="C341" s="398"/>
      <c r="D341" s="399"/>
      <c r="E341" s="528"/>
      <c r="F341" s="400"/>
      <c r="G341"/>
      <c r="H341"/>
      <c r="I341"/>
    </row>
    <row r="342" spans="1:9" s="401" customFormat="1" ht="18.75" x14ac:dyDescent="0.25">
      <c r="A342" s="399"/>
      <c r="B342" s="404" t="s">
        <v>283</v>
      </c>
      <c r="C342" s="398"/>
      <c r="D342" s="399"/>
      <c r="E342" s="528"/>
      <c r="F342" s="400"/>
      <c r="G342"/>
      <c r="H342"/>
      <c r="I342"/>
    </row>
    <row r="343" spans="1:9" s="401" customFormat="1" ht="33" x14ac:dyDescent="0.25">
      <c r="A343" s="399"/>
      <c r="B343" s="414" t="s">
        <v>611</v>
      </c>
      <c r="C343" s="398"/>
      <c r="D343" s="399"/>
      <c r="E343" s="528"/>
      <c r="F343" s="400"/>
      <c r="G343"/>
      <c r="H343"/>
      <c r="I343"/>
    </row>
    <row r="344" spans="1:9" s="401" customFormat="1" ht="18.75" x14ac:dyDescent="0.25">
      <c r="A344" s="399" t="s">
        <v>2</v>
      </c>
      <c r="B344" s="398" t="s">
        <v>612</v>
      </c>
      <c r="C344" s="407">
        <f>C159*2+C87</f>
        <v>329</v>
      </c>
      <c r="D344" s="399" t="s">
        <v>35</v>
      </c>
      <c r="E344" s="528">
        <v>3500</v>
      </c>
      <c r="F344" s="400">
        <f>E344*C344</f>
        <v>1151500</v>
      </c>
      <c r="G344"/>
      <c r="H344"/>
      <c r="I344"/>
    </row>
    <row r="345" spans="1:9" s="401" customFormat="1" ht="33" x14ac:dyDescent="0.25">
      <c r="A345" s="399" t="s">
        <v>4</v>
      </c>
      <c r="B345" s="415" t="s">
        <v>613</v>
      </c>
      <c r="C345" s="398">
        <v>17</v>
      </c>
      <c r="D345" s="399" t="s">
        <v>22</v>
      </c>
      <c r="E345" s="528">
        <f>E344*0.3</f>
        <v>1050</v>
      </c>
      <c r="F345" s="400">
        <f>E345*C345</f>
        <v>17850</v>
      </c>
      <c r="G345"/>
      <c r="H345"/>
      <c r="I345"/>
    </row>
    <row r="346" spans="1:9" s="401" customFormat="1" ht="18.75" x14ac:dyDescent="0.25">
      <c r="A346" s="399"/>
      <c r="B346" s="415"/>
      <c r="C346" s="398"/>
      <c r="D346" s="399"/>
      <c r="E346" s="528"/>
      <c r="F346" s="400"/>
      <c r="G346"/>
      <c r="H346"/>
      <c r="I346"/>
    </row>
    <row r="347" spans="1:9" s="535" customFormat="1" ht="16.5" x14ac:dyDescent="0.25">
      <c r="A347" s="530"/>
      <c r="B347" s="550" t="s">
        <v>614</v>
      </c>
      <c r="C347" s="551"/>
      <c r="D347" s="530"/>
      <c r="E347" s="529"/>
      <c r="F347" s="533"/>
    </row>
    <row r="348" spans="1:9" s="535" customFormat="1" ht="16.5" x14ac:dyDescent="0.25">
      <c r="A348" s="530"/>
      <c r="B348" s="531" t="s">
        <v>615</v>
      </c>
      <c r="C348" s="552"/>
      <c r="D348" s="530"/>
      <c r="E348" s="529"/>
      <c r="F348" s="533"/>
    </row>
    <row r="349" spans="1:9" s="535" customFormat="1" ht="30" x14ac:dyDescent="0.25">
      <c r="A349" s="530"/>
      <c r="B349" s="553" t="s">
        <v>616</v>
      </c>
      <c r="C349" s="551"/>
      <c r="D349" s="530"/>
      <c r="E349" s="529"/>
      <c r="F349" s="533"/>
    </row>
    <row r="350" spans="1:9" s="535" customFormat="1" ht="16.5" x14ac:dyDescent="0.25">
      <c r="A350" s="530" t="s">
        <v>5</v>
      </c>
      <c r="B350" s="536" t="s">
        <v>617</v>
      </c>
      <c r="C350" s="551">
        <f>C344</f>
        <v>329</v>
      </c>
      <c r="D350" s="530" t="s">
        <v>35</v>
      </c>
      <c r="E350" s="529">
        <v>1400</v>
      </c>
      <c r="F350" s="533">
        <f>E350*C350</f>
        <v>460600</v>
      </c>
    </row>
    <row r="351" spans="1:9" s="535" customFormat="1" ht="25.5" customHeight="1" x14ac:dyDescent="0.25">
      <c r="A351" s="530" t="s">
        <v>6</v>
      </c>
      <c r="B351" s="554" t="s">
        <v>618</v>
      </c>
      <c r="C351" s="551">
        <f>C345</f>
        <v>17</v>
      </c>
      <c r="D351" s="530" t="s">
        <v>22</v>
      </c>
      <c r="E351" s="528">
        <f>E350*0.3</f>
        <v>420</v>
      </c>
      <c r="F351" s="533">
        <f>E351*C351</f>
        <v>7140</v>
      </c>
    </row>
    <row r="352" spans="1:9" s="401" customFormat="1" ht="18.75" x14ac:dyDescent="0.25">
      <c r="A352" s="399"/>
      <c r="B352" s="411" t="s">
        <v>152</v>
      </c>
      <c r="C352" s="399"/>
      <c r="D352" s="399"/>
      <c r="E352" s="528"/>
      <c r="F352" s="400"/>
      <c r="G352"/>
      <c r="H352"/>
      <c r="I352"/>
    </row>
    <row r="353" spans="1:9" s="401" customFormat="1" ht="33" x14ac:dyDescent="0.25">
      <c r="A353" s="399"/>
      <c r="B353" s="415" t="s">
        <v>619</v>
      </c>
      <c r="C353" s="398"/>
      <c r="E353" s="528"/>
      <c r="F353" s="400"/>
      <c r="G353"/>
      <c r="H353"/>
      <c r="I353"/>
    </row>
    <row r="354" spans="1:9" s="401" customFormat="1" ht="18.75" x14ac:dyDescent="0.25">
      <c r="A354" s="399" t="s">
        <v>5</v>
      </c>
      <c r="B354" s="398" t="s">
        <v>612</v>
      </c>
      <c r="C354" s="424">
        <f>C344</f>
        <v>329</v>
      </c>
      <c r="D354" s="399" t="s">
        <v>35</v>
      </c>
      <c r="E354" s="528">
        <v>2200</v>
      </c>
      <c r="F354" s="400">
        <f>C354*E354</f>
        <v>723800</v>
      </c>
      <c r="G354"/>
      <c r="H354"/>
      <c r="I354"/>
    </row>
    <row r="355" spans="1:9" s="401" customFormat="1" ht="18.75" x14ac:dyDescent="0.25">
      <c r="A355" s="399" t="s">
        <v>6</v>
      </c>
      <c r="B355" s="398" t="s">
        <v>620</v>
      </c>
      <c r="C355" s="398">
        <f>C345</f>
        <v>17</v>
      </c>
      <c r="D355" s="399" t="s">
        <v>22</v>
      </c>
      <c r="E355" s="528">
        <f>E354*0.3</f>
        <v>660</v>
      </c>
      <c r="F355" s="400">
        <f>C355*E355</f>
        <v>11220</v>
      </c>
      <c r="G355"/>
      <c r="H355"/>
      <c r="I355"/>
    </row>
    <row r="356" spans="1:9" s="401" customFormat="1" ht="18.75" x14ac:dyDescent="0.25">
      <c r="A356" s="399"/>
      <c r="B356" s="398"/>
      <c r="C356" s="398"/>
      <c r="D356" s="399"/>
      <c r="E356" s="528"/>
      <c r="F356" s="400"/>
      <c r="G356"/>
      <c r="H356"/>
      <c r="I356"/>
    </row>
    <row r="357" spans="1:9" ht="18.75" x14ac:dyDescent="0.25">
      <c r="A357" s="399"/>
      <c r="B357" s="403" t="s">
        <v>628</v>
      </c>
      <c r="C357" s="409"/>
      <c r="D357" s="399"/>
      <c r="E357" s="528"/>
      <c r="F357" s="418"/>
    </row>
    <row r="358" spans="1:9" ht="18.75" x14ac:dyDescent="0.25">
      <c r="A358" s="399"/>
      <c r="B358" s="398" t="s">
        <v>629</v>
      </c>
      <c r="C358" s="409"/>
      <c r="D358" s="399"/>
      <c r="E358" s="528"/>
      <c r="F358" s="418"/>
    </row>
    <row r="359" spans="1:9" ht="33" x14ac:dyDescent="0.25">
      <c r="A359" s="399"/>
      <c r="B359" s="414" t="s">
        <v>630</v>
      </c>
      <c r="C359" s="409"/>
      <c r="D359" s="399"/>
      <c r="E359" s="528"/>
      <c r="F359" s="418"/>
    </row>
    <row r="360" spans="1:9" ht="18.75" x14ac:dyDescent="0.25">
      <c r="A360" s="399" t="s">
        <v>7</v>
      </c>
      <c r="B360" s="398" t="s">
        <v>612</v>
      </c>
      <c r="C360" s="409">
        <f>C87</f>
        <v>173</v>
      </c>
      <c r="D360" s="399" t="s">
        <v>35</v>
      </c>
      <c r="E360" s="528">
        <f>E344</f>
        <v>3500</v>
      </c>
      <c r="F360" s="400">
        <f>C360*E360</f>
        <v>605500</v>
      </c>
    </row>
    <row r="361" spans="1:9" ht="33" x14ac:dyDescent="0.25">
      <c r="A361" s="399" t="s">
        <v>8</v>
      </c>
      <c r="B361" s="422" t="s">
        <v>981</v>
      </c>
      <c r="C361" s="409">
        <v>52</v>
      </c>
      <c r="D361" s="399" t="s">
        <v>22</v>
      </c>
      <c r="E361" s="528">
        <f>E360*0.3</f>
        <v>1050</v>
      </c>
      <c r="F361" s="400">
        <f>E361*C361</f>
        <v>54600</v>
      </c>
    </row>
    <row r="362" spans="1:9" ht="18.75" x14ac:dyDescent="0.25">
      <c r="A362" s="399"/>
      <c r="B362" s="417"/>
      <c r="C362" s="409"/>
      <c r="D362" s="399"/>
      <c r="E362" s="528"/>
      <c r="F362" s="400"/>
    </row>
    <row r="363" spans="1:9" s="535" customFormat="1" ht="33" x14ac:dyDescent="0.25">
      <c r="A363" s="530"/>
      <c r="B363" s="624" t="s">
        <v>621</v>
      </c>
      <c r="C363" s="536"/>
      <c r="D363" s="530"/>
      <c r="E363" s="538"/>
      <c r="F363" s="533"/>
    </row>
    <row r="364" spans="1:9" s="535" customFormat="1" ht="45" x14ac:dyDescent="0.25">
      <c r="A364" s="530"/>
      <c r="B364" s="554" t="s">
        <v>1090</v>
      </c>
      <c r="C364" s="625"/>
      <c r="D364" s="530"/>
      <c r="E364" s="538"/>
      <c r="F364" s="533"/>
    </row>
    <row r="365" spans="1:9" s="535" customFormat="1" ht="16.5" x14ac:dyDescent="0.25">
      <c r="A365" s="530" t="s">
        <v>9</v>
      </c>
      <c r="B365" s="536" t="s">
        <v>633</v>
      </c>
      <c r="C365" s="536"/>
      <c r="D365" s="530" t="s">
        <v>35</v>
      </c>
      <c r="E365" s="538">
        <v>10000</v>
      </c>
      <c r="F365" s="533">
        <f>E365*C365</f>
        <v>0</v>
      </c>
    </row>
    <row r="366" spans="1:9" s="535" customFormat="1" ht="33" x14ac:dyDescent="0.25">
      <c r="A366" s="530"/>
      <c r="B366" s="626" t="s">
        <v>634</v>
      </c>
      <c r="C366" s="627"/>
      <c r="D366" s="530"/>
      <c r="E366" s="538"/>
      <c r="F366" s="533"/>
    </row>
    <row r="367" spans="1:9" s="535" customFormat="1" ht="16.5" x14ac:dyDescent="0.25">
      <c r="A367" s="530"/>
      <c r="B367" s="536" t="s">
        <v>626</v>
      </c>
      <c r="C367" s="627"/>
      <c r="D367" s="530"/>
      <c r="E367" s="538"/>
      <c r="F367" s="533"/>
    </row>
    <row r="368" spans="1:9" s="535" customFormat="1" ht="16.5" x14ac:dyDescent="0.25">
      <c r="A368" s="530" t="s">
        <v>10</v>
      </c>
      <c r="B368" s="536" t="s">
        <v>627</v>
      </c>
      <c r="C368" s="536"/>
      <c r="D368" s="530" t="s">
        <v>35</v>
      </c>
      <c r="E368" s="538">
        <v>2650</v>
      </c>
      <c r="F368" s="533">
        <f>E368*C368</f>
        <v>0</v>
      </c>
    </row>
    <row r="369" spans="1:9" ht="18.75" x14ac:dyDescent="0.25">
      <c r="A369" s="399"/>
      <c r="B369" s="417"/>
      <c r="C369" s="409"/>
      <c r="D369" s="399"/>
      <c r="E369" s="528"/>
      <c r="F369" s="400"/>
    </row>
    <row r="370" spans="1:9" s="535" customFormat="1" ht="16.5" x14ac:dyDescent="0.25">
      <c r="A370" s="530"/>
      <c r="B370" s="550" t="s">
        <v>614</v>
      </c>
      <c r="C370" s="551"/>
      <c r="D370" s="530"/>
      <c r="E370" s="529"/>
      <c r="F370" s="533"/>
    </row>
    <row r="371" spans="1:9" s="535" customFormat="1" ht="16.5" x14ac:dyDescent="0.25">
      <c r="A371" s="530"/>
      <c r="B371" s="531" t="s">
        <v>615</v>
      </c>
      <c r="C371" s="552"/>
      <c r="D371" s="530"/>
      <c r="E371" s="529"/>
      <c r="F371" s="533"/>
    </row>
    <row r="372" spans="1:9" s="535" customFormat="1" ht="30" x14ac:dyDescent="0.25">
      <c r="A372" s="530"/>
      <c r="B372" s="553" t="s">
        <v>616</v>
      </c>
      <c r="C372" s="551"/>
      <c r="D372" s="530"/>
      <c r="E372" s="529"/>
      <c r="F372" s="533"/>
    </row>
    <row r="373" spans="1:9" s="535" customFormat="1" ht="16.5" x14ac:dyDescent="0.25">
      <c r="A373" s="530" t="s">
        <v>5</v>
      </c>
      <c r="B373" s="536" t="s">
        <v>617</v>
      </c>
      <c r="C373" s="551">
        <f>C360</f>
        <v>173</v>
      </c>
      <c r="D373" s="530" t="s">
        <v>35</v>
      </c>
      <c r="E373" s="529">
        <v>1400</v>
      </c>
      <c r="F373" s="533">
        <f>E373*C373</f>
        <v>242200</v>
      </c>
    </row>
    <row r="374" spans="1:9" s="535" customFormat="1" ht="25.5" customHeight="1" x14ac:dyDescent="0.25">
      <c r="A374" s="530" t="s">
        <v>6</v>
      </c>
      <c r="B374" s="554" t="s">
        <v>618</v>
      </c>
      <c r="C374" s="551">
        <f>C361</f>
        <v>52</v>
      </c>
      <c r="D374" s="530" t="s">
        <v>22</v>
      </c>
      <c r="E374" s="528">
        <f>E373*0.3</f>
        <v>420</v>
      </c>
      <c r="F374" s="533">
        <f>E374*C374</f>
        <v>21840</v>
      </c>
    </row>
    <row r="375" spans="1:9" s="535" customFormat="1" ht="16.5" x14ac:dyDescent="0.25">
      <c r="A375" s="530"/>
      <c r="B375" s="554"/>
      <c r="C375" s="551"/>
      <c r="D375" s="530"/>
      <c r="E375" s="529"/>
      <c r="F375" s="533"/>
    </row>
    <row r="376" spans="1:9" ht="18.75" x14ac:dyDescent="0.25">
      <c r="A376" s="399"/>
      <c r="B376" s="411" t="s">
        <v>152</v>
      </c>
      <c r="C376" s="399"/>
      <c r="D376" s="399"/>
      <c r="E376" s="528"/>
      <c r="F376" s="400"/>
    </row>
    <row r="377" spans="1:9" ht="33" x14ac:dyDescent="0.25">
      <c r="A377" s="399"/>
      <c r="B377" s="415" t="s">
        <v>619</v>
      </c>
      <c r="C377" s="398"/>
      <c r="E377" s="528"/>
      <c r="F377" s="400"/>
    </row>
    <row r="378" spans="1:9" ht="18.75" x14ac:dyDescent="0.3">
      <c r="A378" s="399" t="s">
        <v>11</v>
      </c>
      <c r="B378" s="398" t="s">
        <v>612</v>
      </c>
      <c r="C378" s="628">
        <f>C360</f>
        <v>173</v>
      </c>
      <c r="D378" s="399" t="s">
        <v>35</v>
      </c>
      <c r="E378" s="528">
        <f>E354</f>
        <v>2200</v>
      </c>
      <c r="F378" s="400">
        <f>C378*E378</f>
        <v>380600</v>
      </c>
    </row>
    <row r="379" spans="1:9" ht="18.75" x14ac:dyDescent="0.25">
      <c r="A379" s="399" t="s">
        <v>12</v>
      </c>
      <c r="B379" s="398" t="s">
        <v>620</v>
      </c>
      <c r="C379" s="629">
        <f>C374</f>
        <v>52</v>
      </c>
      <c r="D379" s="399" t="s">
        <v>22</v>
      </c>
      <c r="E379" s="528">
        <f>E355</f>
        <v>660</v>
      </c>
      <c r="F379" s="400">
        <f>C379*E379</f>
        <v>34320</v>
      </c>
    </row>
    <row r="380" spans="1:9" ht="18.75" x14ac:dyDescent="0.25">
      <c r="A380" s="399"/>
      <c r="B380" s="417"/>
      <c r="C380" s="409"/>
      <c r="D380" s="399"/>
      <c r="E380" s="528"/>
      <c r="F380" s="400"/>
    </row>
    <row r="381" spans="1:9" ht="18.75" x14ac:dyDescent="0.25">
      <c r="A381" s="399"/>
      <c r="B381" s="417"/>
      <c r="C381" s="409"/>
      <c r="D381" s="399"/>
      <c r="E381" s="528"/>
      <c r="F381" s="400"/>
    </row>
    <row r="382" spans="1:9" s="401" customFormat="1" ht="18.75" x14ac:dyDescent="0.25">
      <c r="A382" s="399"/>
      <c r="B382" s="398"/>
      <c r="C382" s="398"/>
      <c r="D382" s="399"/>
      <c r="E382" s="528"/>
      <c r="F382" s="400"/>
      <c r="G382"/>
      <c r="H382"/>
      <c r="I382"/>
    </row>
    <row r="383" spans="1:9" s="401" customFormat="1" ht="18.75" x14ac:dyDescent="0.25">
      <c r="A383" s="399"/>
      <c r="B383" s="398"/>
      <c r="C383" s="398"/>
      <c r="D383" s="399"/>
      <c r="E383" s="528"/>
      <c r="F383" s="400"/>
      <c r="G383"/>
      <c r="H383"/>
      <c r="I383"/>
    </row>
    <row r="384" spans="1:9" s="401" customFormat="1" ht="18.75" x14ac:dyDescent="0.25">
      <c r="A384" s="399"/>
      <c r="B384" s="411"/>
      <c r="C384" s="411"/>
      <c r="D384" s="402"/>
      <c r="E384" s="537"/>
      <c r="F384" s="296"/>
      <c r="G384"/>
      <c r="H384"/>
      <c r="I384"/>
    </row>
    <row r="385" spans="1:9" s="401" customFormat="1" ht="18.75" x14ac:dyDescent="0.25">
      <c r="A385" s="399"/>
      <c r="B385" s="411"/>
      <c r="C385" s="411"/>
      <c r="D385" s="402"/>
      <c r="E385" s="537"/>
      <c r="F385" s="296"/>
      <c r="G385"/>
      <c r="H385"/>
      <c r="I385"/>
    </row>
    <row r="386" spans="1:9" s="401" customFormat="1" ht="18.75" x14ac:dyDescent="0.25">
      <c r="A386" s="399"/>
      <c r="B386" s="403" t="s">
        <v>236</v>
      </c>
      <c r="C386" s="411"/>
      <c r="D386" s="402"/>
      <c r="E386" s="537"/>
      <c r="F386" s="296"/>
      <c r="G386"/>
      <c r="H386"/>
      <c r="I386"/>
    </row>
    <row r="387" spans="1:9" s="401" customFormat="1" ht="18.75" x14ac:dyDescent="0.25">
      <c r="A387" s="399"/>
      <c r="B387" s="411" t="s">
        <v>638</v>
      </c>
      <c r="C387" s="411"/>
      <c r="D387" s="402"/>
      <c r="E387" s="537" t="s">
        <v>15</v>
      </c>
      <c r="F387" s="296">
        <f>F344+F345+F354+F355+F378+F379+F361+F360</f>
        <v>2979390</v>
      </c>
      <c r="G387"/>
      <c r="H387"/>
      <c r="I387"/>
    </row>
    <row r="388" spans="1:9" s="401" customFormat="1" ht="18.75" x14ac:dyDescent="0.25">
      <c r="A388" s="399"/>
      <c r="B388" s="403" t="s">
        <v>604</v>
      </c>
      <c r="C388" s="398"/>
      <c r="D388" s="399"/>
      <c r="E388" s="528"/>
      <c r="F388" s="400"/>
      <c r="G388"/>
      <c r="H388"/>
      <c r="I388"/>
    </row>
    <row r="389" spans="1:9" s="401" customFormat="1" ht="18.75" x14ac:dyDescent="0.25">
      <c r="A389" s="399"/>
      <c r="B389" s="398"/>
      <c r="C389" s="398"/>
      <c r="D389" s="399"/>
      <c r="E389" s="528"/>
      <c r="F389" s="400"/>
      <c r="G389"/>
      <c r="H389"/>
      <c r="I389"/>
    </row>
    <row r="390" spans="1:9" s="401" customFormat="1" ht="18.75" x14ac:dyDescent="0.25">
      <c r="A390" s="399"/>
      <c r="B390" s="403" t="s">
        <v>265</v>
      </c>
      <c r="C390" s="398"/>
      <c r="D390" s="399"/>
      <c r="E390" s="528"/>
      <c r="F390" s="400"/>
      <c r="G390"/>
      <c r="H390"/>
      <c r="I390"/>
    </row>
    <row r="391" spans="1:9" s="401" customFormat="1" ht="18.75" x14ac:dyDescent="0.25">
      <c r="A391" s="399"/>
      <c r="B391" s="410" t="s">
        <v>610</v>
      </c>
      <c r="C391" s="398"/>
      <c r="D391" s="399"/>
      <c r="E391" s="528"/>
      <c r="F391" s="400"/>
      <c r="G391"/>
      <c r="H391"/>
      <c r="I391"/>
    </row>
    <row r="392" spans="1:9" s="401" customFormat="1" ht="36" x14ac:dyDescent="0.25">
      <c r="A392" s="399"/>
      <c r="B392" s="490" t="s">
        <v>640</v>
      </c>
      <c r="C392" s="398"/>
      <c r="D392" s="399"/>
      <c r="E392" s="528"/>
      <c r="F392" s="400"/>
      <c r="G392"/>
      <c r="H392"/>
      <c r="I392"/>
    </row>
    <row r="393" spans="1:9" s="401" customFormat="1" ht="18.75" x14ac:dyDescent="0.25">
      <c r="A393" s="399"/>
      <c r="B393" s="410"/>
      <c r="C393" s="398"/>
      <c r="D393" s="399"/>
      <c r="E393" s="528"/>
      <c r="F393" s="400"/>
      <c r="G393"/>
      <c r="H393"/>
      <c r="I393"/>
    </row>
    <row r="394" spans="1:9" s="401" customFormat="1" ht="82.5" x14ac:dyDescent="0.25">
      <c r="A394" s="399"/>
      <c r="B394" s="413" t="s">
        <v>951</v>
      </c>
      <c r="C394" s="398"/>
      <c r="D394" s="399"/>
      <c r="E394" s="528"/>
      <c r="F394" s="400"/>
      <c r="G394"/>
      <c r="H394"/>
      <c r="I394"/>
    </row>
    <row r="395" spans="1:9" s="401" customFormat="1" ht="18.75" x14ac:dyDescent="0.25">
      <c r="A395" s="399"/>
      <c r="B395" s="413"/>
      <c r="C395" s="398"/>
      <c r="D395" s="399"/>
      <c r="E395" s="528"/>
      <c r="F395" s="400"/>
      <c r="G395"/>
      <c r="H395"/>
      <c r="I395"/>
    </row>
    <row r="396" spans="1:9" s="401" customFormat="1" ht="18.75" x14ac:dyDescent="0.25">
      <c r="A396" s="399" t="s">
        <v>2</v>
      </c>
      <c r="B396" s="398" t="s">
        <v>952</v>
      </c>
      <c r="C396" s="398">
        <v>0</v>
      </c>
      <c r="D396" s="399" t="s">
        <v>35</v>
      </c>
      <c r="E396" s="528">
        <v>5500</v>
      </c>
      <c r="F396" s="400">
        <f t="shared" ref="F396" si="12">E396*C396</f>
        <v>0</v>
      </c>
      <c r="G396"/>
      <c r="H396"/>
      <c r="I396"/>
    </row>
    <row r="397" spans="1:9" s="401" customFormat="1" ht="18.75" x14ac:dyDescent="0.25">
      <c r="A397" s="399"/>
      <c r="B397" s="398"/>
      <c r="C397" s="398"/>
      <c r="D397" s="399"/>
      <c r="E397" s="528"/>
      <c r="F397" s="400"/>
      <c r="G397"/>
      <c r="H397"/>
      <c r="I397"/>
    </row>
    <row r="398" spans="1:9" s="401" customFormat="1" ht="82.5" x14ac:dyDescent="0.25">
      <c r="A398" s="399"/>
      <c r="B398" s="413" t="s">
        <v>953</v>
      </c>
      <c r="C398" s="398"/>
      <c r="D398" s="399"/>
      <c r="E398" s="528"/>
      <c r="F398" s="491"/>
      <c r="G398"/>
      <c r="H398"/>
      <c r="I398"/>
    </row>
    <row r="399" spans="1:9" s="401" customFormat="1" ht="18.75" x14ac:dyDescent="0.25">
      <c r="A399" s="399" t="s">
        <v>4</v>
      </c>
      <c r="B399" s="415" t="s">
        <v>1091</v>
      </c>
      <c r="C399" s="398"/>
      <c r="D399" s="399" t="s">
        <v>35</v>
      </c>
      <c r="E399" s="528">
        <v>7500</v>
      </c>
      <c r="F399" s="400">
        <f t="shared" ref="F399:F402" si="13">E399*C399</f>
        <v>0</v>
      </c>
      <c r="G399"/>
      <c r="H399"/>
      <c r="I399"/>
    </row>
    <row r="400" spans="1:9" s="401" customFormat="1" ht="18.75" x14ac:dyDescent="0.25">
      <c r="A400" s="399" t="s">
        <v>5</v>
      </c>
      <c r="B400" s="398" t="s">
        <v>642</v>
      </c>
      <c r="C400" s="409"/>
      <c r="D400" s="399" t="s">
        <v>22</v>
      </c>
      <c r="E400" s="528">
        <v>690</v>
      </c>
      <c r="F400" s="400">
        <f t="shared" si="13"/>
        <v>0</v>
      </c>
      <c r="G400"/>
      <c r="H400"/>
      <c r="I400"/>
    </row>
    <row r="401" spans="1:9" s="401" customFormat="1" ht="18.75" x14ac:dyDescent="0.25">
      <c r="A401" s="399" t="s">
        <v>6</v>
      </c>
      <c r="B401" s="415" t="s">
        <v>1092</v>
      </c>
      <c r="C401" s="398">
        <v>110</v>
      </c>
      <c r="D401" s="399" t="s">
        <v>35</v>
      </c>
      <c r="E401" s="528">
        <v>7500</v>
      </c>
      <c r="F401" s="400">
        <f t="shared" si="13"/>
        <v>825000</v>
      </c>
      <c r="G401"/>
      <c r="H401"/>
      <c r="I401"/>
    </row>
    <row r="402" spans="1:9" s="401" customFormat="1" ht="18.75" x14ac:dyDescent="0.25">
      <c r="A402" s="399" t="s">
        <v>7</v>
      </c>
      <c r="B402" s="398" t="s">
        <v>642</v>
      </c>
      <c r="C402" s="409">
        <f>C401*1.1</f>
        <v>121.00000000000001</v>
      </c>
      <c r="D402" s="399" t="s">
        <v>22</v>
      </c>
      <c r="E402" s="528">
        <v>690</v>
      </c>
      <c r="F402" s="400">
        <f t="shared" si="13"/>
        <v>83490.000000000015</v>
      </c>
      <c r="G402"/>
      <c r="H402"/>
      <c r="I402"/>
    </row>
    <row r="403" spans="1:9" s="401" customFormat="1" ht="18.75" x14ac:dyDescent="0.25">
      <c r="A403" s="399"/>
      <c r="B403" s="398"/>
      <c r="C403" s="409"/>
      <c r="D403" s="399"/>
      <c r="E403" s="528"/>
      <c r="F403" s="400"/>
      <c r="G403"/>
      <c r="H403"/>
      <c r="I403"/>
    </row>
    <row r="404" spans="1:9" s="401" customFormat="1" ht="49.5" x14ac:dyDescent="0.25">
      <c r="A404" s="399"/>
      <c r="B404" s="415" t="s">
        <v>625</v>
      </c>
      <c r="C404" s="398"/>
      <c r="D404" s="399"/>
      <c r="E404" s="528"/>
      <c r="F404" s="491"/>
      <c r="G404"/>
      <c r="H404"/>
      <c r="I404"/>
    </row>
    <row r="405" spans="1:9" s="401" customFormat="1" ht="18.75" x14ac:dyDescent="0.25">
      <c r="A405" s="399"/>
      <c r="B405" s="398" t="s">
        <v>645</v>
      </c>
      <c r="C405" s="398"/>
      <c r="D405" s="399"/>
      <c r="E405" s="528"/>
      <c r="F405" s="491"/>
      <c r="G405"/>
      <c r="H405"/>
      <c r="I405"/>
    </row>
    <row r="406" spans="1:9" s="401" customFormat="1" ht="18.75" x14ac:dyDescent="0.25">
      <c r="A406" s="399" t="s">
        <v>8</v>
      </c>
      <c r="B406" s="398" t="s">
        <v>646</v>
      </c>
      <c r="C406" s="409">
        <f>C396+C399+C401</f>
        <v>110</v>
      </c>
      <c r="D406" s="399" t="s">
        <v>35</v>
      </c>
      <c r="E406" s="528">
        <v>4200</v>
      </c>
      <c r="F406" s="400">
        <f t="shared" ref="F406" si="14">E406*C406</f>
        <v>462000</v>
      </c>
      <c r="G406"/>
      <c r="H406"/>
      <c r="I406"/>
    </row>
    <row r="407" spans="1:9" s="401" customFormat="1" ht="18.75" x14ac:dyDescent="0.25">
      <c r="A407" s="399" t="s">
        <v>9</v>
      </c>
      <c r="B407" s="398" t="s">
        <v>627</v>
      </c>
      <c r="C407" s="409">
        <f>C400+C402</f>
        <v>121.00000000000001</v>
      </c>
      <c r="D407" s="399" t="s">
        <v>22</v>
      </c>
      <c r="E407" s="528">
        <f>E406*0.15</f>
        <v>630</v>
      </c>
      <c r="F407" s="400">
        <f>E407*C407</f>
        <v>76230.000000000015</v>
      </c>
      <c r="G407"/>
      <c r="H407"/>
      <c r="I407"/>
    </row>
    <row r="408" spans="1:9" s="401" customFormat="1" ht="18.75" x14ac:dyDescent="0.25">
      <c r="A408" s="399"/>
      <c r="B408" s="490" t="s">
        <v>628</v>
      </c>
      <c r="C408" s="398"/>
      <c r="D408" s="399"/>
      <c r="E408" s="528"/>
      <c r="F408" s="416"/>
      <c r="G408"/>
      <c r="H408"/>
      <c r="I408"/>
    </row>
    <row r="409" spans="1:9" s="401" customFormat="1" ht="33" x14ac:dyDescent="0.25">
      <c r="A409" s="399"/>
      <c r="B409" s="414" t="s">
        <v>647</v>
      </c>
      <c r="C409" s="398"/>
      <c r="D409" s="399"/>
      <c r="E409" s="528"/>
      <c r="F409" s="491"/>
      <c r="G409"/>
      <c r="H409"/>
      <c r="I409"/>
    </row>
    <row r="410" spans="1:9" s="401" customFormat="1" ht="82.5" x14ac:dyDescent="0.25">
      <c r="A410" s="399"/>
      <c r="B410" s="413" t="s">
        <v>951</v>
      </c>
      <c r="C410" s="398"/>
      <c r="D410" s="399"/>
      <c r="E410" s="528"/>
      <c r="F410" s="416"/>
      <c r="G410"/>
      <c r="H410"/>
      <c r="I410"/>
    </row>
    <row r="411" spans="1:9" s="401" customFormat="1" ht="18.75" x14ac:dyDescent="0.25">
      <c r="A411" s="399" t="s">
        <v>10</v>
      </c>
      <c r="B411" s="398" t="s">
        <v>1093</v>
      </c>
      <c r="C411" s="398">
        <v>57</v>
      </c>
      <c r="D411" s="399" t="s">
        <v>35</v>
      </c>
      <c r="E411" s="528">
        <f>E399</f>
        <v>7500</v>
      </c>
      <c r="F411" s="400">
        <f t="shared" ref="F411:F412" si="15">E411*C411</f>
        <v>427500</v>
      </c>
      <c r="G411"/>
      <c r="H411"/>
      <c r="I411"/>
    </row>
    <row r="412" spans="1:9" s="401" customFormat="1" ht="18.75" x14ac:dyDescent="0.25">
      <c r="A412" s="399" t="s">
        <v>11</v>
      </c>
      <c r="B412" s="398" t="s">
        <v>642</v>
      </c>
      <c r="C412" s="398">
        <v>15</v>
      </c>
      <c r="D412" s="399" t="s">
        <v>22</v>
      </c>
      <c r="E412" s="528">
        <f>E411*0.1</f>
        <v>750</v>
      </c>
      <c r="F412" s="400">
        <f t="shared" si="15"/>
        <v>11250</v>
      </c>
      <c r="G412"/>
      <c r="H412"/>
      <c r="I412"/>
    </row>
    <row r="413" spans="1:9" s="401" customFormat="1" ht="49.5" x14ac:dyDescent="0.25">
      <c r="A413" s="399"/>
      <c r="B413" s="414" t="s">
        <v>625</v>
      </c>
      <c r="C413" s="398"/>
      <c r="D413" s="399"/>
      <c r="E413" s="528"/>
      <c r="F413" s="416"/>
      <c r="G413"/>
      <c r="H413"/>
      <c r="I413"/>
    </row>
    <row r="414" spans="1:9" s="401" customFormat="1" ht="18.75" x14ac:dyDescent="0.25">
      <c r="A414" s="399"/>
      <c r="B414" s="419" t="s">
        <v>645</v>
      </c>
      <c r="C414" s="398"/>
      <c r="D414" s="399"/>
      <c r="E414" s="528"/>
      <c r="F414" s="416"/>
      <c r="G414"/>
      <c r="H414"/>
      <c r="I414"/>
    </row>
    <row r="415" spans="1:9" s="401" customFormat="1" ht="18.75" x14ac:dyDescent="0.25">
      <c r="A415" s="399" t="s">
        <v>12</v>
      </c>
      <c r="B415" s="398" t="s">
        <v>649</v>
      </c>
      <c r="C415" s="398">
        <f>C411</f>
        <v>57</v>
      </c>
      <c r="D415" s="399" t="s">
        <v>35</v>
      </c>
      <c r="E415" s="528">
        <v>4200</v>
      </c>
      <c r="F415" s="400">
        <f>E415*C415</f>
        <v>239400</v>
      </c>
      <c r="G415"/>
      <c r="H415"/>
      <c r="I415"/>
    </row>
    <row r="416" spans="1:9" s="401" customFormat="1" ht="18.75" x14ac:dyDescent="0.25">
      <c r="A416" s="399" t="s">
        <v>13</v>
      </c>
      <c r="B416" s="398" t="s">
        <v>627</v>
      </c>
      <c r="C416" s="398">
        <f>C412</f>
        <v>15</v>
      </c>
      <c r="D416" s="399" t="s">
        <v>22</v>
      </c>
      <c r="E416" s="528">
        <f>E415*0.15</f>
        <v>630</v>
      </c>
      <c r="F416" s="400">
        <f>E416*C416</f>
        <v>9450</v>
      </c>
      <c r="G416"/>
      <c r="H416"/>
      <c r="I416"/>
    </row>
    <row r="417" spans="1:9" s="401" customFormat="1" ht="18.75" x14ac:dyDescent="0.25">
      <c r="A417" s="399"/>
      <c r="B417" s="398"/>
      <c r="C417" s="398"/>
      <c r="D417" s="399"/>
      <c r="E417" s="528"/>
      <c r="F417" s="400"/>
      <c r="G417"/>
      <c r="H417"/>
      <c r="I417"/>
    </row>
    <row r="418" spans="1:9" s="401" customFormat="1" ht="18.75" x14ac:dyDescent="0.25">
      <c r="A418" s="399"/>
      <c r="B418" s="403" t="s">
        <v>265</v>
      </c>
      <c r="C418" s="411"/>
      <c r="D418" s="402"/>
      <c r="E418" s="537"/>
      <c r="F418" s="429"/>
      <c r="G418"/>
      <c r="H418"/>
      <c r="I418"/>
    </row>
    <row r="419" spans="1:9" s="401" customFormat="1" ht="18.75" x14ac:dyDescent="0.25">
      <c r="A419" s="399"/>
      <c r="B419" s="411" t="s">
        <v>534</v>
      </c>
      <c r="C419" s="411"/>
      <c r="D419" s="402"/>
      <c r="E419" s="537" t="s">
        <v>15</v>
      </c>
      <c r="F419" s="296">
        <f>SUM(F391:F418)</f>
        <v>2134320</v>
      </c>
      <c r="G419"/>
      <c r="H419"/>
      <c r="I419"/>
    </row>
    <row r="421" spans="1:9" s="401" customFormat="1" ht="18.75" x14ac:dyDescent="0.25">
      <c r="A421" s="399"/>
      <c r="B421" s="398"/>
      <c r="C421" s="398"/>
      <c r="D421" s="399"/>
      <c r="E421" s="528"/>
      <c r="F421" s="400"/>
      <c r="G421"/>
      <c r="H421"/>
      <c r="I421"/>
    </row>
    <row r="422" spans="1:9" s="401" customFormat="1" ht="18.75" x14ac:dyDescent="0.25">
      <c r="A422" s="399"/>
      <c r="B422" s="403" t="s">
        <v>605</v>
      </c>
      <c r="C422" s="398"/>
      <c r="D422" s="399"/>
      <c r="E422" s="528"/>
      <c r="F422" s="400"/>
      <c r="G422"/>
      <c r="H422"/>
      <c r="I422"/>
    </row>
    <row r="423" spans="1:9" s="401" customFormat="1" ht="18.75" x14ac:dyDescent="0.25">
      <c r="A423" s="399"/>
      <c r="B423" s="403" t="s">
        <v>281</v>
      </c>
      <c r="C423" s="398"/>
      <c r="D423" s="399"/>
      <c r="E423" s="528"/>
      <c r="F423" s="400"/>
      <c r="G423"/>
      <c r="H423"/>
      <c r="I423"/>
    </row>
    <row r="424" spans="1:9" s="401" customFormat="1" ht="18.75" x14ac:dyDescent="0.25">
      <c r="A424" s="399"/>
      <c r="B424" s="403"/>
      <c r="C424" s="398"/>
      <c r="D424" s="399"/>
      <c r="E424" s="528"/>
      <c r="F424" s="400"/>
      <c r="G424"/>
      <c r="H424"/>
      <c r="I424"/>
    </row>
    <row r="425" spans="1:9" s="401" customFormat="1" ht="18.75" x14ac:dyDescent="0.25">
      <c r="A425" s="399"/>
      <c r="B425" s="403" t="s">
        <v>282</v>
      </c>
      <c r="C425" s="398"/>
      <c r="D425" s="399"/>
      <c r="E425" s="528"/>
      <c r="F425" s="400"/>
      <c r="G425"/>
      <c r="H425"/>
      <c r="I425"/>
    </row>
    <row r="426" spans="1:9" s="401" customFormat="1" ht="18.75" x14ac:dyDescent="0.25">
      <c r="A426" s="399"/>
      <c r="B426" s="403"/>
      <c r="C426" s="398"/>
      <c r="D426" s="399"/>
      <c r="E426" s="528"/>
      <c r="F426" s="400"/>
      <c r="G426"/>
      <c r="H426"/>
      <c r="I426"/>
    </row>
    <row r="427" spans="1:9" s="401" customFormat="1" ht="18.75" x14ac:dyDescent="0.25">
      <c r="A427" s="399"/>
      <c r="B427" s="411" t="s">
        <v>954</v>
      </c>
      <c r="C427" s="407"/>
      <c r="D427" s="399"/>
      <c r="E427" s="528"/>
      <c r="F427" s="486"/>
      <c r="G427"/>
      <c r="H427"/>
      <c r="I427"/>
    </row>
    <row r="428" spans="1:9" s="401" customFormat="1" ht="18.75" x14ac:dyDescent="0.25">
      <c r="A428" s="399"/>
      <c r="B428" s="398" t="s">
        <v>955</v>
      </c>
      <c r="C428" s="484"/>
      <c r="D428" s="399"/>
      <c r="E428" s="528"/>
      <c r="F428" s="486"/>
      <c r="G428"/>
      <c r="H428"/>
      <c r="I428"/>
    </row>
    <row r="429" spans="1:9" s="401" customFormat="1" ht="18.75" x14ac:dyDescent="0.25">
      <c r="A429" s="399" t="s">
        <v>2</v>
      </c>
      <c r="B429" s="398" t="s">
        <v>956</v>
      </c>
      <c r="C429" s="614">
        <f>C406+C415</f>
        <v>167</v>
      </c>
      <c r="D429" s="399" t="s">
        <v>35</v>
      </c>
      <c r="E429" s="528">
        <v>13500</v>
      </c>
      <c r="F429" s="400">
        <f>C429*E429</f>
        <v>2254500</v>
      </c>
      <c r="G429"/>
      <c r="H429"/>
      <c r="I429"/>
    </row>
    <row r="430" spans="1:9" s="401" customFormat="1" ht="18.75" x14ac:dyDescent="0.25">
      <c r="A430" s="399"/>
      <c r="B430" s="398"/>
      <c r="C430" s="614"/>
      <c r="D430" s="399"/>
      <c r="E430" s="528"/>
      <c r="F430" s="400"/>
      <c r="G430"/>
      <c r="H430"/>
      <c r="I430"/>
    </row>
    <row r="431" spans="1:9" s="401" customFormat="1" ht="36" x14ac:dyDescent="0.25">
      <c r="A431" s="399"/>
      <c r="B431" s="425" t="s">
        <v>653</v>
      </c>
      <c r="C431" s="484"/>
      <c r="D431" s="399"/>
      <c r="E431" s="528"/>
      <c r="F431" s="486"/>
      <c r="G431"/>
      <c r="H431"/>
      <c r="I431"/>
    </row>
    <row r="432" spans="1:9" s="401" customFormat="1" ht="18.75" x14ac:dyDescent="0.25">
      <c r="A432" s="399"/>
      <c r="B432" s="492" t="s">
        <v>654</v>
      </c>
      <c r="C432" s="484"/>
      <c r="D432" s="399"/>
      <c r="E432" s="528"/>
      <c r="F432" s="400"/>
      <c r="G432"/>
      <c r="H432"/>
      <c r="I432"/>
    </row>
    <row r="433" spans="1:9" s="401" customFormat="1" ht="18.75" x14ac:dyDescent="0.25">
      <c r="A433" s="399" t="s">
        <v>4</v>
      </c>
      <c r="B433" s="398" t="s">
        <v>287</v>
      </c>
      <c r="C433" s="630">
        <f>C429*3.6</f>
        <v>601.20000000000005</v>
      </c>
      <c r="D433" s="399" t="s">
        <v>22</v>
      </c>
      <c r="E433" s="528">
        <v>500</v>
      </c>
      <c r="F433" s="400">
        <f>E433*C433</f>
        <v>300600</v>
      </c>
      <c r="G433"/>
      <c r="H433"/>
      <c r="I433"/>
    </row>
    <row r="434" spans="1:9" s="401" customFormat="1" ht="18.75" x14ac:dyDescent="0.25">
      <c r="A434" s="399"/>
      <c r="B434" s="411" t="s">
        <v>152</v>
      </c>
      <c r="C434" s="614"/>
      <c r="D434" s="399"/>
      <c r="E434" s="528"/>
      <c r="F434" s="486"/>
      <c r="G434"/>
      <c r="H434"/>
      <c r="I434"/>
    </row>
    <row r="435" spans="1:9" s="401" customFormat="1" ht="33" x14ac:dyDescent="0.25">
      <c r="A435" s="399"/>
      <c r="B435" s="415" t="s">
        <v>655</v>
      </c>
      <c r="C435" s="614"/>
      <c r="D435" s="399"/>
      <c r="E435" s="528"/>
      <c r="F435" s="486"/>
      <c r="G435"/>
      <c r="H435"/>
      <c r="I435"/>
    </row>
    <row r="436" spans="1:9" s="401" customFormat="1" ht="18.75" x14ac:dyDescent="0.25">
      <c r="A436" s="399" t="s">
        <v>5</v>
      </c>
      <c r="B436" s="398" t="s">
        <v>957</v>
      </c>
      <c r="C436" s="614">
        <f>C429</f>
        <v>167</v>
      </c>
      <c r="D436" s="399" t="s">
        <v>35</v>
      </c>
      <c r="E436" s="528">
        <v>2200</v>
      </c>
      <c r="F436" s="400">
        <f>C436*E436</f>
        <v>367400</v>
      </c>
      <c r="G436"/>
      <c r="H436"/>
      <c r="I436"/>
    </row>
    <row r="437" spans="1:9" s="401" customFormat="1" ht="18.75" x14ac:dyDescent="0.25">
      <c r="A437" s="399"/>
      <c r="B437" s="398"/>
      <c r="C437" s="398"/>
      <c r="D437" s="399"/>
      <c r="E437" s="528"/>
      <c r="F437" s="486"/>
      <c r="G437"/>
      <c r="H437"/>
      <c r="I437"/>
    </row>
    <row r="438" spans="1:9" s="401" customFormat="1" ht="18.75" x14ac:dyDescent="0.25">
      <c r="A438" s="399"/>
      <c r="B438" s="398"/>
      <c r="C438" s="398"/>
      <c r="D438" s="399"/>
      <c r="E438" s="528"/>
      <c r="F438" s="486"/>
      <c r="G438"/>
      <c r="H438"/>
      <c r="I438"/>
    </row>
    <row r="439" spans="1:9" s="401" customFormat="1" ht="18.75" x14ac:dyDescent="0.25">
      <c r="A439" s="399"/>
      <c r="B439" s="398"/>
      <c r="C439" s="398"/>
      <c r="D439" s="399"/>
      <c r="E439" s="528"/>
      <c r="F439" s="486"/>
      <c r="G439"/>
      <c r="H439"/>
      <c r="I439"/>
    </row>
    <row r="440" spans="1:9" s="401" customFormat="1" ht="18.75" x14ac:dyDescent="0.25">
      <c r="A440" s="399"/>
      <c r="B440" s="398"/>
      <c r="C440" s="398"/>
      <c r="D440" s="399"/>
      <c r="E440" s="528"/>
      <c r="F440" s="486"/>
      <c r="G440"/>
      <c r="H440"/>
      <c r="I440"/>
    </row>
    <row r="441" spans="1:9" s="401" customFormat="1" ht="18.75" x14ac:dyDescent="0.25">
      <c r="A441" s="399"/>
      <c r="B441" s="398"/>
      <c r="C441" s="398"/>
      <c r="D441" s="399"/>
      <c r="E441" s="528"/>
      <c r="F441" s="486"/>
      <c r="G441"/>
      <c r="H441"/>
      <c r="I441"/>
    </row>
    <row r="442" spans="1:9" s="401" customFormat="1" ht="18.75" x14ac:dyDescent="0.25">
      <c r="A442" s="399"/>
      <c r="B442" s="398"/>
      <c r="C442" s="398"/>
      <c r="D442" s="399"/>
      <c r="E442" s="528"/>
      <c r="F442" s="486"/>
      <c r="G442"/>
      <c r="H442"/>
      <c r="I442"/>
    </row>
    <row r="443" spans="1:9" s="401" customFormat="1" ht="18.75" x14ac:dyDescent="0.25">
      <c r="A443" s="399"/>
      <c r="B443" s="398"/>
      <c r="C443" s="398"/>
      <c r="D443" s="399"/>
      <c r="E443" s="528"/>
      <c r="F443" s="486"/>
      <c r="G443"/>
      <c r="H443"/>
      <c r="I443"/>
    </row>
    <row r="444" spans="1:9" s="401" customFormat="1" ht="18.75" x14ac:dyDescent="0.25">
      <c r="A444" s="399"/>
      <c r="B444" s="398"/>
      <c r="C444" s="398"/>
      <c r="D444" s="399"/>
      <c r="E444" s="528"/>
      <c r="F444" s="486"/>
      <c r="G444"/>
      <c r="H444"/>
      <c r="I444"/>
    </row>
    <row r="445" spans="1:9" s="401" customFormat="1" ht="16.5" x14ac:dyDescent="0.25">
      <c r="A445" s="399"/>
      <c r="B445" s="410"/>
      <c r="C445" s="398"/>
      <c r="D445" s="399"/>
      <c r="E445" s="528"/>
      <c r="F445" s="494"/>
      <c r="G445"/>
      <c r="H445"/>
      <c r="I445"/>
    </row>
    <row r="446" spans="1:9" s="401" customFormat="1" ht="16.5" x14ac:dyDescent="0.25">
      <c r="A446" s="399"/>
      <c r="B446" s="398"/>
      <c r="C446" s="398"/>
      <c r="D446" s="399"/>
      <c r="E446" s="528"/>
      <c r="F446" s="494"/>
      <c r="G446"/>
      <c r="H446"/>
      <c r="I446"/>
    </row>
    <row r="447" spans="1:9" s="401" customFormat="1" ht="18.75" x14ac:dyDescent="0.25">
      <c r="A447" s="399"/>
      <c r="B447" s="406"/>
      <c r="C447" s="398"/>
      <c r="D447" s="399"/>
      <c r="E447" s="528"/>
      <c r="F447" s="486"/>
      <c r="G447"/>
      <c r="H447"/>
      <c r="I447"/>
    </row>
    <row r="448" spans="1:9" s="401" customFormat="1" ht="18.75" x14ac:dyDescent="0.25">
      <c r="A448" s="399"/>
      <c r="B448" s="406"/>
      <c r="C448" s="398"/>
      <c r="D448" s="399"/>
      <c r="E448" s="528"/>
      <c r="F448" s="486"/>
      <c r="G448"/>
      <c r="H448"/>
      <c r="I448"/>
    </row>
    <row r="449" spans="1:9" s="401" customFormat="1" ht="18.75" x14ac:dyDescent="0.25">
      <c r="A449" s="399"/>
      <c r="B449" s="406"/>
      <c r="C449" s="398"/>
      <c r="D449" s="399"/>
      <c r="E449" s="528"/>
      <c r="F449" s="486"/>
      <c r="G449"/>
      <c r="H449"/>
      <c r="I449"/>
    </row>
    <row r="450" spans="1:9" s="401" customFormat="1" ht="18.75" x14ac:dyDescent="0.25">
      <c r="A450" s="399"/>
      <c r="B450" s="406"/>
      <c r="C450" s="398"/>
      <c r="D450" s="399"/>
      <c r="E450" s="528"/>
      <c r="F450" s="486"/>
      <c r="G450"/>
      <c r="H450"/>
      <c r="I450"/>
    </row>
    <row r="451" spans="1:9" s="401" customFormat="1" ht="18.75" x14ac:dyDescent="0.25">
      <c r="A451" s="399"/>
      <c r="B451" s="406"/>
      <c r="C451" s="398"/>
      <c r="D451" s="399"/>
      <c r="E451" s="528"/>
      <c r="F451" s="486"/>
      <c r="G451"/>
      <c r="H451"/>
      <c r="I451"/>
    </row>
    <row r="452" spans="1:9" s="401" customFormat="1" ht="18.75" x14ac:dyDescent="0.25">
      <c r="A452" s="399"/>
      <c r="B452" s="406"/>
      <c r="C452" s="398"/>
      <c r="D452" s="399"/>
      <c r="E452" s="528"/>
      <c r="F452" s="486"/>
      <c r="G452"/>
      <c r="H452"/>
      <c r="I452"/>
    </row>
    <row r="453" spans="1:9" s="401" customFormat="1" ht="18.75" x14ac:dyDescent="0.25">
      <c r="A453" s="399"/>
      <c r="B453" s="403" t="s">
        <v>281</v>
      </c>
      <c r="C453" s="411"/>
      <c r="D453" s="402"/>
      <c r="E453" s="537"/>
      <c r="F453" s="429"/>
      <c r="G453"/>
      <c r="H453"/>
      <c r="I453"/>
    </row>
    <row r="454" spans="1:9" s="401" customFormat="1" ht="18.75" x14ac:dyDescent="0.25">
      <c r="A454" s="399"/>
      <c r="B454" s="411" t="s">
        <v>534</v>
      </c>
      <c r="C454" s="411"/>
      <c r="D454" s="402"/>
      <c r="E454" s="537" t="s">
        <v>15</v>
      </c>
      <c r="F454" s="296">
        <f>SUM(F427:F453)</f>
        <v>2922500</v>
      </c>
      <c r="G454"/>
      <c r="H454"/>
      <c r="I454"/>
    </row>
    <row r="455" spans="1:9" s="401" customFormat="1" ht="18.75" x14ac:dyDescent="0.25">
      <c r="A455" s="399"/>
      <c r="B455" s="398"/>
      <c r="C455" s="398"/>
      <c r="D455" s="399"/>
      <c r="E455" s="528"/>
      <c r="F455" s="400"/>
      <c r="G455"/>
      <c r="H455"/>
      <c r="I455"/>
    </row>
    <row r="456" spans="1:9" s="401" customFormat="1" ht="18.75" x14ac:dyDescent="0.25">
      <c r="A456" s="399"/>
      <c r="B456" s="403" t="s">
        <v>608</v>
      </c>
      <c r="C456" s="411"/>
      <c r="D456" s="402"/>
      <c r="E456" s="537"/>
      <c r="F456" s="296"/>
      <c r="G456"/>
      <c r="H456"/>
      <c r="I456"/>
    </row>
    <row r="457" spans="1:9" s="401" customFormat="1" ht="18.75" x14ac:dyDescent="0.25">
      <c r="A457" s="399"/>
      <c r="B457" s="403" t="s">
        <v>657</v>
      </c>
      <c r="C457" s="411"/>
      <c r="D457" s="402"/>
      <c r="E457" s="537"/>
      <c r="F457" s="296"/>
      <c r="G457"/>
      <c r="H457"/>
      <c r="I457"/>
    </row>
    <row r="458" spans="1:9" s="401" customFormat="1" ht="16.5" x14ac:dyDescent="0.3">
      <c r="A458" s="495"/>
      <c r="B458" s="496" t="s">
        <v>940</v>
      </c>
      <c r="C458" s="398"/>
      <c r="D458" s="495"/>
      <c r="E458" s="556"/>
      <c r="F458" s="496"/>
      <c r="G458"/>
      <c r="H458"/>
      <c r="I458"/>
    </row>
    <row r="459" spans="1:9" s="401" customFormat="1" ht="16.5" x14ac:dyDescent="0.3">
      <c r="A459" s="495"/>
      <c r="B459" s="496"/>
      <c r="C459" s="398"/>
      <c r="D459" s="495"/>
      <c r="E459" s="556"/>
      <c r="F459" s="496"/>
      <c r="G459"/>
      <c r="H459"/>
      <c r="I459"/>
    </row>
    <row r="460" spans="1:9" s="401" customFormat="1" ht="33" x14ac:dyDescent="0.3">
      <c r="A460" s="495" t="s">
        <v>2</v>
      </c>
      <c r="B460" s="423" t="s">
        <v>1094</v>
      </c>
      <c r="C460" s="398"/>
      <c r="D460" s="495" t="s">
        <v>401</v>
      </c>
      <c r="E460" s="556"/>
      <c r="F460" s="400">
        <v>300000</v>
      </c>
      <c r="G460"/>
      <c r="H460"/>
      <c r="I460"/>
    </row>
    <row r="461" spans="1:9" s="401" customFormat="1" ht="16.5" x14ac:dyDescent="0.3">
      <c r="A461" s="495"/>
      <c r="B461" s="496"/>
      <c r="C461" s="398"/>
      <c r="D461" s="495"/>
      <c r="E461" s="556"/>
      <c r="F461" s="496"/>
      <c r="G461"/>
      <c r="H461"/>
      <c r="I461"/>
    </row>
    <row r="462" spans="1:9" s="401" customFormat="1" ht="16.5" x14ac:dyDescent="0.3">
      <c r="A462" s="495"/>
      <c r="B462" s="496"/>
      <c r="C462" s="398"/>
      <c r="D462" s="495"/>
      <c r="E462" s="556"/>
      <c r="F462" s="496"/>
      <c r="G462"/>
      <c r="H462"/>
      <c r="I462"/>
    </row>
    <row r="463" spans="1:9" s="401" customFormat="1" ht="16.5" x14ac:dyDescent="0.3">
      <c r="A463" s="495"/>
      <c r="B463" s="496"/>
      <c r="C463" s="398"/>
      <c r="D463" s="495"/>
      <c r="E463" s="556"/>
      <c r="F463" s="496"/>
      <c r="G463"/>
      <c r="H463"/>
      <c r="I463"/>
    </row>
    <row r="464" spans="1:9" s="401" customFormat="1" ht="16.5" x14ac:dyDescent="0.3">
      <c r="A464" s="495"/>
      <c r="B464" s="496"/>
      <c r="C464" s="398"/>
      <c r="D464" s="495"/>
      <c r="E464" s="556"/>
      <c r="F464" s="496"/>
      <c r="G464"/>
      <c r="H464"/>
      <c r="I464"/>
    </row>
    <row r="465" spans="1:9" s="401" customFormat="1" ht="16.5" x14ac:dyDescent="0.3">
      <c r="A465" s="495"/>
      <c r="B465" s="496"/>
      <c r="C465" s="398"/>
      <c r="D465" s="495"/>
      <c r="E465" s="556"/>
      <c r="F465" s="496"/>
      <c r="G465"/>
      <c r="H465"/>
      <c r="I465"/>
    </row>
    <row r="466" spans="1:9" s="401" customFormat="1" ht="18.75" x14ac:dyDescent="0.3">
      <c r="A466" s="495"/>
      <c r="B466" s="496"/>
      <c r="C466" s="398"/>
      <c r="D466" s="495"/>
      <c r="E466" s="556"/>
      <c r="F466" s="400"/>
      <c r="G466"/>
      <c r="H466"/>
      <c r="I466"/>
    </row>
    <row r="467" spans="1:9" s="401" customFormat="1" ht="18.75" x14ac:dyDescent="0.3">
      <c r="A467" s="495"/>
      <c r="B467" s="496"/>
      <c r="C467" s="398"/>
      <c r="D467" s="495"/>
      <c r="E467" s="556"/>
      <c r="F467" s="400"/>
      <c r="G467"/>
      <c r="H467"/>
      <c r="I467"/>
    </row>
    <row r="468" spans="1:9" s="401" customFormat="1" ht="18.75" x14ac:dyDescent="0.3">
      <c r="A468" s="495"/>
      <c r="B468" s="496"/>
      <c r="C468" s="398"/>
      <c r="D468" s="495"/>
      <c r="E468" s="556"/>
      <c r="F468" s="400"/>
      <c r="G468"/>
      <c r="H468"/>
      <c r="I468"/>
    </row>
    <row r="469" spans="1:9" s="401" customFormat="1" ht="18.75" x14ac:dyDescent="0.3">
      <c r="A469" s="495"/>
      <c r="B469" s="496"/>
      <c r="C469" s="398"/>
      <c r="D469" s="495"/>
      <c r="E469" s="556"/>
      <c r="F469" s="400"/>
      <c r="G469"/>
      <c r="H469"/>
      <c r="I469"/>
    </row>
    <row r="470" spans="1:9" s="401" customFormat="1" ht="18.75" x14ac:dyDescent="0.3">
      <c r="A470" s="495"/>
      <c r="B470" s="496"/>
      <c r="C470" s="398"/>
      <c r="D470" s="495"/>
      <c r="E470" s="556"/>
      <c r="F470" s="400"/>
      <c r="G470"/>
      <c r="H470"/>
      <c r="I470"/>
    </row>
    <row r="471" spans="1:9" s="401" customFormat="1" ht="18.75" x14ac:dyDescent="0.3">
      <c r="A471" s="495"/>
      <c r="B471" s="496"/>
      <c r="C471" s="398"/>
      <c r="D471" s="495"/>
      <c r="E471" s="556"/>
      <c r="F471" s="400"/>
      <c r="G471"/>
      <c r="H471"/>
      <c r="I471"/>
    </row>
    <row r="472" spans="1:9" s="401" customFormat="1" ht="18.75" x14ac:dyDescent="0.3">
      <c r="A472" s="495"/>
      <c r="B472" s="496"/>
      <c r="C472" s="398"/>
      <c r="D472" s="495"/>
      <c r="E472" s="556"/>
      <c r="F472" s="400"/>
      <c r="G472"/>
      <c r="H472"/>
      <c r="I472"/>
    </row>
    <row r="473" spans="1:9" s="401" customFormat="1" ht="18.75" x14ac:dyDescent="0.3">
      <c r="A473" s="495"/>
      <c r="B473" s="496"/>
      <c r="C473" s="484"/>
      <c r="D473" s="495"/>
      <c r="E473" s="556"/>
      <c r="F473" s="400"/>
      <c r="G473"/>
      <c r="H473"/>
      <c r="I473"/>
    </row>
    <row r="474" spans="1:9" s="401" customFormat="1" ht="18.75" x14ac:dyDescent="0.3">
      <c r="A474" s="495"/>
      <c r="B474" s="496"/>
      <c r="C474" s="497"/>
      <c r="D474" s="495"/>
      <c r="E474" s="556"/>
      <c r="F474" s="400"/>
      <c r="G474"/>
      <c r="H474"/>
      <c r="I474"/>
    </row>
    <row r="475" spans="1:9" s="401" customFormat="1" ht="18.75" x14ac:dyDescent="0.3">
      <c r="A475" s="495"/>
      <c r="B475" s="496"/>
      <c r="C475" s="497"/>
      <c r="D475" s="495"/>
      <c r="E475" s="556"/>
      <c r="F475" s="400"/>
      <c r="G475"/>
      <c r="H475"/>
      <c r="I475"/>
    </row>
    <row r="476" spans="1:9" s="401" customFormat="1" ht="18.75" x14ac:dyDescent="0.3">
      <c r="A476" s="495"/>
      <c r="B476" s="403" t="s">
        <v>657</v>
      </c>
      <c r="C476" s="484"/>
      <c r="D476" s="495"/>
      <c r="E476" s="556"/>
      <c r="F476" s="400"/>
      <c r="G476"/>
      <c r="H476"/>
      <c r="I476"/>
    </row>
    <row r="477" spans="1:9" s="401" customFormat="1" ht="18" x14ac:dyDescent="0.35">
      <c r="A477" s="495"/>
      <c r="B477" s="411" t="s">
        <v>520</v>
      </c>
      <c r="C477" s="398"/>
      <c r="D477" s="495"/>
      <c r="E477" s="557" t="s">
        <v>15</v>
      </c>
      <c r="F477" s="498">
        <f>F460</f>
        <v>300000</v>
      </c>
      <c r="G477"/>
      <c r="H477"/>
      <c r="I477"/>
    </row>
    <row r="478" spans="1:9" s="401" customFormat="1" ht="18.75" x14ac:dyDescent="0.25">
      <c r="A478" s="399"/>
      <c r="B478" s="403" t="s">
        <v>609</v>
      </c>
      <c r="C478" s="398"/>
      <c r="D478" s="399"/>
      <c r="E478" s="528"/>
      <c r="F478" s="400"/>
      <c r="G478"/>
      <c r="H478"/>
      <c r="I478"/>
    </row>
    <row r="479" spans="1:9" s="401" customFormat="1" ht="18.75" x14ac:dyDescent="0.25">
      <c r="A479" s="399"/>
      <c r="B479" s="398"/>
      <c r="C479" s="398"/>
      <c r="D479" s="399"/>
      <c r="E479" s="528"/>
      <c r="F479" s="400"/>
      <c r="G479"/>
      <c r="H479"/>
      <c r="I479"/>
    </row>
    <row r="480" spans="1:9" s="401" customFormat="1" ht="18.75" x14ac:dyDescent="0.25">
      <c r="A480" s="399"/>
      <c r="B480" s="499" t="s">
        <v>659</v>
      </c>
      <c r="C480" s="398"/>
      <c r="D480" s="399"/>
      <c r="E480" s="528"/>
      <c r="F480" s="400"/>
      <c r="G480"/>
      <c r="H480"/>
      <c r="I480"/>
    </row>
    <row r="481" spans="1:9" s="401" customFormat="1" ht="18.75" x14ac:dyDescent="0.25">
      <c r="A481" s="399"/>
      <c r="B481" s="398"/>
      <c r="C481" s="398"/>
      <c r="D481" s="399"/>
      <c r="E481" s="528"/>
      <c r="F481" s="400"/>
      <c r="G481"/>
      <c r="H481"/>
      <c r="I481"/>
    </row>
    <row r="482" spans="1:9" s="401" customFormat="1" ht="33" x14ac:dyDescent="0.3">
      <c r="A482" s="399" t="s">
        <v>2</v>
      </c>
      <c r="B482" s="423" t="s">
        <v>958</v>
      </c>
      <c r="C482" s="398"/>
      <c r="D482" s="495" t="s">
        <v>401</v>
      </c>
      <c r="E482" s="528"/>
      <c r="F482" s="400">
        <v>2482609.5</v>
      </c>
      <c r="G482"/>
      <c r="H482"/>
      <c r="I482"/>
    </row>
    <row r="483" spans="1:9" s="401" customFormat="1" ht="18.75" x14ac:dyDescent="0.25">
      <c r="A483" s="399"/>
      <c r="B483" s="398"/>
      <c r="C483" s="398"/>
      <c r="D483" s="399"/>
      <c r="E483" s="528"/>
      <c r="F483" s="400"/>
      <c r="G483"/>
      <c r="H483"/>
      <c r="I483"/>
    </row>
    <row r="484" spans="1:9" s="401" customFormat="1" ht="18.75" x14ac:dyDescent="0.25">
      <c r="A484" s="399"/>
      <c r="B484" s="398"/>
      <c r="C484" s="398"/>
      <c r="D484" s="399"/>
      <c r="E484" s="528"/>
      <c r="F484" s="400"/>
      <c r="G484"/>
      <c r="H484"/>
      <c r="I484"/>
    </row>
    <row r="485" spans="1:9" s="401" customFormat="1" ht="18.75" x14ac:dyDescent="0.25">
      <c r="A485" s="399"/>
      <c r="B485" s="398"/>
      <c r="C485" s="398"/>
      <c r="D485" s="399"/>
      <c r="E485" s="528"/>
      <c r="F485" s="400"/>
      <c r="G485"/>
      <c r="H485"/>
      <c r="I485"/>
    </row>
    <row r="486" spans="1:9" s="401" customFormat="1" ht="18.75" x14ac:dyDescent="0.25">
      <c r="A486" s="399"/>
      <c r="B486" s="398"/>
      <c r="C486" s="398"/>
      <c r="D486" s="399"/>
      <c r="E486" s="528"/>
      <c r="F486" s="400"/>
      <c r="G486"/>
      <c r="H486"/>
      <c r="I486"/>
    </row>
    <row r="487" spans="1:9" s="401" customFormat="1" ht="18.75" x14ac:dyDescent="0.25">
      <c r="A487" s="399"/>
      <c r="B487" s="398"/>
      <c r="C487" s="398"/>
      <c r="D487" s="399"/>
      <c r="E487" s="528"/>
      <c r="F487" s="400"/>
      <c r="G487"/>
      <c r="H487"/>
      <c r="I487"/>
    </row>
    <row r="488" spans="1:9" s="401" customFormat="1" ht="18.75" x14ac:dyDescent="0.25">
      <c r="A488" s="399"/>
      <c r="B488" s="398"/>
      <c r="C488" s="398"/>
      <c r="D488" s="399"/>
      <c r="E488" s="528"/>
      <c r="F488" s="400"/>
      <c r="G488"/>
      <c r="H488"/>
      <c r="I488"/>
    </row>
    <row r="489" spans="1:9" s="401" customFormat="1" ht="18.75" x14ac:dyDescent="0.25">
      <c r="A489" s="399"/>
      <c r="B489" s="398"/>
      <c r="C489" s="398"/>
      <c r="D489" s="399"/>
      <c r="E489" s="528"/>
      <c r="F489" s="400"/>
      <c r="G489"/>
      <c r="H489"/>
      <c r="I489"/>
    </row>
    <row r="490" spans="1:9" s="401" customFormat="1" ht="18.75" x14ac:dyDescent="0.25">
      <c r="A490" s="399"/>
      <c r="B490" s="398"/>
      <c r="C490" s="398"/>
      <c r="D490" s="399"/>
      <c r="E490" s="528"/>
      <c r="F490" s="400"/>
      <c r="G490"/>
      <c r="H490"/>
      <c r="I490"/>
    </row>
    <row r="491" spans="1:9" s="401" customFormat="1" ht="18.75" x14ac:dyDescent="0.25">
      <c r="A491" s="399"/>
      <c r="B491" s="398"/>
      <c r="C491" s="398"/>
      <c r="D491" s="399"/>
      <c r="E491" s="528"/>
      <c r="F491" s="400"/>
      <c r="G491"/>
      <c r="H491"/>
      <c r="I491"/>
    </row>
    <row r="492" spans="1:9" s="401" customFormat="1" ht="18.75" x14ac:dyDescent="0.25">
      <c r="A492" s="399"/>
      <c r="B492" s="398"/>
      <c r="C492" s="398"/>
      <c r="D492" s="399"/>
      <c r="E492" s="528"/>
      <c r="F492" s="400"/>
      <c r="G492"/>
      <c r="H492"/>
      <c r="I492"/>
    </row>
    <row r="493" spans="1:9" s="401" customFormat="1" ht="18.75" x14ac:dyDescent="0.25">
      <c r="A493" s="399"/>
      <c r="B493" s="398"/>
      <c r="C493" s="398"/>
      <c r="D493" s="399"/>
      <c r="E493" s="528"/>
      <c r="F493" s="400"/>
      <c r="G493"/>
      <c r="H493"/>
      <c r="I493"/>
    </row>
    <row r="494" spans="1:9" s="401" customFormat="1" ht="18.75" x14ac:dyDescent="0.25">
      <c r="A494" s="399"/>
      <c r="B494" s="398"/>
      <c r="C494" s="398"/>
      <c r="D494" s="399"/>
      <c r="E494" s="528"/>
      <c r="F494" s="400"/>
      <c r="G494"/>
      <c r="H494"/>
      <c r="I494"/>
    </row>
    <row r="495" spans="1:9" s="401" customFormat="1" ht="18.75" x14ac:dyDescent="0.25">
      <c r="A495" s="399"/>
      <c r="B495" s="398"/>
      <c r="C495" s="398"/>
      <c r="D495" s="399"/>
      <c r="E495" s="528"/>
      <c r="F495" s="400"/>
      <c r="G495"/>
      <c r="H495"/>
      <c r="I495"/>
    </row>
    <row r="496" spans="1:9" s="401" customFormat="1" ht="18.75" x14ac:dyDescent="0.25">
      <c r="A496" s="399"/>
      <c r="B496" s="398"/>
      <c r="C496" s="398"/>
      <c r="D496" s="399"/>
      <c r="E496" s="528"/>
      <c r="F496" s="400"/>
      <c r="G496"/>
      <c r="H496"/>
      <c r="I496"/>
    </row>
    <row r="497" spans="1:9" s="401" customFormat="1" ht="18.75" x14ac:dyDescent="0.25">
      <c r="A497" s="399"/>
      <c r="B497" s="398"/>
      <c r="C497" s="398"/>
      <c r="D497" s="399"/>
      <c r="E497" s="528"/>
      <c r="F497" s="400"/>
      <c r="G497"/>
      <c r="H497"/>
      <c r="I497"/>
    </row>
    <row r="498" spans="1:9" s="401" customFormat="1" ht="18.75" x14ac:dyDescent="0.25">
      <c r="A498" s="399"/>
      <c r="B498" s="398"/>
      <c r="C498" s="398"/>
      <c r="D498" s="399"/>
      <c r="E498" s="528"/>
      <c r="F498" s="400"/>
      <c r="G498"/>
      <c r="H498"/>
      <c r="I498"/>
    </row>
    <row r="499" spans="1:9" s="401" customFormat="1" ht="18.75" x14ac:dyDescent="0.25">
      <c r="A499" s="399"/>
      <c r="B499" s="398"/>
      <c r="C499" s="398"/>
      <c r="D499" s="399"/>
      <c r="E499" s="528"/>
      <c r="F499" s="400"/>
      <c r="G499"/>
      <c r="H499"/>
      <c r="I499"/>
    </row>
    <row r="500" spans="1:9" s="401" customFormat="1" ht="18.75" x14ac:dyDescent="0.25">
      <c r="A500" s="399"/>
      <c r="B500" s="398"/>
      <c r="C500" s="398"/>
      <c r="D500" s="399"/>
      <c r="E500" s="528"/>
      <c r="F500" s="400"/>
      <c r="G500"/>
      <c r="H500"/>
      <c r="I500"/>
    </row>
    <row r="501" spans="1:9" s="401" customFormat="1" ht="18.75" x14ac:dyDescent="0.25">
      <c r="A501" s="399"/>
      <c r="B501" s="398"/>
      <c r="C501" s="398"/>
      <c r="D501" s="399"/>
      <c r="E501" s="528"/>
      <c r="F501" s="400"/>
      <c r="G501"/>
      <c r="H501"/>
      <c r="I501"/>
    </row>
    <row r="502" spans="1:9" s="401" customFormat="1" ht="18.75" x14ac:dyDescent="0.25">
      <c r="A502" s="399"/>
      <c r="B502" s="499" t="s">
        <v>659</v>
      </c>
      <c r="C502" s="398"/>
      <c r="D502" s="399"/>
      <c r="E502" s="528"/>
      <c r="F502" s="400"/>
      <c r="G502"/>
      <c r="H502"/>
      <c r="I502"/>
    </row>
    <row r="503" spans="1:9" s="401" customFormat="1" ht="18" x14ac:dyDescent="0.35">
      <c r="A503" s="495"/>
      <c r="B503" s="411" t="s">
        <v>520</v>
      </c>
      <c r="C503" s="398"/>
      <c r="D503" s="495"/>
      <c r="E503" s="557" t="s">
        <v>15</v>
      </c>
      <c r="F503" s="631">
        <f>F482</f>
        <v>2482609.5</v>
      </c>
      <c r="G503"/>
      <c r="H503"/>
      <c r="I503"/>
    </row>
    <row r="504" spans="1:9" s="401" customFormat="1" ht="18.75" x14ac:dyDescent="0.25">
      <c r="A504" s="399"/>
      <c r="B504" s="411"/>
      <c r="C504" s="411"/>
      <c r="D504" s="402"/>
      <c r="E504" s="537"/>
      <c r="F504" s="420"/>
      <c r="G504"/>
      <c r="H504"/>
      <c r="I504"/>
    </row>
    <row r="505" spans="1:9" s="401" customFormat="1" ht="18.75" x14ac:dyDescent="0.25">
      <c r="A505" s="399"/>
      <c r="B505" s="403"/>
      <c r="C505" s="398"/>
      <c r="D505" s="399"/>
      <c r="E505" s="528"/>
      <c r="F505" s="418"/>
      <c r="G505"/>
      <c r="H505"/>
      <c r="I505"/>
    </row>
    <row r="506" spans="1:9" s="401" customFormat="1" ht="18.75" x14ac:dyDescent="0.25">
      <c r="A506" s="399"/>
      <c r="B506" s="404" t="s">
        <v>450</v>
      </c>
      <c r="C506" s="398"/>
      <c r="D506" s="399"/>
      <c r="E506" s="528"/>
      <c r="F506" s="400"/>
      <c r="G506"/>
      <c r="H506"/>
      <c r="I506"/>
    </row>
    <row r="507" spans="1:9" s="401" customFormat="1" ht="18.75" x14ac:dyDescent="0.25">
      <c r="A507" s="399"/>
      <c r="B507" s="398"/>
      <c r="C507" s="398"/>
      <c r="D507" s="399"/>
      <c r="E507" s="528"/>
      <c r="F507" s="427"/>
      <c r="G507"/>
      <c r="H507"/>
      <c r="I507"/>
    </row>
    <row r="508" spans="1:9" s="401" customFormat="1" ht="18.75" x14ac:dyDescent="0.25">
      <c r="A508" s="399"/>
      <c r="B508" s="415" t="s">
        <v>533</v>
      </c>
      <c r="C508" s="398"/>
      <c r="D508" s="399"/>
      <c r="E508" s="528">
        <f>F78</f>
        <v>6416875</v>
      </c>
      <c r="F508" s="428"/>
      <c r="G508"/>
      <c r="H508"/>
      <c r="I508"/>
    </row>
    <row r="509" spans="1:9" s="401" customFormat="1" ht="18.75" x14ac:dyDescent="0.25">
      <c r="A509" s="399"/>
      <c r="B509" s="398"/>
      <c r="C509" s="398"/>
      <c r="D509" s="399"/>
      <c r="E509" s="528"/>
      <c r="F509" s="428"/>
      <c r="G509"/>
      <c r="H509"/>
      <c r="I509"/>
    </row>
    <row r="510" spans="1:9" s="401" customFormat="1" ht="18.75" x14ac:dyDescent="0.25">
      <c r="A510" s="399"/>
      <c r="B510" s="398" t="s">
        <v>195</v>
      </c>
      <c r="C510" s="398"/>
      <c r="D510" s="399"/>
      <c r="E510" s="528">
        <f>F121</f>
        <v>6358650</v>
      </c>
      <c r="F510" s="428"/>
      <c r="G510"/>
      <c r="H510"/>
      <c r="I510"/>
    </row>
    <row r="511" spans="1:9" s="401" customFormat="1" ht="18.75" x14ac:dyDescent="0.25">
      <c r="A511" s="399"/>
      <c r="B511" s="398"/>
      <c r="C511" s="398"/>
      <c r="D511" s="399"/>
      <c r="E511" s="528"/>
      <c r="F511" s="400"/>
      <c r="G511"/>
      <c r="H511"/>
      <c r="I511"/>
    </row>
    <row r="512" spans="1:9" s="401" customFormat="1" ht="18.75" x14ac:dyDescent="0.25">
      <c r="A512" s="399"/>
      <c r="B512" s="398" t="s">
        <v>602</v>
      </c>
      <c r="C512" s="398"/>
      <c r="D512" s="399"/>
      <c r="E512" s="528">
        <f>F150</f>
        <v>1755000</v>
      </c>
      <c r="F512" s="428"/>
      <c r="G512"/>
      <c r="H512"/>
      <c r="I512"/>
    </row>
    <row r="513" spans="1:9" s="401" customFormat="1" ht="18.75" x14ac:dyDescent="0.25">
      <c r="A513" s="399"/>
      <c r="B513" s="398"/>
      <c r="C513" s="398"/>
      <c r="D513" s="399"/>
      <c r="E513" s="528"/>
      <c r="F513" s="400"/>
      <c r="G513"/>
      <c r="H513"/>
      <c r="I513"/>
    </row>
    <row r="514" spans="1:9" s="401" customFormat="1" ht="18.75" x14ac:dyDescent="0.25">
      <c r="A514" s="399"/>
      <c r="B514" s="398" t="s">
        <v>210</v>
      </c>
      <c r="C514" s="398"/>
      <c r="D514" s="399"/>
      <c r="E514" s="528">
        <f>F192</f>
        <v>936650</v>
      </c>
      <c r="F514" s="428"/>
      <c r="G514"/>
      <c r="H514"/>
      <c r="I514"/>
    </row>
    <row r="515" spans="1:9" s="401" customFormat="1" ht="18.75" x14ac:dyDescent="0.25">
      <c r="A515" s="399"/>
      <c r="B515" s="398"/>
      <c r="C515" s="398"/>
      <c r="D515" s="399"/>
      <c r="E515" s="528"/>
      <c r="F515" s="400"/>
      <c r="G515"/>
      <c r="H515"/>
      <c r="I515"/>
    </row>
    <row r="516" spans="1:9" s="401" customFormat="1" ht="18.75" x14ac:dyDescent="0.25">
      <c r="A516" s="399"/>
      <c r="B516" s="398" t="s">
        <v>607</v>
      </c>
      <c r="C516" s="398"/>
      <c r="D516" s="399"/>
      <c r="E516" s="528">
        <f>F211</f>
        <v>897750</v>
      </c>
      <c r="F516" s="428"/>
      <c r="G516"/>
      <c r="H516"/>
      <c r="I516"/>
    </row>
    <row r="517" spans="1:9" s="401" customFormat="1" ht="18.75" x14ac:dyDescent="0.25">
      <c r="A517" s="399"/>
      <c r="B517" s="398"/>
      <c r="C517" s="398"/>
      <c r="D517" s="399"/>
      <c r="E517" s="528"/>
      <c r="F517" s="400"/>
      <c r="G517"/>
      <c r="H517"/>
      <c r="I517"/>
    </row>
    <row r="518" spans="1:9" s="401" customFormat="1" ht="18.75" x14ac:dyDescent="0.25">
      <c r="A518" s="399"/>
      <c r="B518" s="398" t="s">
        <v>163</v>
      </c>
      <c r="C518" s="398"/>
      <c r="D518" s="399"/>
      <c r="E518" s="528">
        <f>F336</f>
        <v>20255135</v>
      </c>
      <c r="F518" s="428"/>
      <c r="G518"/>
      <c r="H518"/>
      <c r="I518"/>
    </row>
    <row r="519" spans="1:9" s="401" customFormat="1" ht="18.75" x14ac:dyDescent="0.25">
      <c r="A519" s="399"/>
      <c r="B519" s="398"/>
      <c r="C519" s="398"/>
      <c r="D519" s="399"/>
      <c r="E519" s="528"/>
      <c r="F519" s="400"/>
      <c r="G519"/>
      <c r="H519"/>
      <c r="I519"/>
    </row>
    <row r="520" spans="1:9" s="401" customFormat="1" ht="18.75" x14ac:dyDescent="0.25">
      <c r="A520" s="399"/>
      <c r="B520" s="398" t="s">
        <v>236</v>
      </c>
      <c r="C520" s="398"/>
      <c r="D520" s="399"/>
      <c r="E520" s="528">
        <f>F387</f>
        <v>2979390</v>
      </c>
      <c r="F520" s="428"/>
      <c r="G520"/>
      <c r="H520"/>
      <c r="I520"/>
    </row>
    <row r="521" spans="1:9" s="401" customFormat="1" ht="18.75" x14ac:dyDescent="0.25">
      <c r="A521" s="399"/>
      <c r="B521" s="398"/>
      <c r="C521" s="398"/>
      <c r="D521" s="399"/>
      <c r="E521" s="528"/>
      <c r="F521" s="400"/>
      <c r="G521"/>
      <c r="H521"/>
      <c r="I521"/>
    </row>
    <row r="522" spans="1:9" s="401" customFormat="1" ht="18.75" x14ac:dyDescent="0.25">
      <c r="A522" s="399"/>
      <c r="B522" s="398" t="s">
        <v>265</v>
      </c>
      <c r="C522" s="398"/>
      <c r="D522" s="399"/>
      <c r="E522" s="528">
        <f>F419</f>
        <v>2134320</v>
      </c>
      <c r="F522" s="428"/>
      <c r="G522"/>
      <c r="H522"/>
      <c r="I522"/>
    </row>
    <row r="523" spans="1:9" s="401" customFormat="1" ht="18.75" x14ac:dyDescent="0.25">
      <c r="A523" s="399"/>
      <c r="B523" s="398"/>
      <c r="C523" s="398"/>
      <c r="D523" s="399"/>
      <c r="E523" s="528"/>
      <c r="F523" s="400"/>
      <c r="G523"/>
      <c r="H523"/>
      <c r="I523"/>
    </row>
    <row r="524" spans="1:9" s="401" customFormat="1" ht="18.75" x14ac:dyDescent="0.25">
      <c r="A524" s="399"/>
      <c r="B524" s="398" t="s">
        <v>281</v>
      </c>
      <c r="C524" s="398"/>
      <c r="D524" s="399"/>
      <c r="E524" s="528">
        <f>F454</f>
        <v>2922500</v>
      </c>
      <c r="F524" s="428"/>
      <c r="G524"/>
      <c r="H524"/>
      <c r="I524"/>
    </row>
    <row r="525" spans="1:9" s="401" customFormat="1" ht="18.75" x14ac:dyDescent="0.25">
      <c r="A525" s="399"/>
      <c r="B525" s="398"/>
      <c r="C525" s="398"/>
      <c r="D525" s="399"/>
      <c r="E525" s="528"/>
      <c r="F525" s="400"/>
      <c r="G525"/>
      <c r="H525"/>
      <c r="I525"/>
    </row>
    <row r="526" spans="1:9" s="401" customFormat="1" ht="18.75" x14ac:dyDescent="0.25">
      <c r="A526" s="399"/>
      <c r="B526" s="398" t="s">
        <v>658</v>
      </c>
      <c r="C526" s="398"/>
      <c r="D526" s="399"/>
      <c r="E526" s="528">
        <f>F477</f>
        <v>300000</v>
      </c>
      <c r="F526" s="428"/>
      <c r="G526"/>
      <c r="H526"/>
      <c r="I526"/>
    </row>
    <row r="527" spans="1:9" s="401" customFormat="1" ht="18.75" x14ac:dyDescent="0.25">
      <c r="A527" s="399"/>
      <c r="B527" s="398"/>
      <c r="C527" s="398"/>
      <c r="D527" s="399"/>
      <c r="E527" s="528"/>
      <c r="F527" s="400"/>
      <c r="G527"/>
      <c r="H527"/>
      <c r="I527"/>
    </row>
    <row r="528" spans="1:9" s="401" customFormat="1" ht="18.75" x14ac:dyDescent="0.25">
      <c r="A528" s="399"/>
      <c r="B528" s="398" t="s">
        <v>659</v>
      </c>
      <c r="C528" s="398"/>
      <c r="D528" s="399"/>
      <c r="E528" s="528">
        <f>F503</f>
        <v>2482609.5</v>
      </c>
      <c r="F528" s="428"/>
      <c r="G528"/>
      <c r="H528"/>
      <c r="I528"/>
    </row>
    <row r="529" spans="1:9" s="401" customFormat="1" ht="18.75" x14ac:dyDescent="0.25">
      <c r="A529" s="399"/>
      <c r="B529" s="398"/>
      <c r="C529" s="398"/>
      <c r="D529" s="399"/>
      <c r="E529" s="528"/>
      <c r="F529" s="400"/>
      <c r="G529"/>
      <c r="H529"/>
      <c r="I529"/>
    </row>
    <row r="530" spans="1:9" s="401" customFormat="1" ht="18.75" x14ac:dyDescent="0.25">
      <c r="A530" s="399"/>
      <c r="B530" s="398"/>
      <c r="C530" s="398"/>
      <c r="D530" s="399"/>
      <c r="E530" s="528"/>
      <c r="F530" s="400"/>
      <c r="G530"/>
      <c r="H530"/>
      <c r="I530"/>
    </row>
    <row r="531" spans="1:9" s="401" customFormat="1" ht="18.75" x14ac:dyDescent="0.25">
      <c r="A531" s="399"/>
      <c r="B531" s="398"/>
      <c r="C531" s="398"/>
      <c r="D531" s="399"/>
      <c r="E531" s="528"/>
      <c r="F531" s="400"/>
      <c r="G531"/>
      <c r="H531"/>
      <c r="I531"/>
    </row>
    <row r="532" spans="1:9" s="401" customFormat="1" ht="18.75" x14ac:dyDescent="0.25">
      <c r="A532" s="399"/>
      <c r="B532" s="398"/>
      <c r="C532" s="398"/>
      <c r="D532" s="399"/>
      <c r="E532" s="528"/>
      <c r="F532" s="400"/>
      <c r="G532"/>
      <c r="H532"/>
      <c r="I532"/>
    </row>
    <row r="533" spans="1:9" s="401" customFormat="1" ht="18.75" x14ac:dyDescent="0.25">
      <c r="A533" s="399"/>
      <c r="B533" s="398"/>
      <c r="C533" s="398"/>
      <c r="D533" s="399"/>
      <c r="E533" s="528"/>
      <c r="F533" s="400"/>
      <c r="G533"/>
      <c r="H533"/>
      <c r="I533"/>
    </row>
    <row r="534" spans="1:9" s="401" customFormat="1" ht="18.75" x14ac:dyDescent="0.25">
      <c r="A534" s="399"/>
      <c r="B534" s="398"/>
      <c r="C534" s="398"/>
      <c r="D534" s="399"/>
      <c r="E534" s="528"/>
      <c r="F534" s="400"/>
      <c r="G534"/>
      <c r="H534"/>
      <c r="I534"/>
    </row>
    <row r="535" spans="1:9" s="401" customFormat="1" ht="18.75" x14ac:dyDescent="0.25">
      <c r="A535" s="399"/>
      <c r="B535" s="398"/>
      <c r="C535" s="398"/>
      <c r="D535" s="399"/>
      <c r="E535" s="528"/>
      <c r="F535" s="400"/>
      <c r="G535"/>
      <c r="H535"/>
      <c r="I535"/>
    </row>
    <row r="536" spans="1:9" s="401" customFormat="1" ht="18.75" x14ac:dyDescent="0.25">
      <c r="A536" s="399"/>
      <c r="B536" s="398"/>
      <c r="C536" s="398"/>
      <c r="D536" s="399"/>
      <c r="E536" s="528"/>
      <c r="F536" s="400"/>
      <c r="G536"/>
      <c r="H536"/>
      <c r="I536"/>
    </row>
    <row r="537" spans="1:9" s="401" customFormat="1" ht="18.75" x14ac:dyDescent="0.25">
      <c r="A537" s="399"/>
      <c r="B537" s="398"/>
      <c r="C537" s="398"/>
      <c r="D537" s="399"/>
      <c r="E537" s="528"/>
      <c r="F537" s="400"/>
      <c r="G537"/>
      <c r="H537"/>
      <c r="I537"/>
    </row>
    <row r="538" spans="1:9" s="401" customFormat="1" ht="18.75" x14ac:dyDescent="0.25">
      <c r="A538" s="399"/>
      <c r="B538" s="398"/>
      <c r="C538" s="398"/>
      <c r="D538" s="399"/>
      <c r="E538" s="528"/>
      <c r="F538" s="400"/>
      <c r="G538"/>
      <c r="H538"/>
      <c r="I538"/>
    </row>
    <row r="539" spans="1:9" s="401" customFormat="1" ht="18.75" x14ac:dyDescent="0.25">
      <c r="A539" s="399"/>
      <c r="B539" s="398"/>
      <c r="C539" s="398"/>
      <c r="D539" s="399"/>
      <c r="E539" s="528"/>
      <c r="F539" s="400"/>
      <c r="G539"/>
      <c r="H539"/>
      <c r="I539"/>
    </row>
    <row r="540" spans="1:9" s="401" customFormat="1" ht="18.75" x14ac:dyDescent="0.25">
      <c r="A540" s="399"/>
      <c r="B540" s="398"/>
      <c r="C540" s="398"/>
      <c r="D540" s="399"/>
      <c r="E540" s="528"/>
      <c r="F540" s="400"/>
      <c r="G540"/>
      <c r="H540"/>
      <c r="I540"/>
    </row>
    <row r="541" spans="1:9" s="401" customFormat="1" ht="18.75" x14ac:dyDescent="0.25">
      <c r="A541" s="399"/>
      <c r="B541" s="398"/>
      <c r="C541" s="398"/>
      <c r="D541" s="399"/>
      <c r="E541" s="528"/>
      <c r="F541" s="400"/>
      <c r="G541"/>
      <c r="H541"/>
      <c r="I541"/>
    </row>
    <row r="542" spans="1:9" s="401" customFormat="1" ht="18.75" x14ac:dyDescent="0.25">
      <c r="A542" s="399"/>
      <c r="B542" s="398"/>
      <c r="C542" s="398"/>
      <c r="D542" s="399"/>
      <c r="E542" s="528"/>
      <c r="F542" s="400"/>
      <c r="G542"/>
      <c r="H542"/>
      <c r="I542"/>
    </row>
    <row r="543" spans="1:9" s="401" customFormat="1" ht="18.75" x14ac:dyDescent="0.25">
      <c r="A543" s="399"/>
      <c r="B543" s="419" t="s">
        <v>1095</v>
      </c>
      <c r="C543" s="411"/>
      <c r="D543" s="402"/>
      <c r="E543" s="537"/>
      <c r="F543" s="429"/>
      <c r="G543"/>
      <c r="H543"/>
      <c r="I543"/>
    </row>
    <row r="544" spans="1:9" s="401" customFormat="1" ht="19.5" thickBot="1" x14ac:dyDescent="0.3">
      <c r="A544" s="399"/>
      <c r="B544" s="411" t="s">
        <v>695</v>
      </c>
      <c r="C544" s="411"/>
      <c r="D544" s="402"/>
      <c r="E544" s="537" t="s">
        <v>15</v>
      </c>
      <c r="F544" s="430">
        <f>SUM(E508:E528)</f>
        <v>47438879.5</v>
      </c>
      <c r="G544"/>
      <c r="H544"/>
      <c r="I544"/>
    </row>
    <row r="545" spans="1:9" s="401" customFormat="1" ht="19.5" thickTop="1" x14ac:dyDescent="0.25">
      <c r="A545" s="399"/>
      <c r="B545" s="398"/>
      <c r="C545" s="398"/>
      <c r="D545" s="399"/>
      <c r="E545" s="528"/>
      <c r="F545" s="400"/>
      <c r="G545"/>
      <c r="H545"/>
      <c r="I545"/>
    </row>
    <row r="546" spans="1:9" s="401" customFormat="1" ht="18.75" x14ac:dyDescent="0.25">
      <c r="A546" s="399"/>
      <c r="B546" s="398"/>
      <c r="C546" s="398"/>
      <c r="D546" s="399"/>
      <c r="E546" s="528"/>
      <c r="F546" s="400"/>
      <c r="G546"/>
      <c r="H546"/>
      <c r="I546"/>
    </row>
    <row r="547" spans="1:9" s="401" customFormat="1" ht="18.75" x14ac:dyDescent="0.25">
      <c r="A547" s="399"/>
      <c r="B547" s="411"/>
      <c r="C547" s="431"/>
      <c r="D547" s="402" t="s">
        <v>472</v>
      </c>
      <c r="E547" s="528"/>
      <c r="F547" s="296"/>
      <c r="G547"/>
      <c r="H547"/>
      <c r="I547"/>
    </row>
    <row r="548" spans="1:9" s="401" customFormat="1" ht="18.75" x14ac:dyDescent="0.25">
      <c r="A548" s="399"/>
      <c r="B548" s="411" t="s">
        <v>471</v>
      </c>
      <c r="C548" s="411"/>
      <c r="D548" s="402"/>
      <c r="E548" s="537"/>
      <c r="F548" s="296">
        <v>235</v>
      </c>
      <c r="G548"/>
      <c r="H548"/>
      <c r="I548"/>
    </row>
    <row r="549" spans="1:9" s="401" customFormat="1" ht="18.75" x14ac:dyDescent="0.25">
      <c r="A549" s="399"/>
      <c r="B549" s="411"/>
      <c r="C549" s="411"/>
      <c r="D549" s="402"/>
      <c r="E549" s="537"/>
      <c r="F549" s="296"/>
      <c r="G549"/>
      <c r="H549"/>
      <c r="I549"/>
    </row>
    <row r="550" spans="1:9" s="401" customFormat="1" ht="18.75" x14ac:dyDescent="0.25">
      <c r="A550" s="399"/>
      <c r="B550" s="411"/>
      <c r="C550" s="411"/>
      <c r="D550" s="402"/>
      <c r="E550" s="537"/>
      <c r="F550" s="296"/>
      <c r="G550"/>
      <c r="H550"/>
      <c r="I550"/>
    </row>
    <row r="551" spans="1:9" s="401" customFormat="1" ht="18.75" x14ac:dyDescent="0.25">
      <c r="A551" s="399"/>
      <c r="B551" s="411" t="s">
        <v>929</v>
      </c>
      <c r="C551" s="411"/>
      <c r="D551" s="402"/>
      <c r="E551" s="537"/>
      <c r="F551" s="296">
        <f>F544/F548</f>
        <v>201867.57234042554</v>
      </c>
      <c r="G551"/>
      <c r="H551"/>
      <c r="I551"/>
    </row>
    <row r="552" spans="1:9" s="401" customFormat="1" ht="18.75" x14ac:dyDescent="0.25">
      <c r="A552" s="399"/>
      <c r="B552" s="411" t="s">
        <v>874</v>
      </c>
      <c r="C552" s="411"/>
      <c r="D552" s="402"/>
      <c r="E552" s="537"/>
      <c r="F552" s="296">
        <f>F544</f>
        <v>47438879.5</v>
      </c>
      <c r="G552"/>
      <c r="H552"/>
      <c r="I552"/>
    </row>
    <row r="553" spans="1:9" s="401" customFormat="1" ht="18.75" x14ac:dyDescent="0.25">
      <c r="A553" s="399"/>
      <c r="B553" s="411"/>
      <c r="C553" s="411"/>
      <c r="D553" s="402"/>
      <c r="E553" s="537"/>
      <c r="F553" s="296"/>
      <c r="G553"/>
      <c r="H553"/>
      <c r="I553"/>
    </row>
    <row r="554" spans="1:9" s="401" customFormat="1" ht="18.75" x14ac:dyDescent="0.25">
      <c r="A554" s="399"/>
      <c r="B554" s="411"/>
      <c r="C554" s="411"/>
      <c r="D554" s="402"/>
      <c r="E554" s="537"/>
      <c r="F554" s="296"/>
      <c r="G554"/>
      <c r="H554"/>
      <c r="I554"/>
    </row>
    <row r="555" spans="1:9" s="401" customFormat="1" ht="18.75" x14ac:dyDescent="0.25">
      <c r="A555" s="399"/>
      <c r="B555" s="411"/>
      <c r="C555" s="411"/>
      <c r="D555" s="402"/>
      <c r="E555" s="537"/>
      <c r="F555" s="296"/>
      <c r="G555"/>
      <c r="H555"/>
      <c r="I555"/>
    </row>
    <row r="556" spans="1:9" s="401" customFormat="1" ht="18.75" x14ac:dyDescent="0.25">
      <c r="A556" s="399"/>
      <c r="B556" s="411"/>
      <c r="C556" s="411"/>
      <c r="D556" s="402"/>
      <c r="E556" s="537"/>
      <c r="F556" s="296"/>
      <c r="G556"/>
      <c r="H556"/>
      <c r="I556"/>
    </row>
    <row r="557" spans="1:9" s="401" customFormat="1" ht="18.75" x14ac:dyDescent="0.25">
      <c r="A557" s="399"/>
      <c r="B557" s="411"/>
      <c r="C557" s="411"/>
      <c r="D557" s="402"/>
      <c r="E557" s="537"/>
      <c r="F557" s="296"/>
      <c r="G557"/>
      <c r="H557"/>
      <c r="I557"/>
    </row>
    <row r="558" spans="1:9" s="401" customFormat="1" ht="18.75" x14ac:dyDescent="0.25">
      <c r="A558" s="399"/>
      <c r="B558" s="411" t="s">
        <v>473</v>
      </c>
      <c r="C558" s="432"/>
      <c r="D558" s="402"/>
      <c r="E558" s="537">
        <f>F544</f>
        <v>47438879.5</v>
      </c>
      <c r="F558" s="296"/>
      <c r="G558"/>
      <c r="H558"/>
      <c r="I558"/>
    </row>
    <row r="559" spans="1:9" s="401" customFormat="1" ht="18.75" x14ac:dyDescent="0.25">
      <c r="A559" s="399"/>
      <c r="B559" s="403" t="s">
        <v>474</v>
      </c>
      <c r="C559" s="411"/>
      <c r="D559" s="402"/>
      <c r="E559" s="537"/>
      <c r="F559" s="296"/>
      <c r="G559"/>
      <c r="H559"/>
      <c r="I559"/>
    </row>
    <row r="560" spans="1:9" s="401" customFormat="1" ht="18.75" x14ac:dyDescent="0.25">
      <c r="A560" s="399"/>
      <c r="B560" s="411" t="s">
        <v>1096</v>
      </c>
      <c r="C560" s="411"/>
      <c r="D560" s="402"/>
      <c r="E560" s="537">
        <f>E558*3%</f>
        <v>1423166.385</v>
      </c>
      <c r="F560" s="296"/>
      <c r="G560"/>
      <c r="H560"/>
      <c r="I560"/>
    </row>
    <row r="561" spans="1:9" s="401" customFormat="1" ht="18.75" x14ac:dyDescent="0.25">
      <c r="A561" s="399"/>
      <c r="B561" s="411"/>
      <c r="C561" s="411"/>
      <c r="D561" s="402"/>
      <c r="E561" s="537"/>
      <c r="F561" s="296"/>
      <c r="G561"/>
      <c r="H561"/>
      <c r="I561"/>
    </row>
    <row r="562" spans="1:9" s="401" customFormat="1" ht="18.75" x14ac:dyDescent="0.25">
      <c r="A562" s="399"/>
      <c r="B562" s="433" t="s">
        <v>476</v>
      </c>
      <c r="C562" s="433"/>
      <c r="D562" s="434" t="s">
        <v>15</v>
      </c>
      <c r="E562" s="559">
        <f>SUM(E558:E561)</f>
        <v>48862045.884999998</v>
      </c>
      <c r="F562" s="296"/>
      <c r="G562"/>
      <c r="H562"/>
      <c r="I562"/>
    </row>
    <row r="563" spans="1:9" s="401" customFormat="1" ht="18.75" x14ac:dyDescent="0.25">
      <c r="A563" s="399"/>
      <c r="B563" s="403" t="s">
        <v>474</v>
      </c>
      <c r="C563" s="433"/>
      <c r="D563" s="434"/>
      <c r="E563" s="560"/>
      <c r="F563" s="296"/>
      <c r="G563"/>
      <c r="H563"/>
      <c r="I563"/>
    </row>
    <row r="564" spans="1:9" s="401" customFormat="1" ht="18.75" x14ac:dyDescent="0.25">
      <c r="A564" s="399"/>
      <c r="B564" s="411" t="s">
        <v>477</v>
      </c>
      <c r="C564" s="411"/>
      <c r="D564" s="402"/>
      <c r="E564" s="537">
        <f>E562*0.075</f>
        <v>3664653.4413749999</v>
      </c>
      <c r="F564" s="296"/>
      <c r="G564"/>
      <c r="H564"/>
      <c r="I564"/>
    </row>
    <row r="565" spans="1:9" s="401" customFormat="1" ht="19.5" thickBot="1" x14ac:dyDescent="0.3">
      <c r="A565" s="399"/>
      <c r="B565" s="411"/>
      <c r="C565" s="411"/>
      <c r="D565" s="402"/>
      <c r="E565" s="561">
        <f>SUM(E562:E564)</f>
        <v>52526699.326375</v>
      </c>
      <c r="F565" s="296"/>
      <c r="G565"/>
      <c r="H565"/>
      <c r="I565"/>
    </row>
    <row r="566" spans="1:9" s="401" customFormat="1" ht="19.5" thickTop="1" x14ac:dyDescent="0.25">
      <c r="A566" s="399"/>
      <c r="B566" s="411"/>
      <c r="C566" s="411"/>
      <c r="D566" s="402"/>
      <c r="E566" s="537"/>
      <c r="F566" s="296"/>
      <c r="G566"/>
      <c r="H566"/>
      <c r="I566"/>
    </row>
    <row r="567" spans="1:9" s="401" customFormat="1" ht="18.75" hidden="1" x14ac:dyDescent="0.25">
      <c r="A567" s="399"/>
      <c r="B567" s="411" t="s">
        <v>478</v>
      </c>
      <c r="C567" s="411"/>
      <c r="D567" s="402"/>
      <c r="E567" s="537">
        <f>E565/2</f>
        <v>26263349.6631875</v>
      </c>
      <c r="F567" s="296"/>
      <c r="G567"/>
      <c r="H567"/>
      <c r="I567"/>
    </row>
    <row r="568" spans="1:9" s="401" customFormat="1" ht="18.75" hidden="1" x14ac:dyDescent="0.25">
      <c r="A568" s="399"/>
      <c r="B568" s="411"/>
      <c r="C568" s="411"/>
      <c r="D568" s="402"/>
      <c r="E568" s="537"/>
      <c r="F568" s="296"/>
      <c r="G568"/>
      <c r="H568"/>
      <c r="I568"/>
    </row>
    <row r="569" spans="1:9" s="401" customFormat="1" ht="18.75" hidden="1" x14ac:dyDescent="0.25">
      <c r="A569" s="399"/>
      <c r="B569" s="411" t="s">
        <v>479</v>
      </c>
      <c r="C569" s="411"/>
      <c r="D569" s="402"/>
      <c r="E569" s="537">
        <f>E565/F548</f>
        <v>223517.86947393618</v>
      </c>
      <c r="F569" s="296"/>
      <c r="G569"/>
      <c r="H569"/>
      <c r="I569"/>
    </row>
    <row r="570" spans="1:9" s="401" customFormat="1" ht="18.75" x14ac:dyDescent="0.25">
      <c r="A570" s="399"/>
      <c r="B570" s="411"/>
      <c r="C570" s="398"/>
      <c r="D570" s="399"/>
      <c r="E570" s="528"/>
      <c r="F570" s="400"/>
      <c r="G570"/>
      <c r="H570"/>
      <c r="I570"/>
    </row>
    <row r="571" spans="1:9" s="401" customFormat="1" x14ac:dyDescent="0.25">
      <c r="G571"/>
      <c r="H571"/>
      <c r="I571"/>
    </row>
  </sheetData>
  <pageMargins left="0.69930555555555596" right="0.69930555555555596" top="0.75" bottom="0.75" header="0.3" footer="0.3"/>
  <pageSetup paperSize="9" scale="68" orientation="portrait" r:id="rId1"/>
  <headerFooter>
    <oddHeader>&amp;LProposed Masjid (Mosque)&amp;RPrepared by: Abdussalam</oddHeader>
    <oddFooter>&amp;C&amp;P</oddFooter>
  </headerFooter>
  <rowBreaks count="15" manualBreakCount="15">
    <brk id="28" max="16383" man="1"/>
    <brk id="78" max="5" man="1"/>
    <brk id="121" max="16383" man="1"/>
    <brk id="150" max="16383" man="1"/>
    <brk id="192" max="5" man="1"/>
    <brk id="211" max="5" man="1"/>
    <brk id="255" max="5" man="1"/>
    <brk id="302" max="16383" man="1"/>
    <brk id="336" max="16383" man="1"/>
    <brk id="387" max="16383" man="1"/>
    <brk id="420" max="16383" man="1"/>
    <brk id="454" max="16383" man="1"/>
    <brk id="477" max="16383" man="1"/>
    <brk id="503" max="16383" man="1"/>
    <brk id="54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BILL</vt:lpstr>
      <vt:lpstr>BILL (2)</vt:lpstr>
      <vt:lpstr>Cover Page</vt:lpstr>
      <vt:lpstr>Cover page (MALL</vt:lpstr>
      <vt:lpstr>SHOPPING MALL</vt:lpstr>
      <vt:lpstr>Cover page Admin block</vt:lpstr>
      <vt:lpstr>ADMIN BLOCK</vt:lpstr>
      <vt:lpstr>Cover page (MOSQUE</vt:lpstr>
      <vt:lpstr>MASJID</vt:lpstr>
      <vt:lpstr>Cover page power house</vt:lpstr>
      <vt:lpstr>Power house</vt:lpstr>
      <vt:lpstr>cover page public toilet</vt:lpstr>
      <vt:lpstr>public toilet</vt:lpstr>
      <vt:lpstr>General Summary</vt:lpstr>
      <vt:lpstr>'ADMIN BLOCK'!Print_Area</vt:lpstr>
      <vt:lpstr>BILL!Print_Area</vt:lpstr>
      <vt:lpstr>'BILL (2)'!Print_Area</vt:lpstr>
      <vt:lpstr>'Cover Page'!Print_Area</vt:lpstr>
      <vt:lpstr>'Cover page (MALL'!Print_Area</vt:lpstr>
      <vt:lpstr>'Cover page (MOSQUE'!Print_Area</vt:lpstr>
      <vt:lpstr>'Cover page Admin block'!Print_Area</vt:lpstr>
      <vt:lpstr>'Cover page power house'!Print_Area</vt:lpstr>
      <vt:lpstr>'cover page public toilet'!Print_Area</vt:lpstr>
      <vt:lpstr>'General Summary'!Print_Area</vt:lpstr>
      <vt:lpstr>MASJID!Print_Area</vt:lpstr>
      <vt:lpstr>'Power house'!Print_Area</vt:lpstr>
      <vt:lpstr>'public toilet'!Print_Area</vt:lpstr>
      <vt:lpstr>'SHOPPING MALL'!Print_Area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dc:creator>
  <cp:lastModifiedBy>UrFavQ$</cp:lastModifiedBy>
  <cp:lastPrinted>2024-03-11T09:50:16Z</cp:lastPrinted>
  <dcterms:created xsi:type="dcterms:W3CDTF">2021-02-18T08:33:09Z</dcterms:created>
  <dcterms:modified xsi:type="dcterms:W3CDTF">2024-06-04T00:27:52Z</dcterms:modified>
</cp:coreProperties>
</file>